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21.xml"/>
  <Override ContentType="application/vnd.openxmlformats-officedocument.spreadsheetml.comments+xml" PartName="/xl/comments26.xml"/>
  <Override ContentType="application/vnd.openxmlformats-officedocument.spreadsheetml.comments+xml" PartName="/xl/comments9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22.xml"/>
  <Override ContentType="application/vnd.openxmlformats-officedocument.spreadsheetml.comments+xml" PartName="/xl/comments3.xml"/>
  <Override ContentType="application/vnd.openxmlformats-officedocument.spreadsheetml.comments+xml" PartName="/xl/comments18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10.xml"/>
  <Override ContentType="application/vnd.openxmlformats-officedocument.spreadsheetml.comments+xml" PartName="/xl/comments23.xml"/>
  <Override ContentType="application/vnd.openxmlformats-officedocument.spreadsheetml.comments+xml" PartName="/xl/comments24.xml"/>
  <Override ContentType="application/vnd.openxmlformats-officedocument.spreadsheetml.comments+xml" PartName="/xl/comments6.xml"/>
  <Override ContentType="application/vnd.openxmlformats-officedocument.spreadsheetml.comments+xml" PartName="/xl/comments19.xml"/>
  <Override ContentType="application/vnd.openxmlformats-officedocument.spreadsheetml.comments+xml" PartName="/xl/comments2.xml"/>
  <Override ContentType="application/vnd.openxmlformats-officedocument.spreadsheetml.comments+xml" PartName="/xl/comments11.xml"/>
  <Override ContentType="application/vnd.openxmlformats-officedocument.spreadsheetml.comments+xml" PartName="/xl/comments20.xml"/>
  <Override ContentType="application/vnd.openxmlformats-officedocument.spreadsheetml.comments+xml" PartName="/xl/comments25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 DATABASE" sheetId="1" r:id="rId3"/>
    <sheet state="visible" name="Date ChangesCancellations due t" sheetId="2" r:id="rId4"/>
    <sheet state="visible" name="2020 MASTER CALENDAR" sheetId="3" r:id="rId5"/>
    <sheet state="visible" name="INFO &amp; CONTACT" sheetId="4" r:id="rId6"/>
    <sheet state="visible" name="RECENT UPDATES" sheetId="5" r:id="rId7"/>
    <sheet state="visible" name="General" sheetId="6" r:id="rId8"/>
    <sheet state="visible" name="Documentary" sheetId="7" r:id="rId9"/>
    <sheet state="visible" name="Short" sheetId="8" r:id="rId10"/>
    <sheet state="visible" name="Women's" sheetId="9" r:id="rId11"/>
    <sheet state="visible" name="LGBTQ+" sheetId="10" r:id="rId12"/>
    <sheet state="visible" name="Jewish" sheetId="11" r:id="rId13"/>
    <sheet state="visible" name="Black, African, Afr. Am. (etc)" sheetId="12" r:id="rId14"/>
    <sheet state="visible" name="Asian, As. Am. (etc)" sheetId="13" r:id="rId15"/>
    <sheet state="visible" name="Latino, Latin American (etc)" sheetId="14" r:id="rId16"/>
    <sheet state="visible" name="Native American, Indigenous (et" sheetId="15" r:id="rId17"/>
    <sheet state="visible" name="Muslim, Arab, Arab Am. (etc)" sheetId="16" r:id="rId18"/>
    <sheet state="visible" name="Misc. Ethnic, Cultural, Foreign" sheetId="17" r:id="rId19"/>
    <sheet state="visible" name="Genre - (SciFi, Fantasy, Thrill" sheetId="18" r:id="rId20"/>
    <sheet state="visible" name="Horror" sheetId="19" r:id="rId21"/>
    <sheet state="visible" name="Underground" sheetId="20" r:id="rId22"/>
    <sheet state="visible" name="Animation" sheetId="21" r:id="rId23"/>
    <sheet state="visible" name="Comedy" sheetId="22" r:id="rId24"/>
    <sheet state="visible" name="Student" sheetId="23" r:id="rId25"/>
    <sheet state="visible" name="Misc. Niche" sheetId="24" r:id="rId26"/>
    <sheet state="visible" name="Environment, Outdoor, Adventure" sheetId="25" r:id="rId27"/>
    <sheet state="visible" name="Social Justice, Peace" sheetId="26" r:id="rId28"/>
    <sheet state="visible" name="Children's" sheetId="27" r:id="rId29"/>
    <sheet state="visible" name="Dance" sheetId="28" r:id="rId30"/>
    <sheet state="visible" name="Christian" sheetId="29" r:id="rId31"/>
    <sheet state="visible" name="Experimental, Video Art (etc)" sheetId="30" r:id="rId3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San Luis Obispo Jewish Film Festival
January 2, 2020 - January 5, 2020
San Luis Obispo, CA</t>
      </text>
    </comment>
    <comment authorId="0" ref="J3">
      <text>
        <t xml:space="preserve">Miami Jewish Film Festival 
January 9, 2020 - January 20, 2020
Miami, FL</t>
      </text>
    </comment>
    <comment authorId="0" ref="Y3">
      <text>
        <t xml:space="preserve">New Jersey International Film Festival
January 24, 2020 - February 23, 2020
New Brunswick, NJ</t>
      </text>
    </comment>
    <comment authorId="0" ref="BF3">
      <text>
        <t xml:space="preserve">Short. Sweet. Film Fest. 
February 26, 2020 - March 1, 2020
Cleveland, OH</t>
      </text>
    </comment>
    <comment authorId="0" ref="BP3">
      <text>
        <t xml:space="preserve">Los Angeles International Children’s Film Festival
March 7, 2020 - April 12, 2020
Los Angeles, CA</t>
      </text>
    </comment>
    <comment authorId="0" ref="DC3">
      <text>
        <t xml:space="preserve">Chicago Latino Film Festival
April 16, 2020 - April 30, 2020
Chicago, IL</t>
      </text>
    </comment>
    <comment authorId="0" ref="DS3">
      <text>
        <t xml:space="preserve">Hang On To Your Shorts! Film Festival
May 2, 2020 - May 3, 2020
Eatontown, NJ</t>
      </text>
    </comment>
    <comment authorId="0" ref="DZ3">
      <text>
        <t xml:space="preserve">Garifuna International Indigenous Film Festival
May 9, 2020 - May 31, 2020
Santa Monica, CA</t>
      </text>
    </comment>
    <comment authorId="0" ref="EY3">
      <text>
        <t xml:space="preserve">New Media Film Festival
June 3, 2020 - June 4, 2020
Los Angeles, CA</t>
      </text>
    </comment>
    <comment authorId="0" ref="FB3">
      <text>
        <t xml:space="preserve">ADF's Movies by Movers
June 6, 2020 - July 18, 2020
Boone, NC</t>
      </text>
    </comment>
    <comment authorId="0" ref="GW3">
      <text>
        <t xml:space="preserve">Action On Film Festival
July 23, 2020 - August 2, 2020
Las Vegas, NV</t>
      </text>
    </comment>
    <comment authorId="0" ref="HI3">
      <text>
        <t xml:space="preserve">Flickers' Rhode Island International Film Festival
August 4, 2020 - August 9, 2020
Newport, RI</t>
      </text>
    </comment>
    <comment authorId="0" ref="HR3">
      <text>
        <t xml:space="preserve">Sans Souci Festival of Dance Cinema
August 13, 2020 - November 30, 2020
Boulder, CO</t>
      </text>
    </comment>
    <comment authorId="0" ref="MA3">
      <text>
        <t xml:space="preserve">MONO NO AWARE
December 3, 2020 - December 12, 2020
Brooklyn, NY</t>
      </text>
    </comment>
    <comment authorId="0" ref="E4">
      <text>
        <t xml:space="preserve">Arkansas Shorts
January 4, 2020 - January 4, 2020
Hot Springs, AR</t>
      </text>
    </comment>
    <comment authorId="0" ref="J4">
      <text>
        <t xml:space="preserve">Dance Camera West
January 9, 2020 - January 12, 2020
Los Angeles, CA</t>
      </text>
    </comment>
    <comment authorId="0" ref="P4">
      <text>
        <t xml:space="preserve">New York Jewish Film Festival
January 15, 2020 - January 28, 2020
New York, NY</t>
      </text>
    </comment>
    <comment authorId="0" ref="AH4">
      <text>
        <t xml:space="preserve">Dakota Film Festival
February 2, 2020 - February 4, 2020
Bismarck, ND</t>
      </text>
    </comment>
    <comment authorId="0" ref="AL4">
      <text>
        <t xml:space="preserve">Green Bay Film Festival
February 6, 2020 - March 8, 2020
De Pere, WI</t>
      </text>
    </comment>
    <comment authorId="0" ref="BT4">
      <text>
        <t xml:space="preserve">Environmental Film Festival in the Nation's Capital
March 12, 2020 - March 22, 2020
Washington, D.C, DC</t>
      </text>
    </comment>
    <comment authorId="0" ref="CK4">
      <text>
        <t xml:space="preserve">Rockland Jewish Film Festival
March 29, 2020 - April 30, 2020
West Nyack, NY</t>
      </text>
    </comment>
    <comment authorId="0" ref="DT4">
      <text>
        <t xml:space="preserve">Detroit Jewish Film Festival
May 3, 2020 - May 13, 2020
Detroit, MI</t>
      </text>
    </comment>
    <comment authorId="0" ref="EF4">
      <text>
        <t xml:space="preserve">Rooftop Films Summer Series
May 15, 2020 - August 21, 2020
New York, NY</t>
      </text>
    </comment>
    <comment authorId="0" ref="IH4">
      <text>
        <t xml:space="preserve">VOB Film Festival
August 29, 2020 - September 6, 2020
Carmel, NY</t>
      </text>
    </comment>
    <comment authorId="0" ref="IT4">
      <text>
        <t xml:space="preserve">San Francisco Green Film Festival
September 10, 2020 - September 20, 2020
San Francisco, CA</t>
      </text>
    </comment>
    <comment authorId="0" ref="JH4">
      <text>
        <t xml:space="preserve">GI Film Festival San Diego
September 24, 2020 - September 29, 2020
San Diego, CA</t>
      </text>
    </comment>
    <comment authorId="0" ref="JO4">
      <text>
        <t xml:space="preserve">Cinema Touching Disability
October 1, 2020 - October 31, 2020
Austin, TX</t>
      </text>
    </comment>
    <comment authorId="0" ref="KZ4">
      <text>
        <t xml:space="preserve">Fort Lauderdale International Film Festival
November 6, 2020 - November 22, 2020
Fort Lauderdale, FL</t>
      </text>
    </comment>
    <comment authorId="0" ref="LW4">
      <text>
        <t xml:space="preserve">Another Hole in the Head Film Festival
November 29, 2020 - December 13, 2020
San Francisco, CA</t>
      </text>
    </comment>
    <comment authorId="0" ref="K5">
      <text>
        <t xml:space="preserve">Coven Film Festival
January 10, 2020 - January 12, 2020
San Francisco, CA</t>
      </text>
    </comment>
    <comment authorId="0" ref="P5">
      <text>
        <t xml:space="preserve">Santa Barbara International Film Festival
January 15, 2020 - January 25, 2020
Santa Barbara, CA</t>
      </text>
    </comment>
    <comment authorId="0" ref="AD5">
      <text>
        <t xml:space="preserve">NC South Asian Film Festival
January 29, 2020 - January 29, 2020
Durham, NC</t>
      </text>
    </comment>
    <comment authorId="0" ref="AF5">
      <text>
        <t xml:space="preserve">Cascade Festival of African Films
January 31, 2020 - February 29, 2020
Portland, OR</t>
      </text>
    </comment>
    <comment authorId="0" ref="BN5">
      <text>
        <t xml:space="preserve">Portland International Film Festival
March 5, 2020 - March 19, 2020
Portland, OR</t>
      </text>
    </comment>
    <comment authorId="0" ref="CC5">
      <text>
        <t xml:space="preserve">Albany Film Fest
March 21, 2020 - March 29, 2020
Albany, CA</t>
      </text>
    </comment>
    <comment authorId="0" ref="CN5">
      <text>
        <t xml:space="preserve">Italian Film Festival USA
April 1, 2020 - April 30, 2020
St. Louis, MO</t>
      </text>
    </comment>
    <comment authorId="0" ref="DS5">
      <text>
        <t xml:space="preserve">Red Wasp Film Festival
May 2, 2020 - May 3, 2020
College Station, TX</t>
      </text>
    </comment>
    <comment authorId="0" ref="DX5">
      <text>
        <t xml:space="preserve">Washington Jewish Film Festival
May 7, 2020 - May 24, 2020
Washington, D.C, DC</t>
      </text>
    </comment>
    <comment authorId="0" ref="ET5">
      <text>
        <t xml:space="preserve">International Buddhist Film Festival
May 29, 2020 - June 28, 2020
Oakland, CA</t>
      </text>
    </comment>
    <comment authorId="0" ref="GC5">
      <text>
        <t xml:space="preserve">Roswell Sci-Fi Film Festival
July 3, 2020 - July 5, 2020
Roswell, NM</t>
      </text>
    </comment>
    <comment authorId="0" ref="GI5">
      <text>
        <t xml:space="preserve">Newark Black Film Festival
July 9, 2020 - July 11, 2020
Newark, NJ</t>
      </text>
    </comment>
    <comment authorId="0" ref="GP5">
      <text>
        <t xml:space="preserve">San Francisco Jewish Film Festival
July 16, 2020 - August 2, 2020
San Francisco, CA</t>
      </text>
    </comment>
    <comment authorId="0" ref="HK5">
      <text>
        <t xml:space="preserve">Chain NYC Film Festival
August 6, 2020 - August 16, 2020
New York, NY</t>
      </text>
    </comment>
    <comment authorId="0" ref="HZ5">
      <text>
        <t xml:space="preserve">California Independent Film Festival
August 21, 2020 - August 29, 2020
Danville, CA</t>
      </text>
    </comment>
    <comment authorId="0" ref="IN5">
      <text>
        <t xml:space="preserve">Royal Starr Film Festival
September 4, 2020 - September 13, 2020
Royal Oak, MI</t>
      </text>
    </comment>
    <comment authorId="0" ref="JA5">
      <text>
        <t xml:space="preserve">Breckenridge Film Festival
September 17, 2020 - September 20, 2020
Breckenridge, CO</t>
      </text>
    </comment>
    <comment authorId="0" ref="JH5">
      <text>
        <t xml:space="preserve">Great Lakes International Film Festival
September 24, 2020 - October 10, 2020
Erie, PA</t>
      </text>
    </comment>
    <comment authorId="0" ref="KA5">
      <text>
        <t xml:space="preserve">Nashville Jewish Film Festival
October 13, 2020 - November 5, 2020
Nashville, TN</t>
      </text>
    </comment>
    <comment authorId="0" ref="LA5">
      <text>
        <t xml:space="preserve">Philadelphia Jewish Film Festival
November 7, 2020 - November 21, 2020
Philadelphia, PA</t>
      </text>
    </comment>
    <comment authorId="0" ref="LX5">
      <text>
        <t xml:space="preserve">Santa Monica International Film Festival
November 30, 2020 - November 30, 2020
Santa Monica, CA</t>
      </text>
    </comment>
    <comment authorId="0" ref="MB5">
      <text>
        <t xml:space="preserve">Anchorage International Film Festival
December 4, 2020 - December 13, 2020
Anchorage, AK</t>
      </text>
    </comment>
    <comment authorId="0" ref="L6">
      <text>
        <t xml:space="preserve">Sunshine City Film Festival
January 11, 2020 - January 20, 2020
Saint Peterburg, FL</t>
      </text>
    </comment>
    <comment authorId="0" ref="X6">
      <text>
        <t xml:space="preserve">Sundance Film Festival 
January 23, 2020 - February 2, 2020
Park City, UT</t>
      </text>
    </comment>
    <comment authorId="0" ref="AN6">
      <text>
        <t xml:space="preserve">Louisville Jewish Film Festival
February 8, 2020 - March 3, 2020
Louisville, KY</t>
      </text>
    </comment>
    <comment authorId="0" ref="BN6">
      <text>
        <t xml:space="preserve">Hartford Jewish Film Festival
March 5, 2020 - March 15, 2020
Hartford, CT</t>
      </text>
    </comment>
    <comment authorId="0" ref="CC6">
      <text>
        <t xml:space="preserve">Seattle Jewish Film Festival
March 21, 2020 - April 5, 2020
Mercer Island, WA</t>
      </text>
    </comment>
    <comment authorId="0" ref="CV6">
      <text>
        <t xml:space="preserve">Minneapolis-St. Paul International Film Festival
April 9, 2020 - April 30, 2020
Minneapolis, MN</t>
      </text>
    </comment>
    <comment authorId="0" ref="DS6">
      <text>
        <t xml:space="preserve">Women of African Descent Film Festival
May 2, 2020 - May 2, 2020
Brooklyn, NY</t>
      </text>
    </comment>
    <comment authorId="0" ref="DW6">
      <text>
        <t xml:space="preserve">Cine Las Americas International Film Festival
May 6, 2020 - May 10, 2020
Austin, TX</t>
      </text>
    </comment>
    <comment authorId="0" ref="EF6">
      <text>
        <t xml:space="preserve">New York African Film Festival
May 15, 2020 - May 31, 2020
New York, NY</t>
      </text>
    </comment>
    <comment authorId="0" ref="FA6">
      <text>
        <t xml:space="preserve">Miami Independent Film Festival
June 5, 2020 - July 5, 2020
Miami Beach, FL</t>
      </text>
    </comment>
    <comment authorId="0" ref="GJ6">
      <text>
        <t xml:space="preserve">Damn These Heels LGBTQ Film Festival
July 10, 2020 - July 12, 2020
Salt Lake City, UT</t>
      </text>
    </comment>
    <comment authorId="0" ref="GP6">
      <text>
        <t xml:space="preserve">Outfest Los Angeles LGBTQ Film Festival
July 16, 2020 - July 26, 2020
Los Angeles, CA</t>
      </text>
    </comment>
    <comment authorId="0" ref="HB6">
      <text>
        <t xml:space="preserve">San Antonio Film Festival
July 28, 2020 - August 2, 2020
San Antonio, TX</t>
      </text>
    </comment>
    <comment authorId="0" ref="HL6">
      <text>
        <t xml:space="preserve">Festival of Cinema NYC
August 7, 2020 - August 16, 2020
New York, NY</t>
      </text>
    </comment>
    <comment authorId="0" ref="HZ6">
      <text>
        <t xml:space="preserve">Defy Film Festival
August 21, 2020 - August 22, 2020
Nashville, TN</t>
      </text>
    </comment>
    <comment authorId="0" ref="IC6">
      <text>
        <t xml:space="preserve">Sidewalk Film Festival
August 24, 2020 - August 30, 2020
Birmingham, AL</t>
      </text>
    </comment>
    <comment authorId="0" ref="IN6">
      <text>
        <t xml:space="preserve">FilmQuest
September 4, 2020 - September 12, 2020
Provo, UT</t>
      </text>
    </comment>
    <comment authorId="0" ref="IY6">
      <text>
        <t xml:space="preserve">Oregon Independent Film Festival 
September 15, 2020 - September 30, 2020
Eugene, OR</t>
      </text>
    </comment>
    <comment authorId="0" ref="JP6">
      <text>
        <t xml:space="preserve">Tasveer South Asian Film Festival
October 2, 2020 - October 11, 2020
Seattle, WA</t>
      </text>
    </comment>
    <comment authorId="0" ref="KC6">
      <text>
        <t xml:space="preserve">Fashion Film Festival of Chicago
October 15, 2020 - October 15, 2020
Chicago, IL</t>
      </text>
    </comment>
    <comment authorId="0" ref="KE6">
      <text>
        <t xml:space="preserve">Twin Cities Jewish Film Festival
October 17, 2020 - November 1, 2020
St. Louis Park, MN</t>
      </text>
    </comment>
    <comment authorId="0" ref="KX6">
      <text>
        <t xml:space="preserve">Denver Film Festival
November 4, 2020 - November 15, 2020
Denver, CO</t>
      </text>
    </comment>
    <comment authorId="0" ref="LL6">
      <text>
        <t xml:space="preserve">Key West Film Festival
November 18, 2020 - November 22, 2020
Key West, FL</t>
      </text>
    </comment>
    <comment authorId="0" ref="MA6">
      <text>
        <t xml:space="preserve">Hamptons Doc Fest
December 3, 2020 - December 7, 2020
Sag Harbor, NY</t>
      </text>
    </comment>
    <comment authorId="0" ref="MH6">
      <text>
        <t xml:space="preserve">Nihilist International Film Festival, The
December 10, 2020 - December 18, 2020
Los Angeles, CA</t>
      </text>
    </comment>
    <comment authorId="0" ref="K7">
      <text>
        <t xml:space="preserve">Los Angeles Women's International Film Festival
January 10, 2020 - January 12, 2020
Burbank, CA</t>
      </text>
    </comment>
    <comment authorId="0" ref="O7">
      <text>
        <t xml:space="preserve">Tucson International Jewish Film Festival
January 14, 2020 - January 19, 2020
Tucson, AZ</t>
      </text>
    </comment>
    <comment authorId="0" ref="AA7">
      <text>
        <t xml:space="preserve">Palm Beach Jewish Film Festival
January 26, 2020 - February 16, 2020
Palm Beach, FL</t>
      </text>
    </comment>
    <comment authorId="0" ref="BA7">
      <text>
        <t xml:space="preserve">New York International Children’s Film Festival
February 21, 2020 - March 15, 2020
New York, NY</t>
      </text>
    </comment>
    <comment authorId="0" ref="CC7">
      <text>
        <t xml:space="preserve">Houston Jewish Film Festival
March 21, 2020 - April 1, 2020
Houston, TX</t>
      </text>
    </comment>
    <comment authorId="0" ref="CP7">
      <text>
        <t xml:space="preserve">Asian American Showcase, The
April 3, 2020 - April 16, 2020
Chicago, IL</t>
      </text>
    </comment>
    <comment authorId="0" ref="DE7">
      <text>
        <t xml:space="preserve">Gadabout Film Festival
April 18, 2020 - April 18, 2020
Bloomington, IN</t>
      </text>
    </comment>
    <comment authorId="0" ref="DK7">
      <text>
        <t xml:space="preserve">Richmond Dance Festival
April 24, 2020 - May 9, 2020
Richmond, VA</t>
      </text>
    </comment>
    <comment authorId="0" ref="EE7">
      <text>
        <t xml:space="preserve">Seattle International Film Festival
May 14, 2020 - June 7, 2020
Seattle, WA</t>
      </text>
    </comment>
    <comment authorId="0" ref="FE7">
      <text>
        <t xml:space="preserve">Dayton Jewish Film Festival
June 9, 2020 - June 30, 2020
Dayton, OH</t>
      </text>
    </comment>
    <comment authorId="0" ref="GJ7">
      <text>
        <t xml:space="preserve">Maine International Film Festival
July 10, 2020 - July 19, 2020
Waterville, ME</t>
      </text>
    </comment>
    <comment authorId="0" ref="GY7">
      <text>
        <t xml:space="preserve">Woods Hole Film Festival
July 25, 2020 - August 1, 2020
Woods Hole, MA</t>
      </text>
    </comment>
    <comment authorId="0" ref="HL7">
      <text>
        <t xml:space="preserve">Kew Gardens Festival of Cinema
August 7, 2020 - August 16, 2020
Forest Hills, NY</t>
      </text>
    </comment>
    <comment authorId="0" ref="HY7">
      <text>
        <t xml:space="preserve">San Diego Underground Film Festival
August 20, 2020 - August 23, 2020
San Diego, CA</t>
      </text>
    </comment>
    <comment authorId="0" ref="IG7">
      <text>
        <t xml:space="preserve">Nevada City Film Festival
August 28, 2020 - September 4, 2020
Nevada City, CA</t>
      </text>
    </comment>
    <comment authorId="0" ref="IT7">
      <text>
        <t xml:space="preserve">DC Shorts Film Festival
September 10, 2020 - September 19, 2020
Washington, D.C, DC</t>
      </text>
    </comment>
    <comment authorId="0" ref="JH7">
      <text>
        <t xml:space="preserve">Manhattan Short Film Festival
September 24, 2020 - October 4, 2020
New York, NY</t>
      </text>
    </comment>
    <comment authorId="0" ref="JU7">
      <text>
        <t xml:space="preserve">Baltimore International Black Film Festival
October 7, 2020 - October 12, 2020
Baltimore, MD</t>
      </text>
    </comment>
    <comment authorId="0" ref="KC7">
      <text>
        <t xml:space="preserve">Milwaukee Film Festival 
October 15, 2020 - October 29, 2020
Milwaukee, WI</t>
      </text>
    </comment>
    <comment authorId="0" ref="KT7">
      <text>
        <t xml:space="preserve">Red Nation International Film Festival
November 1, 2020 - November 15, 2020
Los Angeles, CA</t>
      </text>
    </comment>
    <comment authorId="0" ref="LL7">
      <text>
        <t xml:space="preserve">Society for Visual Anthropology Film and Media Festival
November 18, 2020 - November 21, 2020
Vancouver, BC</t>
      </text>
    </comment>
    <comment authorId="0" ref="MA7">
      <text>
        <t xml:space="preserve">New York City Horror Film Festival, The
December 3, 2020 - December 6, 2020
New York, NY</t>
      </text>
    </comment>
    <comment authorId="0" ref="MH7">
      <text>
        <t xml:space="preserve">InterFaith Film &amp; Music Festival
December 10, 2020 - December 13, 2020
New York, NY</t>
      </text>
    </comment>
    <comment authorId="0" ref="L8">
      <text>
        <t xml:space="preserve">Kinetiscope: International Screendance Film Festival
January 11, 2020 - January 12, 2020
Missoula, MT</t>
      </text>
    </comment>
    <comment authorId="0" ref="P8">
      <text>
        <t xml:space="preserve">Baton Rouge Jewish Film Festival
January 15, 2020 - January 20, 2020
Baton Rouge, LA</t>
      </text>
    </comment>
    <comment authorId="0" ref="W8">
      <text>
        <t xml:space="preserve">Cinema on the Bayou
January 22, 2020 - January 29, 2020
Lafayette, LA</t>
      </text>
    </comment>
    <comment authorId="0" ref="AG8">
      <text>
        <t xml:space="preserve">Charlotte Jewish Film Festival
February 1, 2020 - February 23, 2020
Charlotte, NC</t>
      </text>
    </comment>
    <comment authorId="0" ref="BF8">
      <text>
        <t xml:space="preserve">One Screen Short Film Festival
February 26, 2020 - February 26, 2020
New York, NY</t>
      </text>
    </comment>
    <comment authorId="0" ref="BH8">
      <text>
        <t xml:space="preserve">Chicago Jewish Film Festival
February 28, 2020 - March 15, 2020
Chicago, IL</t>
      </text>
    </comment>
    <comment authorId="0" ref="BY8">
      <text>
        <t xml:space="preserve">Gasparilla International Film Festival
March 17, 2020 - March 22, 2020
Tampa, FL</t>
      </text>
    </comment>
    <comment authorId="0" ref="CG8">
      <text>
        <t xml:space="preserve">Cleveland International Film Festival
March 25, 2020 - April 5, 2020
Cleveland, OH</t>
      </text>
    </comment>
    <comment authorId="0" ref="CU8">
      <text>
        <t xml:space="preserve">San Francisco International Film Festival
April 8, 2020 - April 21, 2020
San Francisco, CA</t>
      </text>
    </comment>
    <comment authorId="0" ref="DJ8">
      <text>
        <t xml:space="preserve">FilmFest DC 
April 23, 2020 - May 3, 2020
Washington, D.C, DC</t>
      </text>
    </comment>
    <comment authorId="0" ref="DY8">
      <text>
        <t xml:space="preserve">Workers Unite Film Festival, The 
May 8, 2020 - May 23, 2020
New York, NY</t>
      </text>
    </comment>
    <comment authorId="0" ref="EP8">
      <text>
        <t xml:space="preserve">Orlando Urban Film Festival
May 25, 2020 - May 25, 2020
Orlando, FL</t>
      </text>
    </comment>
    <comment authorId="0" ref="ET8">
      <text>
        <t xml:space="preserve">Brooklyn Film Festival
May 29, 2020 - June 7, 2020
Brooklyn, NY</t>
      </text>
    </comment>
    <comment authorId="0" ref="FG8">
      <text>
        <t xml:space="preserve">Kids' Video Connection Children's Film Festival
June 11, 2020 - June 27, 2020
Decatur, GA</t>
      </text>
    </comment>
    <comment authorId="0" ref="FY8">
      <text>
        <t xml:space="preserve">Etheria Film Night 
June 29, 2020 - June 29, 2020
Los Angeles, CA</t>
      </text>
    </comment>
    <comment authorId="0" ref="GQ8">
      <text>
        <t xml:space="preserve">New Hope Film Festival
July 17, 2020 - July 26, 2020
New Hope, PA</t>
      </text>
    </comment>
    <comment authorId="0" ref="HB8">
      <text>
        <t xml:space="preserve">Traverse City Film Festival
July 28, 2020 - August 2, 2020
Traverse City, MI</t>
      </text>
    </comment>
    <comment authorId="0" ref="HK8">
      <text>
        <t xml:space="preserve">All Genders, Lifestyles, and Identities Film Festival 
August 6, 2020 - August 9, 2020
Austin, TX</t>
      </text>
    </comment>
    <comment authorId="0" ref="HR8">
      <text>
        <t xml:space="preserve">HollyShorts 
August 13, 2020 - August 22, 2020
Los Angeles, CA</t>
      </text>
    </comment>
    <comment authorId="0" ref="IG8">
      <text>
        <t xml:space="preserve">Buffalo Dreams Fantastic Film Festival
August 28, 2020 - September 3, 2020
Depew, NY</t>
      </text>
    </comment>
    <comment authorId="0" ref="IO8">
      <text>
        <t xml:space="preserve">Valley Film Festival, The
September 5, 2020 - September 13, 2020
North Hollywood, CA</t>
      </text>
    </comment>
    <comment authorId="0" ref="JA8">
      <text>
        <t xml:space="preserve">Cinema Diverse: The Palm Springs LGBTQ Film Festival
September 17, 2020 - September 20, 2020
Palm Springs, CA</t>
      </text>
    </comment>
    <comment authorId="0" ref="JH8">
      <text>
        <t xml:space="preserve">Reeling: The Chicago LGBTQ+ International Film Festival
September 24, 2020 - October 4, 2020
Chicago, IL</t>
      </text>
    </comment>
    <comment authorId="0" ref="JU8">
      <text>
        <t xml:space="preserve">Chagrin Documentary Film Festival
October 7, 2020 - October 11, 2020
Chagrin Falls, OH</t>
      </text>
    </comment>
    <comment authorId="0" ref="KB8">
      <text>
        <t xml:space="preserve">Chicago International Film Festival
October 14, 2020 - October 25, 2020
Chicago, IL</t>
      </text>
    </comment>
    <comment authorId="0" ref="KR8">
      <text>
        <t xml:space="preserve">Desmond District Demons Film Festival
October 30, 2020 - October 31, 2020
Port Huron, MI</t>
      </text>
    </comment>
    <comment authorId="0" ref="KY8">
      <text>
        <t xml:space="preserve">Hawaii International Film Festival
November 5, 2020 - November 15, 2020
Honolulu, HI</t>
      </text>
    </comment>
    <comment authorId="0" ref="LM8">
      <text>
        <t xml:space="preserve">Williamsburg Independent Film Festival
November 19, 2020 - November 22, 2020
New York, NY</t>
      </text>
    </comment>
    <comment authorId="0" ref="MA8">
      <text>
        <t xml:space="preserve">Tampa Bay Underground Film Festival
December 3, 2020 - December 6, 2020
Tampa Bay, FL</t>
      </text>
    </comment>
    <comment authorId="0" ref="MI8">
      <text>
        <t xml:space="preserve">Silicon Valley International Film Festival
December 11, 2020 - December 12, 2020
San Francisco, CA</t>
      </text>
    </comment>
    <comment authorId="0" ref="L9">
      <text>
        <t xml:space="preserve">American Horror Film Festival
January 11, 2020 - January 11, 2020
Tempe, AZ</t>
      </text>
    </comment>
    <comment authorId="0" ref="Q9">
      <text>
        <t xml:space="preserve">Borrego Springs Film Festival
January 16, 2020 - January 20, 2020
Borrego Springs, CA</t>
      </text>
    </comment>
    <comment authorId="0" ref="Y9">
      <text>
        <t xml:space="preserve">Panic Fest
January 24, 2020 - January 30, 2020
Kansas City, MO</t>
      </text>
    </comment>
    <comment authorId="0" ref="AK9">
      <text>
        <t xml:space="preserve">Atlanta Jewish Film Festival
February 5, 2020 - February 25, 2020
Atlanta, GA</t>
      </text>
    </comment>
    <comment authorId="0" ref="BG9">
      <text>
        <t xml:space="preserve">Athena Film Festival 
February 27, 2020 - March 1, 2020
New York, NY</t>
      </text>
    </comment>
    <comment authorId="0" ref="BL9">
      <text>
        <t xml:space="preserve">Cinequest
March 3, 2020 - March 15, 2020
San Jose, CA</t>
      </text>
    </comment>
    <comment authorId="0" ref="BY9">
      <text>
        <t xml:space="preserve">San Luis Obispo International Film Festival
March 17, 2020 - March 22, 2020
San Luis Obispo, CA</t>
      </text>
    </comment>
    <comment authorId="0" ref="CG9">
      <text>
        <t xml:space="preserve">New Directors/New Films
March 25, 2020 - April 5, 2020
New York, NY</t>
      </text>
    </comment>
    <comment authorId="0" ref="CV9">
      <text>
        <t xml:space="preserve">Capital City Film Festival
April 9, 2020 - April 18, 2020
Lansing, MI</t>
      </text>
    </comment>
    <comment authorId="0" ref="DJ9">
      <text>
        <t xml:space="preserve">Manhattan Film Festival
April 23, 2020 - May 7, 2020
New York, NY</t>
      </text>
    </comment>
    <comment authorId="0" ref="DZ9">
      <text>
        <t xml:space="preserve">NCCC Film &amp; Animation Festival
May 9, 2020 - May 9, 2020
Sanborn, NY</t>
      </text>
    </comment>
    <comment authorId="0" ref="EE9">
      <text>
        <t xml:space="preserve">CAAM Fest
May 14, 2020 - May 24, 2020
Bay Area, CA</t>
      </text>
    </comment>
    <comment authorId="0" ref="ER9">
      <text>
        <t xml:space="preserve">Duluth-Superior Film Festival
May 27, 2020 - May 31, 2020
Duluth, MN</t>
      </text>
    </comment>
    <comment authorId="0" ref="EZ9">
      <text>
        <t xml:space="preserve">San Francisco Documentary Festival
June 4, 2020 - June 18, 2020
San Francisco, CA</t>
      </text>
    </comment>
    <comment authorId="0" ref="FQ9">
      <text>
        <t xml:space="preserve">New York Lift-Off Film Festival
June 21, 2020 - June 28, 2020
Brooklyn, NY</t>
      </text>
    </comment>
    <comment authorId="0" ref="GO9">
      <text>
        <t xml:space="preserve">LA Shorts International Film Festival
July 15, 2020 - July 23, 2020
Los Angeles, CA</t>
      </text>
    </comment>
    <comment authorId="0" ref="HB9">
      <text>
        <t xml:space="preserve">Whistleblower Summit &amp; Film Festival 
July 28, 2020 - August 1, 2020
Washington , DC</t>
      </text>
    </comment>
    <comment authorId="0" ref="HK9">
      <text>
        <t xml:space="preserve">Popcorn Frights Film Festival
August 6, 2020 - August 14, 2020
Fort Lauderdale, FL</t>
      </text>
    </comment>
    <comment authorId="0" ref="HY9">
      <text>
        <t xml:space="preserve">Trinity International Film Festival
August 20, 2020 - August 23, 2020
Inkster, MI</t>
      </text>
    </comment>
    <comment authorId="0" ref="IE9">
      <text>
        <t xml:space="preserve">BronzeLens Film Festival
August 26, 2020 - August 30, 2020
Atlanta, GA</t>
      </text>
    </comment>
    <comment authorId="0" ref="IM9">
      <text>
        <t xml:space="preserve">Broad Humor Film Festival, The 
September 3, 2020 - September 6, 2020
Los Angeles, CA</t>
      </text>
    </comment>
    <comment authorId="0" ref="IR9">
      <text>
        <t xml:space="preserve">Martha's Vinyard International Film Festival
September 8, 2020 - September 13, 2020
Vineyard Haven, MA</t>
      </text>
    </comment>
    <comment authorId="0" ref="JC9">
      <text>
        <t xml:space="preserve">Golden Door Film Festival
September 19, 2020 - September 26, 2020
Jersey City, NJ</t>
      </text>
    </comment>
    <comment authorId="0" ref="JO9">
      <text>
        <t xml:space="preserve">Awareness Festival
October 1, 2020 - October 11, 2020
Los Angeles, CA</t>
      </text>
    </comment>
    <comment authorId="0" ref="KC9">
      <text>
        <t xml:space="preserve">United Nations Association Film Festival (UNAFF)
October 15, 2020 - October 25, 2020
Palo Alto, CA</t>
      </text>
    </comment>
    <comment authorId="0" ref="KY9">
      <text>
        <t xml:space="preserve">Lake County Film Festival, The
November 5, 2020 - November 15, 2020
Grayslake, IL</t>
      </text>
    </comment>
    <comment authorId="0" ref="LN9">
      <text>
        <t xml:space="preserve">Carrboro Film Fest
November 20, 2020 - November 22, 2020
Carrboro, NC</t>
      </text>
    </comment>
    <comment authorId="0" ref="MC9">
      <text>
        <t xml:space="preserve">Los Angeles Animation Festival
December 5, 2020 - December 6, 2020
Los Angeles, CA</t>
      </text>
    </comment>
    <comment authorId="0" ref="L10">
      <text>
        <t xml:space="preserve">Hollywood Short Film Festival
January 11, 2020 - January 11, 2020
Los Angeles, CA</t>
      </text>
    </comment>
    <comment authorId="0" ref="Q10">
      <text>
        <t xml:space="preserve">Wild &amp; Scenic Film Festival
January 16, 2020 - January 20, 2020
Nevada City, CA</t>
      </text>
    </comment>
    <comment authorId="0" ref="W10">
      <text>
        <t xml:space="preserve">Denton Black Film Festival 
January 22, 2020 - January 26, 2020
Denton, TX</t>
      </text>
    </comment>
    <comment authorId="0" ref="AE10">
      <text>
        <t xml:space="preserve">San Francisco Independent Film Festival
January 30, 2020 - February 13, 2020
San Francisco, CA</t>
      </text>
    </comment>
    <comment authorId="0" ref="AU10">
      <text>
        <t xml:space="preserve">Bay Area International Childrens Film Festival
February 15, 2020 - February 16, 2020
Oakland, CA</t>
      </text>
    </comment>
    <comment authorId="0" ref="AX10">
      <text>
        <t xml:space="preserve">Beaufort International Film Festival
February 18, 2020 - February 23, 2020
Beaufort, SC</t>
      </text>
    </comment>
    <comment authorId="0" ref="BG10">
      <text>
        <t xml:space="preserve">Children's Film Festival Seattle
February 27, 2020 - March 8, 2020
Seattle, WA</t>
      </text>
    </comment>
    <comment authorId="0" ref="BT10">
      <text>
        <t xml:space="preserve">San Diego Latino Film Festival
March 12, 2020 - March 22, 2020
San Diego, CA</t>
      </text>
    </comment>
    <comment authorId="0" ref="CG10">
      <text>
        <t xml:space="preserve">Pioneer Valley Jewish Film Festival
March 25, 2020 - April 5, 2020
Springfield, MA</t>
      </text>
    </comment>
    <comment authorId="0" ref="CU10">
      <text>
        <t xml:space="preserve">Bosnian-Herzegovinian Film Festival
April 8, 2020 - April 11, 2020
New York, NY</t>
      </text>
    </comment>
    <comment authorId="0" ref="DB10">
      <text>
        <t xml:space="preserve">Arizona International Film Festival
April 15, 2020 - April 26, 2020
Tucson, AZ</t>
      </text>
    </comment>
    <comment authorId="0" ref="DQ10">
      <text>
        <t xml:space="preserve">Atlanta Film Festival
April 30, 2020 - May 10, 2020
Atlanta, GA</t>
      </text>
    </comment>
    <comment authorId="0" ref="EE10">
      <text>
        <t xml:space="preserve">Chico Independent Film Festival, The
May 14, 2020 - May 24, 2020
Chico, CA</t>
      </text>
    </comment>
    <comment authorId="0" ref="ES10">
      <text>
        <t xml:space="preserve">Berkshire International Film Festival
May 28, 2020 - May 31, 2020
Great Barrington, MA</t>
      </text>
    </comment>
    <comment authorId="0" ref="FA10">
      <text>
        <t xml:space="preserve">Arab Film Festival @ Arab National Museum
June 5, 2020 - June 14, 2020
Dearborn, MI</t>
      </text>
    </comment>
    <comment authorId="0" ref="FL10">
      <text>
        <t xml:space="preserve">Portland Jewish Film Festival
June 16, 2020 - June 30, 2020
Portland, OR</t>
      </text>
    </comment>
    <comment authorId="0" ref="GP10">
      <text>
        <t xml:space="preserve">Stony Brook Film Festival
July 16, 2020 - July 24, 2020
Stony Brook, NY</t>
      </text>
    </comment>
    <comment authorId="0" ref="HC10">
      <text>
        <t xml:space="preserve">Long Beach International Film Festival
July 29, 2020 - August 2, 2020
Long Beach, NY</t>
      </text>
    </comment>
    <comment authorId="0" ref="HL10">
      <text>
        <t xml:space="preserve">RSF Martha's Vinyard African American Film Festival, The
August 7, 2020 - August 15, 2020
Vinyard Havens, MA</t>
      </text>
    </comment>
    <comment authorId="0" ref="HZ10">
      <text>
        <t xml:space="preserve">Black Cat Picture Show
August 21, 2020 - August 23, 2020
Augusta , GA</t>
      </text>
    </comment>
    <comment authorId="0" ref="IE10">
      <text>
        <t xml:space="preserve">Los Angeles Diversity Film Festival
August 26, 2020 - August 29, 2020
West Hollywood, CA</t>
      </text>
    </comment>
    <comment authorId="0" ref="IN10">
      <text>
        <t xml:space="preserve">Oil Valley Film Festival
September 4, 2020 - September 6, 2020
Oil City, PA</t>
      </text>
    </comment>
    <comment authorId="0" ref="IR10">
      <text>
        <t xml:space="preserve">Topaz Film Festival by Women in Film Dallas
September 8, 2020 - September 13, 2020
Dallas, TX</t>
      </text>
    </comment>
    <comment authorId="0" ref="JA10">
      <text>
        <t xml:space="preserve">DocuWest Documentary Film Festival
September 17, 2020 - September 20, 2020
Denver, CO</t>
      </text>
    </comment>
    <comment authorId="0" ref="JI10">
      <text>
        <t xml:space="preserve">Providence Latin American Film Festival
September 25, 2020 - October 3, 2020
Providence, RI</t>
      </text>
    </comment>
    <comment authorId="0" ref="JV10">
      <text>
        <t xml:space="preserve">Heartland International Film Festival 
October 8, 2020 - October 18, 2020
Indianapolis, IN</t>
      </text>
    </comment>
    <comment authorId="0" ref="KI10">
      <text>
        <t xml:space="preserve">Twin Cities Film Festival
October 21, 2020 - October 31, 2020
Minneapolis, MN</t>
      </text>
    </comment>
    <comment authorId="0" ref="KY10">
      <text>
        <t xml:space="preserve">Northern Virginia Jewish Film Festival
November 5, 2020 - November 15, 2020
Fairfax, VA</t>
      </text>
    </comment>
    <comment authorId="0" ref="LO10">
      <text>
        <t xml:space="preserve">Boston International Kids Film Festival
November 21, 2020 - November 22, 2020
Melrose, MA</t>
      </text>
    </comment>
    <comment authorId="0" ref="MB10">
      <text>
        <t xml:space="preserve">Denver Underground Film Festival
December 4, 2020 - December 4, 2020
Denver, CO</t>
      </text>
    </comment>
    <comment authorId="0" ref="L11">
      <text>
        <t xml:space="preserve">Lady Wild Film Fest
January 11, 2020 - January 11, 2020
Ogden, UT</t>
      </text>
    </comment>
    <comment authorId="0" ref="Q11">
      <text>
        <t xml:space="preserve">Lookout Wild Film Festival
January 16, 2020 - January 19, 2020
Chattanooga, TN</t>
      </text>
    </comment>
    <comment authorId="0" ref="Y11">
      <text>
        <t xml:space="preserve">Slamdance Film Festival 
January 24, 2020 - January 30, 2020
Park City, UT</t>
      </text>
    </comment>
    <comment authorId="0" ref="AO11">
      <text>
        <t xml:space="preserve">Phoenix Jewish Film Festival
February 9, 2020 - February 23, 2020
Phoenix, AZ</t>
      </text>
    </comment>
    <comment authorId="0" ref="BG11">
      <text>
        <t xml:space="preserve">Bonita Springs International Film Festival
February 27, 2020 - March 1, 2020
Bonita Springs, FL</t>
      </text>
    </comment>
    <comment authorId="0" ref="BO11">
      <text>
        <t xml:space="preserve">Miami Film Festival
March 6, 2020 - March 15, 2020
Miami, FL</t>
      </text>
    </comment>
    <comment authorId="0" ref="CA11">
      <text>
        <t xml:space="preserve">New Hampshire Jewish Film Festival
March 19, 2020 - March 29, 2020
Manchester, NH</t>
      </text>
    </comment>
    <comment authorId="0" ref="CO11">
      <text>
        <t xml:space="preserve">Wicked Queer: The Boston LGBT Film Festival
April 2, 2020 - April 12, 2020
Boston, MA</t>
      </text>
    </comment>
    <comment authorId="0" ref="DB11">
      <text>
        <t xml:space="preserve">Tribeca Film Festival
April 15, 2020 - April 26, 2020
New York, NY</t>
      </text>
    </comment>
    <comment authorId="0" ref="DQ11">
      <text>
        <t xml:space="preserve">CineMarfa Film Festival
April 30, 2020 - May 10, 2020
Marfa, TX</t>
      </text>
    </comment>
    <comment authorId="0" ref="ED11">
      <text>
        <t xml:space="preserve">Heritage Film Festival
May 13, 2020 - May 16, 2020
Largo, MD</t>
      </text>
    </comment>
    <comment authorId="0" ref="EI11">
      <text>
        <t xml:space="preserve">ME Film Festival
May 18, 2020 - May 24, 2020
Milledgeville, GA</t>
      </text>
    </comment>
    <comment authorId="0" ref="ET11">
      <text>
        <t xml:space="preserve">Connecticut LGBT Film Festival
May 29, 2020 - June 6, 2020
Hartford, CT</t>
      </text>
    </comment>
    <comment authorId="0" ref="FG11">
      <text>
        <t xml:space="preserve">Dances With Films
June 11, 2020 - June 21, 2020
Los Angeles, CA</t>
      </text>
    </comment>
    <comment authorId="0" ref="FS11">
      <text>
        <t xml:space="preserve">Jersey Shore Film Festival
June 23, 2020 - June 30, 2020
Deal, NJ</t>
      </text>
    </comment>
    <comment authorId="0" ref="GQ11">
      <text>
        <t xml:space="preserve">Brainwash Movie Festival
July 17, 2020 - July 25, 2020
Oakland, CA</t>
      </text>
    </comment>
    <comment authorId="0" ref="HD11">
      <text>
        <t xml:space="preserve">BlackStar Film Festival
July 30, 2020 - August 2, 2020
Philadelphia, PA</t>
      </text>
    </comment>
    <comment authorId="0" ref="HK11">
      <text>
        <t xml:space="preserve">We Like 'em Short - Animation + Comedy Film Festival
August 6, 2020 - August 9, 2020
Baker City, OR</t>
      </text>
    </comment>
    <comment authorId="0" ref="HQ11">
      <text>
        <t xml:space="preserve">New York Latino Film Festival
August 12, 2020 - August 16, 2020
New York, NY</t>
      </text>
    </comment>
    <comment authorId="0" ref="HZ11">
      <text>
        <t xml:space="preserve">Salute Your Shorts
August 21, 2020 - August 23, 2020
Los Angeles, CA</t>
      </text>
    </comment>
    <comment authorId="0" ref="IF11">
      <text>
        <t xml:space="preserve">Middlebury New Filmmakers Festival 
August 27, 2020 - August 30, 2020
Middlebury, VT</t>
      </text>
    </comment>
    <comment authorId="0" ref="IM11">
      <text>
        <t xml:space="preserve">Dragon Con Independent Film Festival
September 3, 2020 - September 7, 2020
Atlanta, GA</t>
      </text>
    </comment>
    <comment authorId="0" ref="IS11">
      <text>
        <t xml:space="preserve">Burbank International Film Festival
September 9, 2020 - September 13, 2020
Burbank, CA</t>
      </text>
    </comment>
    <comment authorId="0" ref="JA11">
      <text>
        <t xml:space="preserve">South Dakota Film Festival
September 17, 2020 - September 20, 2020
Aberdeen, SD</t>
      </text>
    </comment>
    <comment authorId="0" ref="JH11">
      <text>
        <t xml:space="preserve">Fantastic Fest
September 24, 2020 - October 1, 2020
Austin, TX</t>
      </text>
    </comment>
    <comment authorId="0" ref="JQ11">
      <text>
        <t xml:space="preserve">Animation Nights New York 
October 3, 2020 - October 4, 2020
New York, NY</t>
      </text>
    </comment>
    <comment authorId="0" ref="JV11">
      <text>
        <t xml:space="preserve">ImageOut: The Rochester LGBT Film and Video Festival
October 8, 2020 - October 18, 2020
Rochester, NY</t>
      </text>
    </comment>
    <comment authorId="0" ref="KJ11">
      <text>
        <t xml:space="preserve">Philadelphia Film Festival
October 22, 2020 - November 1, 2020
Pliladelphia, PA</t>
      </text>
    </comment>
    <comment authorId="0" ref="KY11">
      <text>
        <t xml:space="preserve">Philadelphia Asian American Film Festival
November 5, 2020 - November 15, 2020
Philadelphia, PA</t>
      </text>
    </comment>
    <comment authorId="0" ref="LO11">
      <text>
        <t xml:space="preserve">CineSol Film Festival
November 21, 2020 - November 22, 2020
Harlingen, TX</t>
      </text>
    </comment>
    <comment authorId="0" ref="R12">
      <text>
        <t xml:space="preserve">Chandler International Film Festival
January 17, 2020 - January 20, 2020
Chandler, AZ</t>
      </text>
    </comment>
    <comment authorId="0" ref="X12">
      <text>
        <t xml:space="preserve">South Texas Underground Film Festival
January 23, 2020 - January 26, 2020
Corpus Christi, TX</t>
      </text>
    </comment>
    <comment authorId="0" ref="AD12">
      <text>
        <t xml:space="preserve">San Diego Black Film Festival
January 29, 2020 - February 2, 2020
San Diego, CA</t>
      </text>
    </comment>
    <comment authorId="0" ref="AK12">
      <text>
        <t xml:space="preserve">Denver Jewish Film Festival
February 5, 2020 - February 17, 2020
Denver, CO</t>
      </text>
    </comment>
    <comment authorId="0" ref="AZ12">
      <text>
        <t xml:space="preserve">Bellingham Human Rights Film Festival
February 20, 2020 - February 29, 2020
Bellingham, WA</t>
      </text>
    </comment>
    <comment authorId="0" ref="BN12">
      <text>
        <t xml:space="preserve">Feminist Border Arts Film Festival
March 5, 2020 - March 6, 2020
Las Cruces, NM</t>
      </text>
    </comment>
    <comment authorId="0" ref="BQ12">
      <text>
        <t xml:space="preserve">Idyllwild International Festival of Cinema
March 9, 2020 - March 15, 2020
Idyllwild, CA</t>
      </text>
    </comment>
    <comment authorId="0" ref="CA12">
      <text>
        <t xml:space="preserve">New Jersey Jewish Film Festival
March 19, 2020 - March 29, 2020
West Orange, NJ</t>
      </text>
    </comment>
    <comment authorId="0" ref="CN12">
      <text>
        <t xml:space="preserve">Show Me Justice Film Festival
April 1, 2020 - April 1, 2020
Warrensburg, MO</t>
      </text>
    </comment>
    <comment authorId="0" ref="CP12">
      <text>
        <t xml:space="preserve">ACT Human Rights Film Festival
April 3, 2020 - April 11, 2020
Fort Collins, CO</t>
      </text>
    </comment>
    <comment authorId="0" ref="DC12">
      <text>
        <t xml:space="preserve">OUTshine LGBTQ+ Film Festival - Miami
April 16, 2020 - April 26, 2020
Miami, FL</t>
      </text>
    </comment>
    <comment authorId="0" ref="DQ12">
      <text>
        <t xml:space="preserve">Indy Film Fest
April 30, 2020 - May 10, 2020
Indianapolis, IN</t>
      </text>
    </comment>
    <comment authorId="0" ref="ED12">
      <text>
        <t xml:space="preserve">Archaeology Channel International Film Festival, The
May 13, 2020 - May 17, 2020
Eugene, OR</t>
      </text>
    </comment>
    <comment authorId="0" ref="EK12">
      <text>
        <t xml:space="preserve">Mammoth Lakes Film Festival
May 20, 2020 - May 24, 2020
Mammoth Lakes, CA</t>
      </text>
    </comment>
    <comment authorId="0" ref="ES12">
      <text>
        <t xml:space="preserve">Las Vegas Film Festival
May 28, 2020 - May 31, 2020
Las Vegas, NV</t>
      </text>
    </comment>
    <comment authorId="0" ref="FA12">
      <text>
        <t xml:space="preserve">Prescott Film Festival 
June 5, 2020 - June 13, 2020
Prescott, AZ</t>
      </text>
    </comment>
    <comment authorId="0" ref="FK12">
      <text>
        <t xml:space="preserve">Happenstance Horror Fest
June 15, 2020 - June 15, 2020
Haverhill, MA</t>
      </text>
    </comment>
    <comment authorId="0" ref="FM12">
      <text>
        <t xml:space="preserve">Roxbury International Film Festival, The 
June 17, 2020 - June 27, 2020
Boston, MA</t>
      </text>
    </comment>
    <comment authorId="0" ref="GP12">
      <text>
        <t xml:space="preserve">Asian Film Festival of Dallas
July 16, 2020 - July 23, 2020
Dallas, TX</t>
      </text>
    </comment>
    <comment authorId="0" ref="HD12">
      <text>
        <t xml:space="preserve">Great Lakes Christrian Film Festival
July 30, 2020 - August 2, 2020
Buffalo, NY</t>
      </text>
    </comment>
    <comment authorId="0" ref="HL12">
      <text>
        <t xml:space="preserve">Hollywood Horrorfest
August 7, 2020 - August 8, 2020
Los Angeles, CA</t>
      </text>
    </comment>
    <comment authorId="0" ref="HR12">
      <text>
        <t xml:space="preserve">Deep in the Heart Film Festival
August 13, 2020 - August 16, 2020
Waco, TX</t>
      </text>
    </comment>
    <comment authorId="0" ref="HZ12">
      <text>
        <t xml:space="preserve">San Diego International Kids Film Festival
August 21, 2020 - August 23, 2020
San Diego, CA</t>
      </text>
    </comment>
    <comment authorId="0" ref="IF12">
      <text>
        <t xml:space="preserve">Seattle True Independent Film Festival
August 27, 2020 - August 30, 2020
Seattle, WA</t>
      </text>
    </comment>
    <comment authorId="0" ref="IN12">
      <text>
        <t xml:space="preserve">Woodstock Museum Film Festival
September 4, 2020 - September 7, 2020
Saugerties, NY</t>
      </text>
    </comment>
    <comment authorId="0" ref="IS12">
      <text>
        <t xml:space="preserve">Austin Revolution Film Festival
September 9, 2020 - September 12, 2020
Austin, TX</t>
      </text>
    </comment>
    <comment authorId="0" ref="JB12">
      <text>
        <t xml:space="preserve">Love International Film Festival
September 18, 2020 - September 21, 2020
Los Angeles, CA</t>
      </text>
    </comment>
    <comment authorId="0" ref="JI12">
      <text>
        <t xml:space="preserve">Glendale International Film Festival
September 25, 2020 - October 1, 2020
Glendale, CA</t>
      </text>
    </comment>
    <comment authorId="0" ref="JQ12">
      <text>
        <t xml:space="preserve">New York City Mental Health Film Festival
October 3, 2020 - October 3, 2020
New York, NY</t>
      </text>
    </comment>
    <comment authorId="0" ref="JV12">
      <text>
        <t xml:space="preserve">Mill Valley Film Festival
October 8, 2020 - October 18, 2020
San Rafael, CA</t>
      </text>
    </comment>
    <comment authorId="0" ref="KJ12">
      <text>
        <t xml:space="preserve">Austin Film Festival 
October 22, 2020 - October 29, 2020
Austin, TX</t>
      </text>
    </comment>
    <comment authorId="0" ref="KY12">
      <text>
        <t xml:space="preserve">St. Louis International Film Festival 
November 5, 2020 - November 15, 2020
St. Louis, MO</t>
      </text>
    </comment>
    <comment authorId="0" ref="LP12">
      <text>
        <t xml:space="preserve">Route 66 Film Festival
November 22, 2020 - November 23, 2020
Springfield, IL</t>
      </text>
    </comment>
    <comment authorId="0" ref="R13">
      <text>
        <t xml:space="preserve">Legacy of Black Women Film Showcase
January 17, 2020 - January 19, 2020
Charlotte, NC</t>
      </text>
    </comment>
    <comment authorId="0" ref="X13">
      <text>
        <t xml:space="preserve">Explorer's Club Polar Film Festival
January 23, 2020 - January 25, 2020
New York, NY</t>
      </text>
    </comment>
    <comment authorId="0" ref="AH13">
      <text>
        <t xml:space="preserve">Los Angeles, Italia
February 2, 2020 - February 8, 2020
Los Angeles, CA</t>
      </text>
    </comment>
    <comment authorId="0" ref="AR13">
      <text>
        <t xml:space="preserve">Hollywood Reel Independent Film Festival
February 12, 2020 - February 24, 2020
Hollywood, CA</t>
      </text>
    </comment>
    <comment authorId="0" ref="BH13">
      <text>
        <t xml:space="preserve">Spokane International Film Festival
February 28, 2020 - March 6, 2020
Spokane, WA</t>
      </text>
    </comment>
    <comment authorId="0" ref="BS13">
      <text>
        <t xml:space="preserve">Santa Barbara Jewish Film Festival
March 11, 2020 - March 15, 2020
Santa Barbara, CA</t>
      </text>
    </comment>
    <comment authorId="0" ref="CA13">
      <text>
        <t xml:space="preserve">Queens World Film Festival
March 19, 2020 - March 29, 2020
New York, NY</t>
      </text>
    </comment>
    <comment authorId="0" ref="CN13">
      <text>
        <t xml:space="preserve">Poppy Jasper International Film Festival
April 1, 2020 - April 8, 2020
Morgan Hill, CA</t>
      </text>
    </comment>
    <comment authorId="0" ref="CX13">
      <text>
        <t xml:space="preserve">North Hollywood CineFest
April 11, 2020 - April 18, 2020
Los Angeles, CA</t>
      </text>
    </comment>
    <comment authorId="0" ref="DJ13">
      <text>
        <t xml:space="preserve">JFilm Festival
April 23, 2020 - May 3, 2020
Pittsburgh, PA</t>
      </text>
    </comment>
    <comment authorId="0" ref="DZ13">
      <text>
        <t xml:space="preserve">Reel Out Charlotte Film Festival
May 9, 2020 - May 17, 2020
Charlotte, NC</t>
      </text>
    </comment>
    <comment authorId="0" ref="EL13">
      <text>
        <t xml:space="preserve">Cinema Systers Film Festival
May 21, 2020 - May 24, 2020
Paducah, KY</t>
      </text>
    </comment>
    <comment authorId="0" ref="ET13">
      <text>
        <t xml:space="preserve">New York Shorts International Film Festival
May 29, 2020 - June 4, 2020
New York, NY</t>
      </text>
    </comment>
    <comment authorId="0" ref="FC13">
      <text>
        <t xml:space="preserve">CarribeanLens International Film Festival
June 7, 2020 - June 13, 2020
Northridge, CA</t>
      </text>
    </comment>
    <comment authorId="0" ref="FN13">
      <text>
        <t xml:space="preserve">San Francisco International LGBTQ+ Film Festival
June 18, 2020 - June 28, 2020
San Francisco, CA</t>
      </text>
    </comment>
    <comment authorId="0" ref="GJ13">
      <text>
        <t xml:space="preserve">Long Island International Film Expo
July 10, 2020 - July 16, 2020
Bellmore, NY</t>
      </text>
    </comment>
    <comment authorId="0" ref="GR13">
      <text>
        <t xml:space="preserve">Chautauqua International Film Festival
July 18, 2020 - July 18, 2020
Jamestown, NY</t>
      </text>
    </comment>
    <comment authorId="0" ref="GT13">
      <text>
        <t xml:space="preserve">Hamilton International Film Festival
July 20, 2020 - July 26, 2020
Hamilton, NY</t>
      </text>
    </comment>
    <comment authorId="0" ref="HE13">
      <text>
        <t xml:space="preserve">Maine Outdoor Film Festival
July 31, 2020 - August 2, 2020
Portland, ME</t>
      </text>
    </comment>
    <comment authorId="0" ref="HR13">
      <text>
        <t xml:space="preserve">Honolulu Rainbow Film Festival
August 13, 2020 - August 16, 2020
Honolulu, HI</t>
      </text>
    </comment>
    <comment authorId="0" ref="HZ13">
      <text>
        <t xml:space="preserve">Slash &amp; Bash Horror/Sci-Fi Film Festival
August 21, 2020 - August 22, 2020
Lawrence, KS</t>
      </text>
    </comment>
    <comment authorId="0" ref="IG13">
      <text>
        <t xml:space="preserve">Global Impact Film Festival
August 28, 2020 - August 30, 2020
Washington, D.C, DC</t>
      </text>
    </comment>
    <comment authorId="0" ref="IN13">
      <text>
        <t xml:space="preserve">Urban Film Festival
September 4, 2020 - September 6, 2020
Miami, FL</t>
      </text>
    </comment>
    <comment authorId="0" ref="IS13">
      <text>
        <t xml:space="preserve">South Texas International Film Festival
September 9, 2020 - September 12, 2020
Edinburg, TX</t>
      </text>
    </comment>
    <comment authorId="0" ref="JA13">
      <text>
        <t xml:space="preserve">Atlanta Horror Film Fest
September 17, 2020 - September 19, 2020
Atlanta, GA</t>
      </text>
    </comment>
    <comment authorId="0" ref="JE13">
      <text>
        <t xml:space="preserve">Aspen Filmfest
September 21, 2020 - September 26, 2020
Aspen, CO</t>
      </text>
    </comment>
    <comment authorId="0" ref="JM13">
      <text>
        <t xml:space="preserve">Global Peace Film Festival
September 29, 2020 - October 4, 2020
Winter Park, FL</t>
      </text>
    </comment>
    <comment authorId="0" ref="JV13">
      <text>
        <t xml:space="preserve">OUTshine LGBTQ+ Film Festival - Fort Lauderdale
October 8, 2020 - October 18, 2020
Ft. Lauderdale, FL</t>
      </text>
    </comment>
    <comment authorId="0" ref="KL13">
      <text>
        <t xml:space="preserve">Savannah Film Festival
October 24, 2020 - October 31, 2020
Savannah, GA</t>
      </text>
    </comment>
    <comment authorId="0" ref="KZ13">
      <text>
        <t xml:space="preserve">Cine-World Film Festival
November 6, 2020 - November 15, 2020
Sarasota, FL</t>
      </text>
    </comment>
    <comment authorId="0" ref="R14">
      <text>
        <t xml:space="preserve">Portland Underground Film Festival
January 17, 2020 - January 19, 2020
Portland, OR</t>
      </text>
    </comment>
    <comment authorId="0" ref="Y14">
      <text>
        <t xml:space="preserve">Flathead Lake International Cinemafest
January 24, 2020 - January 26, 2020
Polson, MT</t>
      </text>
    </comment>
    <comment authorId="0" ref="AL14">
      <text>
        <t xml:space="preserve">Pan African Film &amp; Arts Festival
February 6, 2020 - February 17, 2020
Los Angeles, CA</t>
      </text>
    </comment>
    <comment authorId="0" ref="AZ14">
      <text>
        <t xml:space="preserve">Winter Film Awards International Film Festival
February 20, 2020 - February 29, 2020
New York, NY</t>
      </text>
    </comment>
    <comment authorId="0" ref="BL14">
      <text>
        <t xml:space="preserve">Omaha Film Festival
March 3, 2020 - March 8, 2020
Omaha, NE</t>
      </text>
    </comment>
    <comment authorId="0" ref="BS14">
      <text>
        <t xml:space="preserve">Pasadena International Film Festival
March 11, 2020 - March 19, 2020
Pasadena, CA</t>
      </text>
    </comment>
    <comment authorId="0" ref="CD14">
      <text>
        <t xml:space="preserve">New York City Short Comedy Film Festival
March 22, 2020 - March 22, 2020
New York, NY</t>
      </text>
    </comment>
    <comment authorId="0" ref="CH14">
      <text>
        <t xml:space="preserve">International Horror &amp; Sci-Fi Film Festival
March 26, 2020 - April 5, 2020
Pheonix, AZ</t>
      </text>
    </comment>
    <comment authorId="0" ref="CW14">
      <text>
        <t xml:space="preserve">Everett Film Festival
April 10, 2020 - April 11, 2020
Everett, WA</t>
      </text>
    </comment>
    <comment authorId="0" ref="CZ14">
      <text>
        <t xml:space="preserve">Ivy Film Festival
April 13, 2020 - April 19, 2020
Providence, RI</t>
      </text>
    </comment>
    <comment authorId="0" ref="DJ14">
      <text>
        <t xml:space="preserve">Washington, DC
April 23, 2020 - May 3, 2020
Washington, DC, DC</t>
      </text>
    </comment>
    <comment authorId="0" ref="EA14">
      <text>
        <t xml:space="preserve">New York City Independent Film Festival
May 10, 2020 - May 17, 2020
New York, NY</t>
      </text>
    </comment>
    <comment authorId="0" ref="EM14">
      <text>
        <t xml:space="preserve">MisCon International Short Film Festival
May 22, 2020 - May 25, 2020
Missoula, MT</t>
      </text>
    </comment>
    <comment authorId="0" ref="ES14">
      <text>
        <t xml:space="preserve">People's Film Festival, The
May 28, 2020 - May 30, 2020
Harlem, NY</t>
      </text>
    </comment>
    <comment authorId="0" ref="EW14">
      <text>
        <t xml:space="preserve">Art of Brooklyn Film Festival, The 
June 1, 2020 - June 7, 2020
Brooklyn, NY</t>
      </text>
    </comment>
    <comment authorId="0" ref="FG14">
      <text>
        <t xml:space="preserve">SOHO International Film Festival
June 11, 2020 - June 18, 2020
New York, NY</t>
      </text>
    </comment>
    <comment authorId="0" ref="FR14">
      <text>
        <t xml:space="preserve">Free State Festival
June 22, 2020 - June 28, 2020
Lawrence, KS</t>
      </text>
    </comment>
    <comment authorId="0" ref="GQ14">
      <text>
        <t xml:space="preserve">Blue Whiskey Independent Film Festival
July 17, 2020 - July 23, 2020
Palatine, IL</t>
      </text>
    </comment>
    <comment authorId="0" ref="HE14">
      <text>
        <t xml:space="preserve">Atlanta Comedy Film Festival
July 31, 2020 - July 31, 2020
Atlanta, GA</t>
      </text>
    </comment>
    <comment authorId="0" ref="HR14">
      <text>
        <t xml:space="preserve">Indie Gathering, The 
August 13, 2020 - August 16, 2020
Hudson, OH</t>
      </text>
    </comment>
    <comment authorId="0" ref="IG14">
      <text>
        <t xml:space="preserve">Horrible Imaginings Film Festival
August 28, 2020 - August 30, 2020
San Diego, CA</t>
      </text>
    </comment>
    <comment authorId="0" ref="IO14">
      <text>
        <t xml:space="preserve">Indie Horror Film Festival
September 5, 2020 - September 5, 2020
Gatlinburg, TN</t>
      </text>
    </comment>
    <comment authorId="0" ref="IT14">
      <text>
        <t xml:space="preserve">Long Beach QFilm Festival
September 10, 2020 - September 13, 2020
Long Beach, CA</t>
      </text>
    </comment>
    <comment authorId="0" ref="JA14">
      <text>
        <t xml:space="preserve">DC Black Film Festival
September 17, 2020 - September 19, 2020
Washington, DC, DC</t>
      </text>
    </comment>
    <comment authorId="0" ref="JG14">
      <text>
        <t xml:space="preserve">Boston Latino International Film Festival
September 23, 2020 - September 27, 2020
Boston, MA</t>
      </text>
    </comment>
    <comment authorId="0" ref="JO14">
      <text>
        <t xml:space="preserve">Pittsburgh LGBT Film Festival
October 1, 2020 - October 10, 2020
Pittsburgh, PA</t>
      </text>
    </comment>
    <comment authorId="0" ref="KC14">
      <text>
        <t xml:space="preserve">Wildlife Conservation Film Festival
October 15, 2020 - October 25, 2020
New York, NY</t>
      </text>
    </comment>
    <comment authorId="0" ref="KZ14">
      <text>
        <t xml:space="preserve">Scottsdale International Film Festival
November 6, 2020 - November 15, 2020
Scottsdale, AZ</t>
      </text>
    </comment>
    <comment authorId="0" ref="Q15">
      <text>
        <t xml:space="preserve">Macabre Faire Film Festival
January 16, 2020 - January 16, 2020
Milford, PA</t>
      </text>
    </comment>
    <comment authorId="0" ref="S15">
      <text>
        <t xml:space="preserve">Animated Arizona Film Festival
January 18, 2020 - January 18, 2020
Tucson, AZ</t>
      </text>
    </comment>
    <comment authorId="0" ref="Y15">
      <text>
        <t xml:space="preserve">Snowtown Film Festival
January 24, 2020 - January 25, 2020
Watertown, NY</t>
      </text>
    </comment>
    <comment authorId="0" ref="AI15">
      <text>
        <t xml:space="preserve">Butch Cassidy Film Festival
February 3, 2020 - February 8, 2020
Helper, UT</t>
      </text>
    </comment>
    <comment authorId="0" ref="AR15">
      <text>
        <t xml:space="preserve">San Diego Jewish Film Festival
February 12, 2020 - February 23, 2020
San Diego, CA</t>
      </text>
    </comment>
    <comment authorId="0" ref="BG15">
      <text>
        <t xml:space="preserve">Capital Irish Film Festival
February 27, 2020 - March 1, 2020
Silver Spring, MD</t>
      </text>
    </comment>
    <comment authorId="0" ref="BO15">
      <text>
        <t xml:space="preserve">Outfest Fusion LGBTQ People of Color Film Festival
March 6, 2020 - March 11, 2020
Los Angeles, CA</t>
      </text>
    </comment>
    <comment authorId="0" ref="BU15">
      <text>
        <t xml:space="preserve">South by Southwest Film Festival
March 13, 2020 - March 21, 2020
Austin, TX</t>
      </text>
    </comment>
    <comment authorId="0" ref="CH15">
      <text>
        <t xml:space="preserve">Phoenix Film Festival
March 26, 2020 - April 5, 2020
Pheonix, AZ</t>
      </text>
    </comment>
    <comment authorId="0" ref="CW15">
      <text>
        <t xml:space="preserve">Southern Arizona Independent Film Festival
April 10, 2020 - April 11, 2020
Wilcox, AZ</t>
      </text>
    </comment>
    <comment authorId="0" ref="CZ15">
      <text>
        <t xml:space="preserve">Princeton Environmental Film Festival
April 13, 2020 - April 19, 2020
Princeton, NJ</t>
      </text>
    </comment>
    <comment authorId="0" ref="DK15">
      <text>
        <t xml:space="preserve">Houston Palestine Film Festival
April 24, 2020 - May 4, 2020
Houston, TX</t>
      </text>
    </comment>
    <comment authorId="0" ref="EA15">
      <text>
        <t xml:space="preserve">NYC Indepdendent Film Festival
May 10, 2020 - May 17, 2020
New York, NY</t>
      </text>
    </comment>
    <comment authorId="0" ref="EM15">
      <text>
        <t xml:space="preserve">Mountainfilm
May 22, 2020 - May 25, 2020
Telluride, CO</t>
      </text>
    </comment>
    <comment authorId="0" ref="ET15">
      <text>
        <t xml:space="preserve">Fine Arts Film Festival, The 
May 29, 2020 - May 30, 2020
Los Angeles, CA</t>
      </text>
    </comment>
    <comment authorId="0" ref="EW15">
      <text>
        <t xml:space="preserve">African Film Festival, The
June 1, 2020 - June 6, 2020
Dallas, TX</t>
      </text>
    </comment>
    <comment authorId="0" ref="FF15">
      <text>
        <t xml:space="preserve">Chicago Underground Film Festival
June 10, 2020 - June 14, 2020
Chicago, IL</t>
      </text>
    </comment>
    <comment authorId="0" ref="FL15">
      <text>
        <t xml:space="preserve">Palm Springs International ShortFest 
June 16, 2020 - June 22, 2020
Palm Springs, CA</t>
      </text>
    </comment>
    <comment authorId="0" ref="FU15">
      <text>
        <t xml:space="preserve">American Youth Film Festival
June 25, 2020 - June 28, 2020
Atlanta, GA</t>
      </text>
    </comment>
    <comment authorId="0" ref="GM15">
      <text>
        <t xml:space="preserve">Antham Libertarian Film Festival
July 13, 2020 - July 16, 2020
Irvington, NY</t>
      </text>
    </comment>
    <comment authorId="0" ref="GR15">
      <text>
        <t xml:space="preserve">Film One Fest
July 18, 2020 - July 18, 2020
Atlantic Highlands , NJ</t>
      </text>
    </comment>
    <comment authorId="0" ref="GU15">
      <text>
        <t xml:space="preserve">Indy Shorts International Film Festival
July 21, 2020 - July 26, 2020
Indianapolis, IN</t>
      </text>
    </comment>
    <comment authorId="0" ref="HR15">
      <text>
        <t xml:space="preserve">Macon Film Festival
August 13, 2020 - August 16, 2020
Macon, GA</t>
      </text>
    </comment>
    <comment authorId="0" ref="IT15">
      <text>
        <t xml:space="preserve">Skyline Indie Film Festival 
September 10, 2020 - September 13, 2020
Winchester, VA</t>
      </text>
    </comment>
    <comment authorId="0" ref="JB15">
      <text>
        <t xml:space="preserve">Mosaic World Film Festival
September 18, 2020 - September 20, 2020
Rockford, IL</t>
      </text>
    </comment>
    <comment authorId="0" ref="JG15">
      <text>
        <t xml:space="preserve">Calabasas Film Festival
September 23, 2020 - September 27, 2020
Calabasas, CA</t>
      </text>
    </comment>
    <comment authorId="0" ref="JO15">
      <text>
        <t xml:space="preserve">Social Justice Film Festival
October 1, 2020 - October 10, 2020
Seattle, WA</t>
      </text>
    </comment>
    <comment authorId="0" ref="KD15">
      <text>
        <t xml:space="preserve">Boston Palestine Film Festival
October 16, 2020 - October 25, 2020
Cambridge, MA</t>
      </text>
    </comment>
    <comment authorId="0" ref="KW15">
      <text>
        <t xml:space="preserve">Gold Coast International Film Festival
November 3, 2020 - November 11, 2020
Great Neck, NY</t>
      </text>
    </comment>
    <comment authorId="0" ref="LG15">
      <text>
        <t xml:space="preserve">Chicago International Children's Film Festival
November 13, 2020 - November 22, 2020
Chicago, IL</t>
      </text>
    </comment>
    <comment authorId="0" ref="S16">
      <text>
        <t xml:space="preserve">Short Shorts Film Festival
January 18, 2020 - January 18, 2020
Duluth, MN</t>
      </text>
    </comment>
    <comment authorId="0" ref="Z16">
      <text>
        <t xml:space="preserve">KidFilm Festival
January 25, 2020 - January 26, 2020
Dallas, TX</t>
      </text>
    </comment>
    <comment authorId="0" ref="AK16">
      <text>
        <t xml:space="preserve">Central Michigan International Film Festival
February 5, 2020 - February 9, 2020
Mount Pleasant, MI</t>
      </text>
    </comment>
    <comment authorId="0" ref="AT16">
      <text>
        <t xml:space="preserve">Providence Children's Film Festival
February 14, 2020 - February 25, 2020
Providence, RI</t>
      </text>
    </comment>
    <comment authorId="0" ref="BG16">
      <text>
        <t xml:space="preserve">Chicago Irish Film Festival
February 27, 2020 - March 1, 2020
Chicago, IL</t>
      </text>
    </comment>
    <comment authorId="0" ref="BM16">
      <text>
        <t xml:space="preserve">DC Independent Film Festival
March 4, 2020 - March 8, 2020
Washington, D.C, DC</t>
      </text>
    </comment>
    <comment authorId="0" ref="BW16">
      <text>
        <t xml:space="preserve">Light Field
March 15, 2020 - March 20, 2020
San Francisco, CA</t>
      </text>
    </comment>
    <comment authorId="0" ref="CD16">
      <text>
        <t xml:space="preserve">NYC Short Documentary Film Festival
March 22, 2020 - March 22, 2020
New York, NY</t>
      </text>
    </comment>
    <comment authorId="0" ref="CH16">
      <text>
        <t xml:space="preserve">RiverRun International Film Festival
March 26, 2020 - April 5, 2020
Winston-Salem, NC</t>
      </text>
    </comment>
    <comment authorId="0" ref="CX16">
      <text>
        <t xml:space="preserve">Bonebat "Comedy of Horrors" Film Festival
April 11, 2020 - April 11, 2020
Seattle, WA</t>
      </text>
    </comment>
    <comment authorId="0" ref="DD16">
      <text>
        <t xml:space="preserve">Florida Film Festival 
April 17, 2020 - April 26, 2020
Maitland, FL</t>
      </text>
    </comment>
    <comment authorId="0" ref="DR16">
      <text>
        <t xml:space="preserve">Montclair Film Festival
May 1, 2020 - May 10, 2020
Montclair, NJ</t>
      </text>
    </comment>
    <comment authorId="0" ref="EF16">
      <text>
        <t xml:space="preserve">International Filmmaker Festival of New York
May 15, 2020 - May 19, 2020
Fort Lee, NJ</t>
      </text>
    </comment>
    <comment authorId="0" ref="EN16">
      <text>
        <t xml:space="preserve">Orlando International Film Festival
May 23, 2020 - May 26, 2020
Orlando, FL</t>
      </text>
    </comment>
    <comment authorId="0" ref="ES16">
      <text>
        <t xml:space="preserve">Mendocino Film Festival
May 28, 2020 - May 31, 2020
Mendocino, CA</t>
      </text>
    </comment>
    <comment authorId="0" ref="EX16">
      <text>
        <t xml:space="preserve">NHdocs: The New Haven Documentary Film Festival
June 2, 2020 - June 7, 2020
New Haven, CT</t>
      </text>
    </comment>
    <comment authorId="0" ref="FG16">
      <text>
        <t xml:space="preserve">Lower East Side Film Festival, The
June 11, 2020 - June 15, 2020
New York, NY</t>
      </text>
    </comment>
    <comment authorId="0" ref="FN16">
      <text>
        <t xml:space="preserve">Cape Fear Independent Film Festival
June 18, 2020 - June 20, 2020
Wilmington, NC</t>
      </text>
    </comment>
    <comment authorId="0" ref="FR16">
      <text>
        <t xml:space="preserve">Free State Film Festival
June 22, 2020 - June 28, 2020
Lawrence , KS</t>
      </text>
    </comment>
    <comment authorId="0" ref="GQ16">
      <text>
        <t xml:space="preserve">San Francisco Frozen Film Festival
July 17, 2020 - July 21, 2020
San Francisco, CA</t>
      </text>
    </comment>
    <comment authorId="0" ref="GW16">
      <text>
        <t xml:space="preserve">Cordillera International Film Festival
July 23, 2020 - July 26, 2020
Reno, NV</t>
      </text>
    </comment>
    <comment authorId="0" ref="HR16">
      <text>
        <t xml:space="preserve">North Carolina Gay &amp; Lesbian Film Festival
August 13, 2020 - August 16, 2020
Durham, NC</t>
      </text>
    </comment>
    <comment authorId="0" ref="IT16">
      <text>
        <t xml:space="preserve">Massachusettes Independent Film Festival, The 
September 10, 2020 - September 12, 2020
Arlington, MA</t>
      </text>
    </comment>
    <comment authorId="0" ref="JB16">
      <text>
        <t xml:space="preserve">Newburyport Documentary Film Festival
September 18, 2020 - September 20, 2020
Newburyport, MA</t>
      </text>
    </comment>
    <comment authorId="0" ref="JG16">
      <text>
        <t xml:space="preserve">Catalina Film Festival
September 23, 2020 - September 27, 2020
Los Angeles, CA</t>
      </text>
    </comment>
    <comment authorId="0" ref="JM16">
      <text>
        <t xml:space="preserve">International Black Film Festival (Nashville)
September 29, 2020 - October 4, 2020
Nashville, TN</t>
      </text>
    </comment>
    <comment authorId="0" ref="JT16">
      <text>
        <t xml:space="preserve">Screamfest Horror Film Festival
October 6, 2020 - October 15, 2020
Hollywood, CA</t>
      </text>
    </comment>
    <comment authorId="0" ref="KE16">
      <text>
        <t xml:space="preserve">San Francisco Greek Film Festival
October 17, 2020 - October 24, 2020
San Francisco, CA</t>
      </text>
    </comment>
    <comment authorId="0" ref="KN16">
      <text>
        <t xml:space="preserve">San Francisco International New Concept Film Festival
October 26, 2020 - November 1, 2020
San Bruno, CA</t>
      </text>
    </comment>
    <comment authorId="0" ref="KV16">
      <text>
        <t xml:space="preserve">DOCUTAH International Documentary Film Festival
November 2, 2020 - November 7, 2020
St. George , UT</t>
      </text>
    </comment>
    <comment authorId="0" ref="LE16">
      <text>
        <t xml:space="preserve">Doc NYC
November 11, 2020 - November 19, 2020
New York, NY</t>
      </text>
    </comment>
    <comment authorId="0" ref="S17">
      <text>
        <t xml:space="preserve">Wimberley Film Festival
January 18, 2020 - January 18, 2020
Wimberly, TX</t>
      </text>
    </comment>
    <comment authorId="0" ref="AM17">
      <text>
        <t xml:space="preserve">Boston Sci-Fi Film Festival
February 7, 2020 - February 17, 2020
Boston, MA</t>
      </text>
    </comment>
    <comment authorId="0" ref="BA17">
      <text>
        <t xml:space="preserve">Beloit International Film Festival
February 21, 2020 - March 1, 2020
Beloit, WI</t>
      </text>
    </comment>
    <comment authorId="0" ref="BM17">
      <text>
        <t xml:space="preserve">Durango Independent Film Festival
March 4, 2020 - March 8, 2020
Durango, CO</t>
      </text>
    </comment>
    <comment authorId="0" ref="BT17">
      <text>
        <t xml:space="preserve">DisOrient Asian American Film Festival of Oregon
March 12, 2020 - March 15, 2020
Eugene, OR</t>
      </text>
    </comment>
    <comment authorId="0" ref="CB17">
      <text>
        <t xml:space="preserve">Salem Film Fest
March 20, 2020 - March 29, 2020
Salem, MA</t>
      </text>
    </comment>
    <comment authorId="0" ref="CO17">
      <text>
        <t xml:space="preserve">Wisconsin Film Festival
April 2, 2020 - April 9, 2020
Madison, WI</t>
      </text>
    </comment>
    <comment authorId="0" ref="CX17">
      <text>
        <t xml:space="preserve">Riverside International Film Festival
April 11, 2020 - April 11, 2020
Riverside, CA</t>
      </text>
    </comment>
    <comment authorId="0" ref="DD17">
      <text>
        <t xml:space="preserve">Worldfest-Houston International Film &amp; Video Festival
April 17, 2020 - April 26, 2020
Houston, TX</t>
      </text>
    </comment>
    <comment authorId="0" ref="DQ17">
      <text>
        <t xml:space="preserve">Los Angeles Asian Pacific Film Festival
April 30, 2020 - May 8, 2020
Los Angeles, CA</t>
      </text>
    </comment>
    <comment authorId="0" ref="ED17">
      <text>
        <t xml:space="preserve">International Christian Film Festival
May 13, 2020 - May 16, 2020
Orlando, FL</t>
      </text>
    </comment>
    <comment authorId="0" ref="EM17">
      <text>
        <t xml:space="preserve">Comicpalooza
May 22, 2020 - May 24, 2020
Houston, TX</t>
      </text>
    </comment>
    <comment authorId="0" ref="ET17">
      <text>
        <t xml:space="preserve">ConCarolinas Short Film Festival
May 29, 2020 - May 31, 2020
Charlotte, NC</t>
      </text>
    </comment>
    <comment authorId="0" ref="EY17">
      <text>
        <t xml:space="preserve">Literally Short Film Festival
June 3, 2020 - June 7, 2020
Houston, TX</t>
      </text>
    </comment>
    <comment authorId="0" ref="FE17">
      <text>
        <t xml:space="preserve">Kicking + Screaming Soccer Film Festival
June 9, 2020 - June 12, 2020
New York, NY</t>
      </text>
    </comment>
    <comment authorId="0" ref="FL17">
      <text>
        <t xml:space="preserve">Bicycle Film Festival
June 16, 2020 - June 21, 2020
New York, NY</t>
      </text>
    </comment>
    <comment authorId="0" ref="FS17">
      <text>
        <t xml:space="preserve">Nantucket Film Festival
June 23, 2020 - June 29, 2020
Nantucket, MA</t>
      </text>
    </comment>
    <comment authorId="0" ref="GQ17">
      <text>
        <t xml:space="preserve">Dance on Camera
July 17, 2020 - July 20, 2020
New York, NY</t>
      </text>
    </comment>
    <comment authorId="0" ref="GV17">
      <text>
        <t xml:space="preserve">Indie Street Film Festival
July 22, 2020 - July 26, 2020
Red Bank, NJ</t>
      </text>
    </comment>
    <comment authorId="0" ref="HR17">
      <text>
        <t xml:space="preserve">River's Edge International Film Festival 
August 13, 2020 - August 16, 2020
Paducah, KY</t>
      </text>
    </comment>
    <comment authorId="0" ref="IU17">
      <text>
        <t xml:space="preserve">Coney Island Film Festival
September 11, 2020 - September 13, 2020
Brooklyn, NY</t>
      </text>
    </comment>
    <comment authorId="0" ref="JB17">
      <text>
        <t xml:space="preserve">Princeton Independent Film Festival
September 18, 2020 - September 20, 2020
Princeton, NJ</t>
      </text>
    </comment>
    <comment authorId="0" ref="JG17">
      <text>
        <t xml:space="preserve">Charlotte Film Festival
September 23, 2020 - September 27, 2020
Charlotte , NC</t>
      </text>
    </comment>
    <comment authorId="0" ref="JO17">
      <text>
        <t xml:space="preserve">Nashville Film Festival
October 1, 2020 - October 7, 2020
Nashville, TN</t>
      </text>
    </comment>
    <comment authorId="0" ref="JW17">
      <text>
        <t xml:space="preserve">Way OUT West Film Fest
October 9, 2020 - October 18, 2020
Albuquerque, NM</t>
      </text>
    </comment>
    <comment authorId="0" ref="KI17">
      <text>
        <t xml:space="preserve">NewFest: New York's LGBTQ Film Festival
October 21, 2020 - October 27, 2020
New York City, NY</t>
      </text>
    </comment>
    <comment authorId="0" ref="KX17">
      <text>
        <t xml:space="preserve">ZedFest Film Festival
November 4, 2020 - November 11, 2020
Burbank, CA</t>
      </text>
    </comment>
    <comment authorId="0" ref="LG17">
      <text>
        <t xml:space="preserve">Chicago International REEL Shorts Film Festival
November 13, 2020 - November 14, 2020
Chicago, IL</t>
      </text>
    </comment>
    <comment authorId="0" ref="AK18">
      <text>
        <t xml:space="preserve">Frozen River Film Festival
February 5, 2020 - February 9, 2020
Winona, MN</t>
      </text>
    </comment>
    <comment authorId="0" ref="AS18">
      <text>
        <t xml:space="preserve">LA Indie Film Festival
February 13, 2020 - February 22, 2020
Los Angeles, CA</t>
      </text>
    </comment>
    <comment authorId="0" ref="BD18">
      <text>
        <t xml:space="preserve">Big Muddy Film Festival
February 24, 2020 - March 1, 2020
Carbondale, IL</t>
      </text>
    </comment>
    <comment authorId="0" ref="BM18">
      <text>
        <t xml:space="preserve">Las Cruces International Film Festival
March 4, 2020 - March 8, 2020
Las Cruces, NM</t>
      </text>
    </comment>
    <comment authorId="0" ref="BT18">
      <text>
        <t xml:space="preserve">Earth Day Film Festival, The 
March 12, 2020 - March 15, 2020
Chico, CA</t>
      </text>
    </comment>
    <comment authorId="0" ref="CB18">
      <text>
        <t xml:space="preserve">Women's Film Festival
March 20, 2020 - March 29, 2020
Brattleboro, VT</t>
      </text>
    </comment>
    <comment authorId="0" ref="CO18">
      <text>
        <t xml:space="preserve">Media Film Festival
April 2, 2020 - April 4, 2020
Media, PA</t>
      </text>
    </comment>
    <comment authorId="0" ref="CS18">
      <text>
        <t xml:space="preserve">Athens International Film + Video Festival 
April 6, 2020 - April 12, 2020
Athens, OH</t>
      </text>
    </comment>
    <comment authorId="0" ref="DC18">
      <text>
        <t xml:space="preserve">Boston International Film Festival
April 16, 2020 - April 21, 2020
Boston, MA</t>
      </text>
    </comment>
    <comment authorId="0" ref="DK18">
      <text>
        <t xml:space="preserve">Reel Work labor Film Festival
April 24, 2020 - May 3, 2020
Santa Cruz, CA</t>
      </text>
    </comment>
    <comment authorId="0" ref="DW18">
      <text>
        <t xml:space="preserve">Fort Myers Film Festival
May 6, 2020 - May 10, 2020
Fort Myers, FL</t>
      </text>
    </comment>
    <comment authorId="0" ref="EE18">
      <text>
        <t xml:space="preserve">Harlem International Film Festival
May 14, 2020 - May 17, 2020
New York, NY</t>
      </text>
    </comment>
    <comment authorId="0" ref="EM18">
      <text>
        <t xml:space="preserve">Crimson Screen Horror Film Fest
May 22, 2020 - May 24, 2020
North Charleston, SC</t>
      </text>
    </comment>
    <comment authorId="0" ref="ET18">
      <text>
        <t xml:space="preserve">Lake Arrowhead Film Festival
May 29, 2020 - May 31, 2020
Lake Arrowhead, CA</t>
      </text>
    </comment>
    <comment authorId="0" ref="EY18">
      <text>
        <t xml:space="preserve">Los Angeles Latino International Film Festival
June 3, 2020 - June 7, 2020
Los Angeles, CA</t>
      </text>
    </comment>
    <comment authorId="0" ref="FF18">
      <text>
        <t xml:space="preserve">Malibu International Film Festival
June 10, 2020 - June 11, 2020
Malibou, CA</t>
      </text>
    </comment>
    <comment authorId="0" ref="FI18">
      <text>
        <t xml:space="preserve">Boston Short Film Festival
June 13, 2020 - June 17, 2020
Boston, MA</t>
      </text>
    </comment>
    <comment authorId="0" ref="FP18">
      <text>
        <t xml:space="preserve">Los Angeles International Underground Film Festival
June 20, 2020 - June 21, 2020
Los Angeles, CA</t>
      </text>
    </comment>
    <comment authorId="0" ref="FU18">
      <text>
        <t xml:space="preserve">Fear No Film
June 25, 2020 - June 28, 2020
Salt Lake City, UT</t>
      </text>
    </comment>
    <comment authorId="0" ref="GP18">
      <text>
        <t xml:space="preserve">Atlanta Shortsfest
July 16, 2020 - July 18, 2020
Atlanta, GA</t>
      </text>
    </comment>
    <comment authorId="0" ref="GV18">
      <text>
        <t xml:space="preserve">Real to Reel International Film Festival
July 22, 2020 - July 25, 2020
Kings Mountain, NC</t>
      </text>
    </comment>
    <comment authorId="0" ref="HR18">
      <text>
        <t xml:space="preserve">River’s Edge International Film Festival
August 13, 2020 - August 16, 2020
Paducah, KY</t>
      </text>
    </comment>
    <comment authorId="0" ref="IU18">
      <text>
        <t xml:space="preserve">Northeast Film Festival
September 11, 2020 - September 13, 2020
Teaneck, NJ</t>
      </text>
    </comment>
    <comment authorId="0" ref="JC18">
      <text>
        <t xml:space="preserve">Iranian Film Festival - San Francisco
September 19, 2020 - September 20, 2020
Tiburon, CA</t>
      </text>
    </comment>
    <comment authorId="0" ref="JG18">
      <text>
        <t xml:space="preserve">Footcandle Film Festival
September 23, 2020 - September 27, 2020
Hickory, NC</t>
      </text>
    </comment>
    <comment authorId="0" ref="JN18">
      <text>
        <t xml:space="preserve">Woodstock Film Festival
September 30, 2020 - October 4, 2020
Woodstock, NY</t>
      </text>
    </comment>
    <comment authorId="0" ref="JW18">
      <text>
        <t xml:space="preserve">Hot Springs Documentary Film Festival
October 9, 2020 - October 17, 2020
Hot Springs, AR</t>
      </text>
    </comment>
    <comment authorId="0" ref="KG18">
      <text>
        <t xml:space="preserve">Anim8 Student Film Festival
October 19, 2020 - October 19, 2020
Downers Grove, IL</t>
      </text>
    </comment>
    <comment authorId="0" ref="KI18">
      <text>
        <t xml:space="preserve">Indie Memphis Film Festival
October 21, 2020 - October 26, 2020
Memphis, TN</t>
      </text>
    </comment>
    <comment authorId="0" ref="KZ18">
      <text>
        <t xml:space="preserve">YoFiFest, The Yonkers Film Festival
November 6, 2020 - November 13, 2020
Yonkers, NY</t>
      </text>
    </comment>
    <comment authorId="0" ref="AL19">
      <text>
        <t xml:space="preserve">Cambria Film Festival
February 6, 2020 - February 9, 2020
Cambria, CA</t>
      </text>
    </comment>
    <comment authorId="0" ref="AT19">
      <text>
        <t xml:space="preserve">Big Sky Documentary Film Festival
February 14, 2020 - February 23, 2020
Missoula, MT</t>
      </text>
    </comment>
    <comment authorId="0" ref="BG19">
      <text>
        <t xml:space="preserve">Lake Travis Film Festival
February 27, 2020 - March 1, 2020
Lakeway, TX</t>
      </text>
    </comment>
    <comment authorId="0" ref="BN19">
      <text>
        <t xml:space="preserve">Boulder International Film Festival
March 5, 2020 - March 8, 2020
Boulder, CO</t>
      </text>
    </comment>
    <comment authorId="0" ref="BT19">
      <text>
        <t xml:space="preserve">International Oceean Film Festival
March 12, 2020 - March 15, 2020
San Francisco, CA</t>
      </text>
    </comment>
    <comment authorId="0" ref="CB19">
      <text>
        <t xml:space="preserve">Women's Film Festival, The 
March 20, 2020 - March 29, 2020
Philadelphia, PA</t>
      </text>
    </comment>
    <comment authorId="0" ref="CM19">
      <text>
        <t xml:space="preserve">Aspen Shortsfest
March 31, 2020 - April 5, 2020
Aspen, CO</t>
      </text>
    </comment>
    <comment authorId="0" ref="DD19">
      <text>
        <t xml:space="preserve">Olympia Film Festival
April 17, 2020 - April 25, 2020
Olympia, WA</t>
      </text>
    </comment>
    <comment authorId="0" ref="DP19">
      <text>
        <t xml:space="preserve">South East European Film Festival Los Angeles
April 29, 2020 - May 6, 2020
Los Angeles, CA</t>
      </text>
    </comment>
    <comment authorId="0" ref="DY19">
      <text>
        <t xml:space="preserve">CineYouth Film Festival
May 8, 2020 - May 10, 2020
Chicago, IL</t>
      </text>
    </comment>
    <comment authorId="0" ref="EE19">
      <text>
        <t xml:space="preserve">North Carolina Black Film Festival
May 14, 2020 - May 17, 2020
Wilmington, NC</t>
      </text>
    </comment>
    <comment authorId="0" ref="EM19">
      <text>
        <t xml:space="preserve">Movieate Underground Film Festival
May 22, 2020 - May 24, 2020
Harrisburg, PA</t>
      </text>
    </comment>
    <comment authorId="0" ref="EU19">
      <text>
        <t xml:space="preserve">KidsFilmFest
May 30, 2020 - May 30, 2020
Brooklyn, NY</t>
      </text>
    </comment>
    <comment authorId="0" ref="EZ19">
      <text>
        <t xml:space="preserve">Film Invasion L.A.
June 4, 2020 - June 7, 2020
Sherman Oaks, CA</t>
      </text>
    </comment>
    <comment authorId="0" ref="FF19">
      <text>
        <t xml:space="preserve">NYC Downtown Short Film Festival
June 10, 2020 - June 13, 2020
New York, NY</t>
      </text>
    </comment>
    <comment authorId="0" ref="FL19">
      <text>
        <t xml:space="preserve">South Side Film Festival Bethelham, PA
June 16, 2020 - June 20, 2020
Bethlehem, PA</t>
      </text>
    </comment>
    <comment authorId="0" ref="FU19">
      <text>
        <t xml:space="preserve">RomCom Fest
June 25, 2020 - June 28, 2020
Los Angeles, CA</t>
      </text>
    </comment>
    <comment authorId="0" ref="GR19">
      <text>
        <t xml:space="preserve">Love Horror Short Film Festival
July 18, 2020 - July 18, 2020
Sacramento, CA</t>
      </text>
    </comment>
    <comment authorId="0" ref="GX19">
      <text>
        <t xml:space="preserve">La Jolla International Fashion Film Festival
July 24, 2020 - July 25, 2020
San Diego, CA</t>
      </text>
    </comment>
    <comment authorId="0" ref="HR19">
      <text>
        <t xml:space="preserve">United Latino International Film Festival
August 13, 2020 - August 16, 2020
Cleveland, OH</t>
      </text>
    </comment>
    <comment authorId="0" ref="IU19">
      <text>
        <t xml:space="preserve">Milwaukee Short Film Festival
September 11, 2020 - September 12, 2020
Milwaukee, WI</t>
      </text>
    </comment>
    <comment authorId="0" ref="JC19">
      <text>
        <t xml:space="preserve">Sacramento Horror Film Festival
September 19, 2020 - September 19, 2020
Sacramento, CA</t>
      </text>
    </comment>
    <comment authorId="0" ref="JG19">
      <text>
        <t xml:space="preserve">Lady Filmmakers Festival
September 23, 2020 - September 27, 2020
Beverly Hills, CA</t>
      </text>
    </comment>
    <comment authorId="0" ref="JO19">
      <text>
        <t xml:space="preserve">Camden International Film Festival
October 1, 2020 - October 4, 2020
Camden, ME</t>
      </text>
    </comment>
    <comment authorId="0" ref="JW19">
      <text>
        <t xml:space="preserve">Seattle Latino Film Festival
October 9, 2020 - October 17, 2020
Seattle, WA</t>
      </text>
    </comment>
    <comment authorId="0" ref="KI19">
      <text>
        <t xml:space="preserve">DOC LA - Los Angeles Documentary Film Festival
October 21, 2020 - October 25, 2020
Beverly Hills, CA</t>
      </text>
    </comment>
    <comment authorId="0" ref="LA19">
      <text>
        <t xml:space="preserve">St. Cloud Film Festival
November 7, 2020 - November 14, 2020
St. Cloud, MN</t>
      </text>
    </comment>
    <comment authorId="0" ref="AM20">
      <text>
        <t xml:space="preserve">Dallas VideoFest Alternative Fiction
February 7, 2020 - February 10, 2020
Dallas, TX</t>
      </text>
    </comment>
    <comment authorId="0" ref="AR20">
      <text>
        <t xml:space="preserve">Santa Fe Film Festival
February 12, 2020 - February 16, 2020
Santa Fe, NM</t>
      </text>
    </comment>
    <comment authorId="0" ref="AX20">
      <text>
        <t xml:space="preserve">New York Sephardic Jewish Film Festival
February 18, 2020 - February 27, 2020
New York, NY</t>
      </text>
    </comment>
    <comment authorId="0" ref="BI20">
      <text>
        <t xml:space="preserve">Brightside Film Festival, The 
February 29, 2020 - March 1, 2020
Jersey City, NJ</t>
      </text>
    </comment>
    <comment authorId="0" ref="BN20">
      <text>
        <t xml:space="preserve">True/False Film Festival 
March 5, 2020 - March 8, 2020
Columbia, MO</t>
      </text>
    </comment>
    <comment authorId="0" ref="BT20">
      <text>
        <t xml:space="preserve">Onion City Experimental Film + Video Festival
March 12, 2020 - March 15, 2020
Chicago, IL</t>
      </text>
    </comment>
    <comment authorId="0" ref="BY20">
      <text>
        <t xml:space="preserve">Fargo Film Festival 
March 17, 2020 - March 21, 2020
Fargo, ND</t>
      </text>
    </comment>
    <comment authorId="0" ref="CI20">
      <text>
        <t xml:space="preserve">Sarasota Film Festival
March 27, 2020 - April 5, 2020
Sarasota, FL</t>
      </text>
    </comment>
    <comment authorId="0" ref="DC20">
      <text>
        <t xml:space="preserve">Dallas International Film Festival
April 16, 2020 - April 23, 2020
Dallas, TX</t>
      </text>
    </comment>
    <comment authorId="0" ref="DL20">
      <text>
        <t xml:space="preserve">Sacramento International Film Festival
April 25, 2020 - May 3, 2020
Sacramento, CA</t>
      </text>
    </comment>
    <comment authorId="0" ref="DW20">
      <text>
        <t xml:space="preserve">Philadelphia Independent Film Festival
May 6, 2020 - May 9, 2020
Philadelphia, PA</t>
      </text>
    </comment>
    <comment authorId="0" ref="EF20">
      <text>
        <t xml:space="preserve">Portland Comedy Film Festival
May 15, 2020 - May 17, 2020
Wilsonville, OR</t>
      </text>
    </comment>
    <comment authorId="0" ref="EL20">
      <text>
        <t xml:space="preserve">NY Portuguese Short Film Festival
May 21, 2020 - May 22, 2020
New York, NY</t>
      </text>
    </comment>
    <comment authorId="0" ref="EO20">
      <text>
        <t xml:space="preserve">Balticon Short Film Festival
May 24, 2020 - May 24, 2020
Baltimore, MD</t>
      </text>
    </comment>
    <comment authorId="0" ref="EV20">
      <text>
        <t xml:space="preserve">Sunset Film Festival Los Angeles 
May 31, 2020 - May 31, 2020
Los Angeles, CA</t>
      </text>
    </comment>
    <comment authorId="0" ref="EZ20">
      <text>
        <t xml:space="preserve">Lighthouse International Film Festival
June 4, 2020 - June 7, 2020
Long Beach Township, NJ</t>
      </text>
    </comment>
    <comment authorId="0" ref="FF20">
      <text>
        <t xml:space="preserve">Portland Horror Film Festival
June 10, 2020 - June 13, 2020
Portland, OR</t>
      </text>
    </comment>
    <comment authorId="0" ref="FM20">
      <text>
        <t xml:space="preserve">AFI Docs
June 17, 2020 - June 21, 2020
Washington, DC</t>
      </text>
    </comment>
    <comment authorId="0" ref="FU20">
      <text>
        <t xml:space="preserve">Snake Alley Festival of Film
June 25, 2020 - June 28, 2020
Burlington, IA</t>
      </text>
    </comment>
    <comment authorId="0" ref="GR20">
      <text>
        <t xml:space="preserve">Say It Loud Film Festival
July 18, 2020 - July 18, 2020
Baltimore, MD</t>
      </text>
    </comment>
    <comment authorId="0" ref="GX20">
      <text>
        <t xml:space="preserve">Montgomery Film Festival
July 24, 2020 - July 25, 2020
Montgomery, AL</t>
      </text>
    </comment>
    <comment authorId="0" ref="HR20">
      <text>
        <t xml:space="preserve">Atlanta Underground Film Festival
August 13, 2020 - August 15, 2020
Atlanta, GA</t>
      </text>
    </comment>
    <comment authorId="0" ref="IU20">
      <text>
        <t xml:space="preserve">Monarch Film Festival
September 11, 2020 - September 12, 2020
Pacific Grove`, CA</t>
      </text>
    </comment>
    <comment authorId="0" ref="JG20">
      <text>
        <t xml:space="preserve">Urbanworld Film Festival
September 23, 2020 - September 27, 2020
New York, NY</t>
      </text>
    </comment>
    <comment authorId="0" ref="JO20">
      <text>
        <t xml:space="preserve">Queen City Film Festival
October 1, 2020 - October 4, 2020
Cumberland, MD</t>
      </text>
    </comment>
    <comment authorId="0" ref="JV20">
      <text>
        <t xml:space="preserve">Tacoma Film Festival
October 8, 2020 - October 15, 2020
Tacoma, WA</t>
      </text>
    </comment>
    <comment authorId="0" ref="KE20">
      <text>
        <t xml:space="preserve">Sick Chick Flicks Film Festival
October 17, 2020 - October 18, 2020
Cary, NC</t>
      </text>
    </comment>
    <comment authorId="0" ref="KI20">
      <text>
        <t xml:space="preserve">Nordic International Film Festival
October 21, 2020 - October 25, 2020
New York, NY</t>
      </text>
    </comment>
    <comment authorId="0" ref="KZ20">
      <text>
        <t xml:space="preserve">Kansas International Film Festival
November 6, 2020 - November 12, 2020
Overland Park, KS</t>
      </text>
    </comment>
    <comment authorId="0" ref="LH20">
      <text>
        <t xml:space="preserve">Epic ACG Fest
November 14, 2020 - November 15, 2020
Albany, CA</t>
      </text>
    </comment>
    <comment authorId="0" ref="AM21">
      <text>
        <t xml:space="preserve">Tally Shorts Film Festival
February 7, 2020 - February 8, 2020
Tallahassee, FL</t>
      </text>
    </comment>
    <comment authorId="0" ref="AS21">
      <text>
        <t xml:space="preserve">Cinema Verde Environmental Film &amp; Arts Festival
February 13, 2020 - February 16, 2020
Gainsville, FL</t>
      </text>
    </comment>
    <comment authorId="0" ref="BB21">
      <text>
        <t xml:space="preserve">Sedona International Film Festival 
February 22, 2020 - March 1, 2020
Sedona, AZ</t>
      </text>
    </comment>
    <comment authorId="0" ref="BN21">
      <text>
        <t xml:space="preserve">George Lindsey UNA Film Festival
March 5, 2020 - March 7, 2020
Florence, AL</t>
      </text>
    </comment>
    <comment authorId="0" ref="BT21">
      <text>
        <t xml:space="preserve">Philip K. Dick Science Fiction &amp; Supernatural Festival, The
March 12, 2020 - March 15, 2020
Astoria, NY</t>
      </text>
    </comment>
    <comment authorId="0" ref="BZ21">
      <text>
        <t xml:space="preserve">CineKink NYC
March 18, 2020 - March 22, 2020
New York, NY</t>
      </text>
    </comment>
    <comment authorId="0" ref="CI21">
      <text>
        <t xml:space="preserve">San Diego Arab Film Festival
March 27, 2020 - April 4, 2020
San Diego, CA</t>
      </text>
    </comment>
    <comment authorId="0" ref="DA21">
      <text>
        <t xml:space="preserve">Reality Bytes Independent Student Film Festival
April 14, 2020 - April 16, 2020
Dekalb, IL</t>
      </text>
    </comment>
    <comment authorId="0" ref="DE21">
      <text>
        <t xml:space="preserve">International Wildlife Film Festival
April 18, 2020 - April 25, 2020
Missoula, MT</t>
      </text>
    </comment>
    <comment authorId="0" ref="DQ21">
      <text>
        <t xml:space="preserve">Los Angeles Jewish Film Festival
April 30, 2020 - May 7, 2020
Los Angeles, CA</t>
      </text>
    </comment>
    <comment authorId="0" ref="EF21">
      <text>
        <t xml:space="preserve">Rainier Independent Film Festival
May 15, 2020 - May 17, 2020
Rainier, WA</t>
      </text>
    </comment>
    <comment authorId="0" ref="EN21">
      <text>
        <t xml:space="preserve">Davis Feminist Film Festival
May 23, 2020 - May 23, 2020
Davis, CA</t>
      </text>
    </comment>
    <comment authorId="0" ref="EP21">
      <text>
        <t xml:space="preserve">Phantoscope High School Film Festival
May 25, 2020 - May 25, 2020
Richmond, IN</t>
      </text>
    </comment>
    <comment authorId="0" ref="EZ21">
      <text>
        <t xml:space="preserve">Oak Cliff Hill Film Festival
June 4, 2020 - June 7, 2020
Dallas, TX</t>
      </text>
    </comment>
    <comment authorId="0" ref="FG21">
      <text>
        <t xml:space="preserve">Austin Asian American Film Festival
June 11, 2020 - June 14, 2020
Austin, TX</t>
      </text>
    </comment>
    <comment authorId="0" ref="FM21">
      <text>
        <t xml:space="preserve">American Black Film Festival
June 17, 2020 - June 21, 2020
Miami Beach, FL</t>
      </text>
    </comment>
    <comment authorId="0" ref="FX21">
      <text>
        <t xml:space="preserve">My HERO International Short Film Festival
June 28, 2020 - July 1, 2020
Laguna Beach, CA</t>
      </text>
    </comment>
    <comment authorId="0" ref="HS21">
      <text>
        <t xml:space="preserve">Monmouth Film Festival
August 14, 2020 - August 16, 2020
Red Bank, NJ</t>
      </text>
    </comment>
    <comment authorId="0" ref="JH21">
      <text>
        <t xml:space="preserve">Crested Butte Film Festival
September 24, 2020 - September 27, 2020
Crested Butte, CO</t>
      </text>
    </comment>
    <comment authorId="0" ref="JO21">
      <text>
        <t xml:space="preserve">Shriekfest Horror Film Festival
October 1, 2020 - October 4, 2020
Los Angeles, CA</t>
      </text>
    </comment>
    <comment authorId="0" ref="JU21">
      <text>
        <t xml:space="preserve">Festival Angaelica
October 7, 2020 - October 11, 2020
Los Angeles, CA</t>
      </text>
    </comment>
    <comment authorId="0" ref="KB21">
      <text>
        <t xml:space="preserve">New Orleans Film Festival
October 14, 2020 - October 21, 2020
New Orleans, LA</t>
      </text>
    </comment>
    <comment authorId="0" ref="KK21">
      <text>
        <t xml:space="preserve">Freak Show Horror Film Festival
October 23, 2020 - October 25, 2020
Orlando, FL</t>
      </text>
    </comment>
    <comment authorId="0" ref="KZ21">
      <text>
        <t xml:space="preserve">Studio City Film Festival
November 6, 2020 - November 12, 2020
Los Angeles, CA</t>
      </text>
    </comment>
    <comment authorId="0" ref="LH21">
      <text>
        <t xml:space="preserve">International Exhibition of Super Short Films
November 14, 2020 - November 14, 2020
Easton, MA</t>
      </text>
    </comment>
    <comment authorId="0" ref="AN22">
      <text>
        <t xml:space="preserve">LA Dance Film Festival
February 8, 2020 - February 8, 2020
Los Angeles, CA</t>
      </text>
    </comment>
    <comment authorId="0" ref="AS22">
      <text>
        <t xml:space="preserve">Dam Short Film Festival
February 13, 2020 - February 16, 2020
Boulder City, NV</t>
      </text>
    </comment>
    <comment authorId="0" ref="BA22">
      <text>
        <t xml:space="preserve">Longwood Animation Film Festival
February 21, 2020 - February 28, 2020
Farmville, VA</t>
      </text>
    </comment>
    <comment authorId="0" ref="BO22">
      <text>
        <t xml:space="preserve">Midwest WeirdFest
March 6, 2020 - March 8, 2020
Eau Claire, WI</t>
      </text>
    </comment>
    <comment authorId="0" ref="BV22">
      <text>
        <t xml:space="preserve">Los Angeles Short Film Festival
March 14, 2020 - March 15, 2020
Los Angeles, CA</t>
      </text>
    </comment>
    <comment authorId="0" ref="CB22">
      <text>
        <t xml:space="preserve">Sierra Canyon Film Festival
March 20, 2020 - March 20, 2020
Los Angeles, CA</t>
      </text>
    </comment>
    <comment authorId="0" ref="CD22">
      <text>
        <t xml:space="preserve">qFLIX Philadelphia
March 22, 2020 - March 29, 2020
Philadelphia, PA</t>
      </text>
    </comment>
    <comment authorId="0" ref="CN22">
      <text>
        <t xml:space="preserve">Beverly Hills Film Festival
April 1, 2020 - April 5, 2020
Beverly Hills, CA</t>
      </text>
    </comment>
    <comment authorId="0" ref="DA22">
      <text>
        <t xml:space="preserve">Deaf Rochester Film Festival
April 14, 2020 - April 18, 2020
Rochester, NY</t>
      </text>
    </comment>
    <comment authorId="0" ref="DI22">
      <text>
        <t xml:space="preserve">Fort Myers Beach International Film Festival
April 22, 2020 - April 29, 2020
Fort Myers, FL</t>
      </text>
    </comment>
    <comment authorId="0" ref="DR22">
      <text>
        <t xml:space="preserve">Blackbird Film Festival
May 1, 2020 - May 3, 2020
Cortland, NY</t>
      </text>
    </comment>
    <comment authorId="0" ref="DX22">
      <text>
        <t xml:space="preserve">Greenpoint Film Festival
May 7, 2020 - May 10, 2020
Brooklyn, NY</t>
      </text>
    </comment>
    <comment authorId="0" ref="EF22">
      <text>
        <t xml:space="preserve">Sick 'n' Wrong Film Festival
May 15, 2020 - May 17, 2020
Orlando, FL</t>
      </text>
    </comment>
    <comment authorId="0" ref="EZ22">
      <text>
        <t xml:space="preserve">Philadelphia Latino Film Festival
June 4, 2020 - June 7, 2020
Philadelphia, PA</t>
      </text>
    </comment>
    <comment authorId="0" ref="FG22">
      <text>
        <t xml:space="preserve">BZN Internatioanl Film Festival
June 11, 2020 - June 14, 2020
Bozeman , CO</t>
      </text>
    </comment>
    <comment authorId="0" ref="FM22">
      <text>
        <t xml:space="preserve">Maui Film Festival
June 17, 2020 - June 21, 2020
Maui, HI</t>
      </text>
    </comment>
    <comment authorId="0" ref="FV22">
      <text>
        <t xml:space="preserve">Interrobang Film Festival
June 26, 2020 - June 28, 2020
Des Moines, IA</t>
      </text>
    </comment>
    <comment authorId="0" ref="HT22">
      <text>
        <t xml:space="preserve">Haiti International Film Festival
August 15, 2020 - August 15, 2020
Hollywood, CA</t>
      </text>
    </comment>
    <comment authorId="0" ref="JH22">
      <text>
        <t xml:space="preserve">Gig Harbor Film Festival
September 24, 2020 - September 27, 2020
Gig Harbor, WA</t>
      </text>
    </comment>
    <comment authorId="0" ref="JO22">
      <text>
        <t xml:space="preserve">Sioux City International Film Festival
October 1, 2020 - October 4, 2020
Sioux City, IA</t>
      </text>
    </comment>
    <comment authorId="0" ref="JV22">
      <text>
        <t xml:space="preserve">Buffalo International Film Festival
October 8, 2020 - October 12, 2020
Buffalo, NY</t>
      </text>
    </comment>
    <comment authorId="0" ref="KC22">
      <text>
        <t xml:space="preserve">AFI Fest
October 15, 2020 - October 22, 2020
Los Angeles, CA</t>
      </text>
    </comment>
    <comment authorId="0" ref="KM22">
      <text>
        <t xml:space="preserve">FANtasic Horror Film Festival
October 25, 2020 - October 27, 2020
San Diego, CA</t>
      </text>
    </comment>
    <comment authorId="0" ref="KW22">
      <text>
        <t xml:space="preserve">American Indian Film Festival
November 3, 2020 - November 7, 2020
San Francisco, CA</t>
      </text>
    </comment>
    <comment authorId="0" ref="LC22">
      <text>
        <t xml:space="preserve">Miami Short Film Festival
November 9, 2020 - November 14, 2020
Miami, FL</t>
      </text>
    </comment>
    <comment authorId="0" ref="AN23">
      <text>
        <t xml:space="preserve">Thomas Edison Black Maria Film Festival
February 8, 2020 - February 8, 2020
Hoboken, NJ</t>
      </text>
    </comment>
    <comment authorId="0" ref="AS23">
      <text>
        <t xml:space="preserve">Flagstaff Mountain Film Festival
February 13, 2020 - February 16, 2020
Flagstaff, AZ</t>
      </text>
    </comment>
    <comment authorId="0" ref="AZ23">
      <text>
        <t xml:space="preserve">Black Hills Film Festival
February 20, 2020 - February 25, 2020
Hill City, SD</t>
      </text>
    </comment>
    <comment authorId="0" ref="BG23">
      <text>
        <t xml:space="preserve">New York WILD Film Festival
February 27, 2020 - March 1, 2020
New York, NY</t>
      </text>
    </comment>
    <comment authorId="0" ref="BO23">
      <text>
        <t xml:space="preserve">Red Dirt Film Festival
March 6, 2020 - March 8, 2020
Stillwater, OK</t>
      </text>
    </comment>
    <comment authorId="0" ref="BV23">
      <text>
        <t xml:space="preserve">Wildwood Film Festival
March 14, 2020 - March 14, 2020
Appleton, WI</t>
      </text>
    </comment>
    <comment authorId="0" ref="CB23">
      <text>
        <t xml:space="preserve">Method Fest Independent Film Festival, The 
March 20, 2020 - March 26, 2020
Los Angeles, CA</t>
      </text>
    </comment>
    <comment authorId="0" ref="CJ23">
      <text>
        <t xml:space="preserve">Post Alley Film Festival
March 28, 2020 - March 28, 2020
Seattle, WA</t>
      </text>
    </comment>
    <comment authorId="0" ref="CN23">
      <text>
        <t xml:space="preserve">Indian Film Festival of Los Angeles
April 1, 2020 - April 5, 2020
Los Angeles, CA</t>
      </text>
    </comment>
    <comment authorId="0" ref="DA23">
      <text>
        <t xml:space="preserve">Experiments in Cinema
April 14, 2020 - April 18, 2020
Albequerque, NM</t>
      </text>
    </comment>
    <comment authorId="0" ref="DI23">
      <text>
        <t xml:space="preserve">Independent Film Festival of Boston
April 22, 2020 - April 29, 2020
Boston, MA</t>
      </text>
    </comment>
    <comment authorId="0" ref="DR23">
      <text>
        <t xml:space="preserve">Crypticon Seattle Horror Film Festival
May 1, 2020 - May 3, 2020
Seattle, WA</t>
      </text>
    </comment>
    <comment authorId="0" ref="DX23">
      <text>
        <t xml:space="preserve">Hill Country Film Festival
May 7, 2020 - May 10, 2020
Fredericksburg, TX</t>
      </text>
    </comment>
    <comment authorId="0" ref="EF23">
      <text>
        <t xml:space="preserve">Extremely Short Film Festival
May 15, 2020 - May 16, 2020
Houston, TX</t>
      </text>
    </comment>
    <comment authorId="0" ref="FB23">
      <text>
        <t xml:space="preserve">ASIFA-South Animation Conference and Festival
June 6, 2020 - June 7, 2020
Atlanta, GA</t>
      </text>
    </comment>
    <comment authorId="0" ref="FG23">
      <text>
        <t xml:space="preserve">deadCENTER Film Festival
June 11, 2020 - June 14, 2020
Oklahoma City, OK</t>
      </text>
    </comment>
    <comment authorId="0" ref="FM23">
      <text>
        <t xml:space="preserve">Provincetown Film Festival
June 17, 2020 - June 21, 2020
Provincetown, MA</t>
      </text>
    </comment>
    <comment authorId="0" ref="FV23">
      <text>
        <t xml:space="preserve">Pittsburgh Independent Film Festival
June 26, 2020 - June 28, 2020
McKees Rocks, PA</t>
      </text>
    </comment>
    <comment authorId="0" ref="JH23">
      <text>
        <t xml:space="preserve">Hell's Half Mile Film &amp; Music Festival
September 24, 2020 - September 27, 2020
Bay City, MI</t>
      </text>
    </comment>
    <comment authorId="0" ref="JO23">
      <text>
        <t xml:space="preserve">Shawna Shea Film Festival, The 
October 1, 2020 - October 3, 2020
Uxbridge, MA</t>
      </text>
    </comment>
    <comment authorId="0" ref="JV23">
      <text>
        <t xml:space="preserve">Hamptons International Film Festival
October 8, 2020 - October 12, 2020
East Hampton, NY</t>
      </text>
    </comment>
    <comment authorId="0" ref="KC23">
      <text>
        <t xml:space="preserve">Brooklyn Horror Fest
October 15, 2020 - October 22, 2020
Brooklyn, NY</t>
      </text>
    </comment>
    <comment authorId="0" ref="KL23">
      <text>
        <t xml:space="preserve">Bleedingham Film Festival
October 24, 2020 - October 25, 2020
Bellingham, WA</t>
      </text>
    </comment>
    <comment authorId="0" ref="KX23">
      <text>
        <t xml:space="preserve">Lone Star Film Festival
November 4, 2020 - November 8, 2020
Fort Worth, TX</t>
      </text>
    </comment>
    <comment authorId="0" ref="LE23">
      <text>
        <t xml:space="preserve">Big Apple Film Festival
November 11, 2020 - November 15, 2020
New York, NY</t>
      </text>
    </comment>
    <comment authorId="0" ref="AO24">
      <text>
        <t xml:space="preserve">RVA Environmental Film Festival
February 9, 2020 - February 9, 2020
Richmond, VA</t>
      </text>
    </comment>
    <comment authorId="0" ref="AS24">
      <text>
        <t xml:space="preserve">Love Your Shorts Film Festival
February 13, 2020 - February 16, 2020
Sanford, FL</t>
      </text>
    </comment>
    <comment authorId="0" ref="AZ24">
      <text>
        <t xml:space="preserve">Colorado Environmental Film Festival
February 20, 2020 - February 22, 2020
Golden, CO</t>
      </text>
    </comment>
    <comment authorId="0" ref="BD24">
      <text>
        <t xml:space="preserve">LDS Film Festival
February 24, 2020 - February 29, 2020
Orem, UT</t>
      </text>
    </comment>
    <comment authorId="0" ref="BO24">
      <text>
        <t xml:space="preserve">South Georgia Film Festival
March 6, 2020 - March 8, 2020
Valdosta, GA</t>
      </text>
    </comment>
    <comment authorId="0" ref="BZ24">
      <text>
        <t xml:space="preserve">Underexposed Film Festival yc
March 18, 2020 - March 21, 2020
Rock Hill, SC</t>
      </text>
    </comment>
    <comment authorId="0" ref="CE24">
      <text>
        <t xml:space="preserve">Wasatch Mountain Film Festival
March 23, 2020 - March 28, 2020
Salt Lake City, UT</t>
      </text>
    </comment>
    <comment authorId="0" ref="CN24">
      <text>
        <t xml:space="preserve">Philadelphia Environmental Film Festival
April 1, 2020 - April 5, 2020
Philadelphia, PA</t>
      </text>
    </comment>
    <comment authorId="0" ref="DB24">
      <text>
        <t xml:space="preserve">Kansas City Film Fest
April 15, 2020 - April 19, 2020
Kansas City, MO</t>
      </text>
    </comment>
    <comment authorId="0" ref="DJ24">
      <text>
        <t xml:space="preserve">Newport Beach Film Festival
April 23, 2020 - April 30, 2020
Newport Beach, CA</t>
      </text>
    </comment>
    <comment authorId="0" ref="DX24">
      <text>
        <t xml:space="preserve">Translations: Seattle Transgender Film Festival
May 7, 2020 - May 10, 2020
Seattle, WA</t>
      </text>
    </comment>
    <comment authorId="0" ref="EG24">
      <text>
        <t xml:space="preserve">Los Angeles Reel Film Festival
May 16, 2020 - May 17, 2020
Los Angeles, CA`</t>
      </text>
    </comment>
    <comment authorId="0" ref="FB24">
      <text>
        <t xml:space="preserve">Diwa Filipino Film Showcase of Seattle
June 6, 2020 - June 7, 2020
Tukwila, WA</t>
      </text>
    </comment>
    <comment authorId="0" ref="FG24">
      <text>
        <t xml:space="preserve">Florida Animation Festival
June 11, 2020 - June 14, 2020
Tallahassee, FL</t>
      </text>
    </comment>
    <comment authorId="0" ref="FN24">
      <text>
        <t xml:space="preserve">Covellite International Film Festival
June 18, 2020 - June 21, 2020
Butte, MT</t>
      </text>
    </comment>
    <comment authorId="0" ref="FV24">
      <text>
        <t xml:space="preserve">Free Range Film Festival
June 26, 2020 - June 27, 2020
Wrenshall, MN</t>
      </text>
    </comment>
    <comment authorId="0" ref="JH24">
      <text>
        <t xml:space="preserve">Hot Springs International Horror Film Festival
September 24, 2020 - September 27, 2020
Hot Springs, AR</t>
      </text>
    </comment>
    <comment authorId="0" ref="JP24">
      <text>
        <t xml:space="preserve">H.P. Lovecraft Film Festival
October 2, 2020 - October 4, 2020
Portland, OR</t>
      </text>
    </comment>
    <comment authorId="0" ref="JW24">
      <text>
        <t xml:space="preserve">F3: Frankly Film Fest
October 9, 2020 - October 10, 2020
Piqua, OH</t>
      </text>
    </comment>
    <comment authorId="0" ref="JZ24">
      <text>
        <t xml:space="preserve">Portland Film Festival 
October 12, 2020 - October 18, 2020
Portland, OR</t>
      </text>
    </comment>
    <comment authorId="0" ref="KI24">
      <text>
        <t xml:space="preserve">Virginia Film Festival
October 21, 2020 - October 25, 2020
Charlottesville, VA</t>
      </text>
    </comment>
    <comment authorId="0" ref="KX24">
      <text>
        <t xml:space="preserve">Big Water Film Festival
November 4, 2020 - November 7, 2020
Ashland, WI</t>
      </text>
    </comment>
    <comment authorId="0" ref="LE24">
      <text>
        <t xml:space="preserve">International Puerto Rican Heritage Film Festival
November 11, 2020 - November 15, 2020
Brooklyn, NY</t>
      </text>
    </comment>
    <comment authorId="0" ref="AS25">
      <text>
        <t xml:space="preserve">Oneota Film Festival
February 13, 2020 - February 16, 2020
Decorah, IA</t>
      </text>
    </comment>
    <comment authorId="0" ref="AZ25">
      <text>
        <t xml:space="preserve">Seattle Asian American Film Festival 
February 20, 2020 - February 23, 2020
Seattle, WA</t>
      </text>
    </comment>
    <comment authorId="0" ref="BG25">
      <text>
        <t xml:space="preserve">Magnolia Independent Film Festival
February 27, 2020 - February 29, 2020
Starkville, MS</t>
      </text>
    </comment>
    <comment authorId="0" ref="BO25">
      <text>
        <t xml:space="preserve">Through Women's Eyes Film Festival
March 6, 2020 - March 8, 2020
Sarasota, FL</t>
      </text>
    </comment>
    <comment authorId="0" ref="BZ25">
      <text>
        <t xml:space="preserve">Oxford Film Festival 
March 18, 2020 - March 22, 2020
Oxford, MS</t>
      </text>
    </comment>
    <comment authorId="0" ref="CF25">
      <text>
        <t xml:space="preserve">Ann Arbor Film Festival 
March 24, 2020 - March 29, 2020
Ann Arbor, MI</t>
      </text>
    </comment>
    <comment authorId="0" ref="CO25">
      <text>
        <t xml:space="preserve">Charlotte Black Film Festival
April 2, 2020 - April 5, 2020
Charlotte, NC</t>
      </text>
    </comment>
    <comment authorId="0" ref="DD25">
      <text>
        <t xml:space="preserve">Tiburon International Film Festival
April 17, 2020 - April 23, 2020
Tiburon, CA</t>
      </text>
    </comment>
    <comment authorId="0" ref="DL25">
      <text>
        <t xml:space="preserve">Laugh or Die Comedy Fest
April 25, 2020 - April 25, 2020
Gatlinburg, TN</t>
      </text>
    </comment>
    <comment authorId="0" ref="DN25">
      <text>
        <t xml:space="preserve">Los Angeles Greek Film Festival
April 27, 2020 - May 3, 2020
Sherman Oaks, CA</t>
      </text>
    </comment>
    <comment authorId="0" ref="DX25">
      <text>
        <t xml:space="preserve">San Diego Surf Film Festival
May 7, 2020 - May 9, 2020
San Diego, CA</t>
      </text>
    </comment>
    <comment authorId="0" ref="EH25">
      <text>
        <t xml:space="preserve">Elkhorn Valley BEA D7 Film and Media Conference
May 17, 2020 - May 18, 2020
Omaha, NE</t>
      </text>
    </comment>
    <comment authorId="0" ref="FB25">
      <text>
        <t xml:space="preserve">Rockland Youth Film Festival
June 6, 2020 - June 7, 2020
Spring Valley, NY</t>
      </text>
    </comment>
    <comment authorId="0" ref="FG25">
      <text>
        <t xml:space="preserve">International Horror Hotel, The
June 11, 2020 - June 14, 2020
Cleveland, OH</t>
      </text>
    </comment>
    <comment authorId="0" ref="FN25">
      <text>
        <t xml:space="preserve">Doc Sunback Film Festival
June 18, 2020 - June 21, 2020
Mulvane, KS</t>
      </text>
    </comment>
    <comment authorId="0" ref="JH25">
      <text>
        <t xml:space="preserve">Nola Horror Film Fest
September 24, 2020 - September 27, 2020
New Orleans, LA</t>
      </text>
    </comment>
    <comment authorId="0" ref="JP25">
      <text>
        <t xml:space="preserve">Other Venice Film Festival
October 2, 2020 - October 4, 2020
Los Angeles, CA</t>
      </text>
    </comment>
    <comment authorId="0" ref="JV25">
      <text>
        <t xml:space="preserve">Orcas Island Film Festival 
October 8, 2020 - October 12, 2020
Eastsound, WA</t>
      </text>
    </comment>
    <comment authorId="0" ref="KD25">
      <text>
        <t xml:space="preserve">Reel Recovery Film Festival &amp; Symposium
October 16, 2020 - October 22, 2020
Los Angeles, CA</t>
      </text>
    </comment>
    <comment authorId="0" ref="KL25">
      <text>
        <t xml:space="preserve">Reel Sisters of the Diaspora Film Festival &amp; Lecture Series
October 24, 2020 - October 25, 2020
New York, NY</t>
      </text>
    </comment>
    <comment authorId="0" ref="KX25">
      <text>
        <t xml:space="preserve">Red Rock Film Festival - Utah
November 4, 2020 - November 7, 2020
Festival City, UT</t>
      </text>
    </comment>
    <comment authorId="0" ref="LE25">
      <text>
        <t xml:space="preserve">Napa Valley Film Festival
November 11, 2020 - November 15, 2020
Napa Valley, CA</t>
      </text>
    </comment>
    <comment authorId="0" ref="AT26">
      <text>
        <t xml:space="preserve">Common Good International Film Festival
February 14, 2020 - February 17, 2020
Claremont, CA</t>
      </text>
    </comment>
    <comment authorId="0" ref="BB26">
      <text>
        <t xml:space="preserve">Southern City Film Festival
February 22, 2020 - February 25, 2020
Aiken, SC</t>
      </text>
    </comment>
    <comment authorId="0" ref="BG26">
      <text>
        <t xml:space="preserve">OgeeChee International History Film Festival
February 27, 2020 - February 29, 2020
Statesboro, GA</t>
      </text>
    </comment>
    <comment authorId="0" ref="BO26">
      <text>
        <t xml:space="preserve">Colony Short Film Festival
March 6, 2020 - March 7, 2020
Marietta, OH</t>
      </text>
    </comment>
    <comment authorId="0" ref="BZ26">
      <text>
        <t xml:space="preserve">SOMA Film Festival
March 18, 2020 - March 22, 2020
Maplewood, NJ</t>
      </text>
    </comment>
    <comment authorId="0" ref="CH26">
      <text>
        <t xml:space="preserve">Green Mountain Film Festival
March 26, 2020 - March 31, 2020
Montpelier, VT</t>
      </text>
    </comment>
    <comment authorId="0" ref="CO26">
      <text>
        <t xml:space="preserve">Full Frame Documentary Film Festival
April 2, 2020 - April 5, 2020
Raleigh-Durham, NC</t>
      </text>
    </comment>
    <comment authorId="0" ref="DB26">
      <text>
        <t xml:space="preserve">Tallahassee Film Festival
April 15, 2020 - April 19, 2020
Tallahassee, FL</t>
      </text>
    </comment>
    <comment authorId="0" ref="DH26">
      <text>
        <t xml:space="preserve">Myrtle Beach International Film Festival
April 21, 2020 - April 25, 2020
Myrtle Beach, SC</t>
      </text>
    </comment>
    <comment authorId="0" ref="DN26">
      <text>
        <t xml:space="preserve">New York Indian Film Festival
April 27, 2020 - May 3, 2020
New York, NY</t>
      </text>
    </comment>
    <comment authorId="0" ref="DY26">
      <text>
        <t xml:space="preserve">Longleaf Film Festival
May 8, 2020 - May 9, 2020
Raleigh, NC</t>
      </text>
    </comment>
    <comment authorId="0" ref="EH26">
      <text>
        <t xml:space="preserve">Reel Minds: Miami Mental Health Film Festival
May 17, 2020 - May 17, 2020
Miami, FL</t>
      </text>
    </comment>
    <comment authorId="0" ref="FG26">
      <text>
        <t xml:space="preserve">San Francisco Black Film Festival
June 11, 2020 - June 14, 2020
San Francisco, CA</t>
      </text>
    </comment>
    <comment authorId="0" ref="JH26">
      <text>
        <t xml:space="preserve">NOLA Horror Film Fest
September 24, 2020 - September 27, 2020
New Orleans, LA</t>
      </text>
    </comment>
    <comment authorId="0" ref="JP26">
      <text>
        <t xml:space="preserve">Raleigh Film &amp; Art Festival
October 2, 2020 - October 4, 2020
Raleigh, NC</t>
      </text>
    </comment>
    <comment authorId="0" ref="JV26">
      <text>
        <t xml:space="preserve">BendFilm Festival
October 8, 2020 - October 11, 2020
Bend, OR</t>
      </text>
    </comment>
    <comment authorId="0" ref="KA26">
      <text>
        <t xml:space="preserve">San Diego International Film Festival
October 13, 2020 - October 18, 2020
San Diego, CA</t>
      </text>
    </comment>
    <comment authorId="0" ref="KJ26">
      <text>
        <t xml:space="preserve">Washington West International Film Festival
October 22, 2020 - October 26, 2020
Reston, VA</t>
      </text>
    </comment>
    <comment authorId="0" ref="KY26">
      <text>
        <t xml:space="preserve">Arlington International Film Festival
November 5, 2020 - November 8, 2020
Watertown, MA</t>
      </text>
    </comment>
    <comment authorId="0" ref="LE26">
      <text>
        <t xml:space="preserve">Pittsburgh Shorts Film Festival
November 11, 2020 - November 15, 2020
Pittsburgh, PA</t>
      </text>
    </comment>
    <comment authorId="0" ref="AS27">
      <text>
        <t xml:space="preserve">Hayti Heritage Film Festival
February 13, 2020 - February 15, 2020
Durham, NC</t>
      </text>
    </comment>
    <comment authorId="0" ref="AZ27">
      <text>
        <t xml:space="preserve">Downstream Film Festival
February 20, 2020 - February 22, 2020
Northfield, MN</t>
      </text>
    </comment>
    <comment authorId="0" ref="BH27">
      <text>
        <t xml:space="preserve">Destiny City Film Festival
February 28, 2020 - March 1, 2020
Tacoma, WA</t>
      </text>
    </comment>
    <comment authorId="0" ref="BO27">
      <text>
        <t xml:space="preserve">Oklahoma Cine Latino Film Festival
March 6, 2020 - March 7, 2020
Oklahoma City, OK</t>
      </text>
    </comment>
    <comment authorId="0" ref="BZ27">
      <text>
        <t xml:space="preserve">SR Socially Relevant Film Festival
March 18, 2020 - March 22, 2020
New York, NY</t>
      </text>
    </comment>
    <comment authorId="0" ref="CF27">
      <text>
        <t xml:space="preserve">American Conservation Film Festival
March 24, 2020 - March 28, 2020
Shepherdstown, WV</t>
      </text>
    </comment>
    <comment authorId="0" ref="CO27">
      <text>
        <t xml:space="preserve">Sleeping Giant Fest
April 2, 2020 - April 5, 2020
Jacksonville , FL</t>
      </text>
    </comment>
    <comment authorId="0" ref="DB27">
      <text>
        <t xml:space="preserve">Ebert Fest
April 15, 2020 - April 18, 2020
Champaign, IL</t>
      </text>
    </comment>
    <comment authorId="0" ref="DH27">
      <text>
        <t xml:space="preserve">Bare Bones International Film &amp; Music Festival
April 21, 2020 - April 26, 2020
Muskogee, OK</t>
      </text>
    </comment>
    <comment authorId="0" ref="DP27">
      <text>
        <t xml:space="preserve">Maryland Film Festival
April 29, 2020 - May 3, 2020
Baltimore, MD</t>
      </text>
    </comment>
    <comment authorId="0" ref="FG27">
      <text>
        <t xml:space="preserve">Vero Beach Wine + Film Festival
June 11, 2020 - June 14, 2020
Vero Beach, FL</t>
      </text>
    </comment>
    <comment authorId="0" ref="JH27">
      <text>
        <t xml:space="preserve">Port Townsend Film Festival
September 24, 2020 - September 27, 2020
Port Townsend, WA</t>
      </text>
    </comment>
    <comment authorId="0" ref="JP27">
      <text>
        <t xml:space="preserve">Wild Bunch Film Festival, The 
October 2, 2020 - October 4, 2020
Wilcox, AZ</t>
      </text>
    </comment>
    <comment authorId="0" ref="JV27">
      <text>
        <t xml:space="preserve">Double Exposure Film Festival
October 8, 2020 - October 11, 2020
Washington, DC, DC</t>
      </text>
    </comment>
    <comment authorId="0" ref="KA27">
      <text>
        <t xml:space="preserve">Santa Cruz Film Festival
October 13, 2020 - October 18, 2020
Santa Cruz, CA</t>
      </text>
    </comment>
    <comment authorId="0" ref="KI27">
      <text>
        <t xml:space="preserve">NiFF Houston International Film Festival
October 21, 2020 - October 24, 2020
Houston, TX</t>
      </text>
    </comment>
    <comment authorId="0" ref="KY27">
      <text>
        <t xml:space="preserve">Crossroads Film Festival
November 5, 2020 - November 8, 2020
Madison, MS</t>
      </text>
    </comment>
    <comment authorId="0" ref="LE27">
      <text>
        <t xml:space="preserve">Sound Unseen
November 11, 2020 - November 15, 2020
Minneapolis, MN</t>
      </text>
    </comment>
    <comment authorId="0" ref="AT28">
      <text>
        <t xml:space="preserve">Miami International Science Fiction Film Festival
February 14, 2020 - February 16, 2020
Miami, FL</t>
      </text>
    </comment>
    <comment authorId="0" ref="AZ28">
      <text>
        <t xml:space="preserve">Nacogdoches Film Festival
February 20, 2020 - February 22, 2020
Nacagdoches, TX</t>
      </text>
    </comment>
    <comment authorId="0" ref="BH28">
      <text>
        <t xml:space="preserve">MystiCon Independent Film Festival
February 28, 2020 - March 1, 2020
Roanoke, VA</t>
      </text>
    </comment>
    <comment authorId="0" ref="BO28">
      <text>
        <t xml:space="preserve">SPE Media Festival
March 6, 2020 - March 7, 2020
Houston, TX</t>
      </text>
    </comment>
    <comment authorId="0" ref="BZ28">
      <text>
        <t xml:space="preserve">Sun Valley Film Festival
March 18, 2020 - March 22, 2020
Sun Valley, ID</t>
      </text>
    </comment>
    <comment authorId="0" ref="CG28">
      <text>
        <t xml:space="preserve">Boston Underground Film Festival
March 25, 2020 - March 29, 2020
Boston, MA</t>
      </text>
    </comment>
    <comment authorId="0" ref="CO28">
      <text>
        <t xml:space="preserve">SONscreen Film Festival
April 2, 2020 - April 4, 2020
Columbia, MD</t>
      </text>
    </comment>
    <comment authorId="0" ref="DB28">
      <text>
        <t xml:space="preserve">St. Francis College's Women's Film Festival 
April 15, 2020 - April 18, 2020
Brooklyn Heights, NY</t>
      </text>
    </comment>
    <comment authorId="0" ref="DH28">
      <text>
        <t xml:space="preserve">Richmond International Film Festival
April 21, 2020 - April 26, 2020
Richmond, VA</t>
      </text>
    </comment>
    <comment authorId="0" ref="DP28">
      <text>
        <t xml:space="preserve">Bentonville Film Festival
April 29, 2020 - May 2, 2020
Bentonville, AR</t>
      </text>
    </comment>
    <comment authorId="0" ref="FG28">
      <text>
        <t xml:space="preserve">Rochester International Film Festival
June 11, 2020 - June 13, 2020
Rochester, NY</t>
      </text>
    </comment>
    <comment authorId="0" ref="FK28">
      <text>
        <t xml:space="preserve">Fort Worth Indie Film Showcase
June 15, 2020 - June 18, 2020
Fort Worth, TX</t>
      </text>
    </comment>
    <comment authorId="0" ref="JH28">
      <text>
        <t xml:space="preserve">Portland Eco Film Festival
September 24, 2020 - September 27, 2020
Portland, OR</t>
      </text>
    </comment>
    <comment authorId="0" ref="JP28">
      <text>
        <t xml:space="preserve">Lake Charles Film &amp; Music Festival
October 2, 2020 - October 3, 2020
Lake Charles, LA</t>
      </text>
    </comment>
    <comment authorId="0" ref="JV28">
      <text>
        <t xml:space="preserve">Flyway Film Festival
October 8, 2020 - October 11, 2020
Pepin, WI</t>
      </text>
    </comment>
    <comment authorId="0" ref="KA28">
      <text>
        <t xml:space="preserve">SENE Film Festival
October 13, 2020 - October 17, 2020
Chepachet, RI</t>
      </text>
    </comment>
    <comment authorId="0" ref="KI28">
      <text>
        <t xml:space="preserve">Twin Cities Black Film Festival
October 21, 2020 - October 24, 2020
Minneapolis, MN</t>
      </text>
    </comment>
    <comment authorId="0" ref="KY28">
      <text>
        <t xml:space="preserve">San Pedro International Film Festival
November 5, 2020 - November 8, 2020
San Pedro, CA</t>
      </text>
    </comment>
    <comment authorId="0" ref="LE28">
      <text>
        <t xml:space="preserve">Weyauwega International Film Festival
November 11, 2020 - November 14, 2020
Weyauwega, WI</t>
      </text>
    </comment>
    <comment authorId="0" ref="AT29">
      <text>
        <t xml:space="preserve">Oregon Short Film Festival
February 14, 2020 - February 16, 2020
Wilsonville, OR</t>
      </text>
    </comment>
    <comment authorId="0" ref="BA29">
      <text>
        <t xml:space="preserve">Cinema at the Edge Independent Film Festival (CATE)
February 21, 2020 - February 23, 2020
Santa Monica, CA</t>
      </text>
    </comment>
    <comment authorId="0" ref="BH29">
      <text>
        <t xml:space="preserve">Nevermore Film Festival
February 28, 2020 - March 1, 2020
Durham, NC</t>
      </text>
    </comment>
    <comment authorId="0" ref="BP29">
      <text>
        <t xml:space="preserve">Chistian Youth Film Festival
March 7, 2020 - March 8, 2020
Bakersfield, CA</t>
      </text>
    </comment>
    <comment authorId="0" ref="CA29">
      <text>
        <t xml:space="preserve">Do It Your Damn Self National Youth Film Festival
March 19, 2020 - March 21, 2020
Boston, MA</t>
      </text>
    </comment>
    <comment authorId="0" ref="CE29">
      <text>
        <t xml:space="preserve">New York City International Film Festival
March 23, 2020 - March 27, 2020
New York, NY</t>
      </text>
    </comment>
    <comment authorId="0" ref="CN29">
      <text>
        <t xml:space="preserve">Sistas Are Doing It For Themselves
April 1, 2020 - April 1, 2020
Los Angeles, CA</t>
      </text>
    </comment>
    <comment authorId="0" ref="CP29">
      <text>
        <t xml:space="preserve">Universe Multicultural Film Festival
April 3, 2020 - April 5, 2020
Palos Verdes Peninsula, CA</t>
      </text>
    </comment>
    <comment authorId="0" ref="DC29">
      <text>
        <t xml:space="preserve">Ashland Independent Film Festival
April 16, 2020 - April 20, 2020
Ashland, OR</t>
      </text>
    </comment>
    <comment authorId="0" ref="DI29">
      <text>
        <t xml:space="preserve">Freep Film Festival
April 22, 2020 - April 26, 2020
Detroit, MI</t>
      </text>
    </comment>
    <comment authorId="0" ref="DQ29">
      <text>
        <t xml:space="preserve">Doclands Documentary Film Festival
April 30, 2020 - May 3, 2020
San Rafael, CA</t>
      </text>
    </comment>
    <comment authorId="0" ref="FH29">
      <text>
        <t xml:space="preserve">Lancaster International Short Film Festival
June 12, 2020 - June 13, 2020
Lancaster, PA</t>
      </text>
    </comment>
    <comment authorId="0" ref="JH29">
      <text>
        <t xml:space="preserve">Flatland Film Festival
September 24, 2020 - September 26, 2020
Lubbock, TX</t>
      </text>
    </comment>
    <comment authorId="0" ref="JV29">
      <text>
        <t xml:space="preserve">Montana Film Festival
October 8, 2020 - October 11, 2020
Missoula, MT</t>
      </text>
    </comment>
    <comment authorId="0" ref="KA29">
      <text>
        <t xml:space="preserve">Thriller! Chiller!
October 13, 2020 - October 17, 2020
Grand Rapids, MI</t>
      </text>
    </comment>
    <comment authorId="0" ref="KJ29">
      <text>
        <t xml:space="preserve">Food Film Festival, The
October 22, 2020 - October 25, 2020
New York, NY</t>
      </text>
    </comment>
    <comment authorId="0" ref="KY29">
      <text>
        <t xml:space="preserve">Atlanta DocuFest
November 5, 2020 - November 7, 2020
Atlanta, GA</t>
      </text>
    </comment>
    <comment authorId="0" ref="LF29">
      <text>
        <t xml:space="preserve">Fairhope Film Festival
November 12, 2020 - November 15, 2020
Fairhope, AL</t>
      </text>
    </comment>
    <comment authorId="0" ref="AT30">
      <text>
        <t xml:space="preserve">Door County Short Film Festival
February 14, 2020 - February 15, 2020
Sister Bay, WI</t>
      </text>
    </comment>
    <comment authorId="0" ref="BA30">
      <text>
        <t xml:space="preserve">Con Nooga Film Festival
February 21, 2020 - February 23, 2020
Chattanooga, TN</t>
      </text>
    </comment>
    <comment authorId="0" ref="BH30">
      <text>
        <t xml:space="preserve">Pensacon Short Film Festival
February 28, 2020 - March 1, 2020
Pensacola, FL</t>
      </text>
    </comment>
    <comment authorId="0" ref="BP30">
      <text>
        <t xml:space="preserve">Irvine International Film Festival
March 7, 2020 - March 7, 2020
Irvine, CA</t>
      </text>
    </comment>
    <comment authorId="0" ref="CA30">
      <text>
        <t xml:space="preserve">GLAS Animation Film Festival
March 19, 2020 - March 22, 2020
Berkeley, CA</t>
      </text>
    </comment>
    <comment authorId="0" ref="CG30">
      <text>
        <t xml:space="preserve">Sonoma International Film Festival
March 25, 2020 - March 29, 2020
Sonoma, CA</t>
      </text>
    </comment>
    <comment authorId="0" ref="CP30">
      <text>
        <t xml:space="preserve">Azalea Film Festival
April 3, 2020 - April 4, 2020
Mobile, AL</t>
      </text>
    </comment>
    <comment authorId="0" ref="DC30">
      <text>
        <t xml:space="preserve">CASCADIA International Women's Film Festival
April 16, 2020 - April 19, 2020
Bellingham, WA</t>
      </text>
    </comment>
    <comment authorId="0" ref="DI30">
      <text>
        <t xml:space="preserve">Julien Dubuque International Film Festival 
April 22, 2020 - April 26, 2020
Dubuque, IA</t>
      </text>
    </comment>
    <comment authorId="0" ref="DQ30">
      <text>
        <t xml:space="preserve">FilmOut San Diego LGBTQ+ Film Festival
April 30, 2020 - May 3, 2020
San Diego, CA</t>
      </text>
    </comment>
    <comment authorId="0" ref="FI30">
      <text>
        <t xml:space="preserve">Smoky Mountains Film Festival
June 13, 2020 - June 13, 2020
Gatlinburg, TN</t>
      </text>
    </comment>
    <comment authorId="0" ref="JH30">
      <text>
        <t xml:space="preserve">NatiVisions Film Festival
September 24, 2020 - September 26, 2020
Parker, AZ</t>
      </text>
    </comment>
    <comment authorId="0" ref="JV30">
      <text>
        <t xml:space="preserve">Spooky Movie International Horror Film Festival
October 8, 2020 - October 11, 2020
Silver Spring, MD</t>
      </text>
    </comment>
    <comment authorId="0" ref="KB30">
      <text>
        <t xml:space="preserve">Santa Fe Independent Film Festival
October 14, 2020 - October 18, 2020
Santa Fe, NM</t>
      </text>
    </comment>
    <comment authorId="0" ref="KJ30">
      <text>
        <t xml:space="preserve">Indie Fest USA International Film Festival
October 22, 2020 - October 25, 2020
Garden Grove, CA</t>
      </text>
    </comment>
    <comment authorId="0" ref="KY30">
      <text>
        <t xml:space="preserve">Fayetteville Film Festival
November 5, 2020 - November 7, 2020
Fayetteville, AR</t>
      </text>
    </comment>
    <comment authorId="0" ref="LF30">
      <text>
        <t xml:space="preserve">Rome International Film Festival
November 12, 2020 - November 15, 2020
Rome, GA</t>
      </text>
    </comment>
    <comment authorId="0" ref="BA31">
      <text>
        <t xml:space="preserve">In/Motion Chicago's International Dance Film Festival
February 21, 2020 - February 23, 2020
Chicago, IL</t>
      </text>
    </comment>
    <comment authorId="0" ref="BI31">
      <text>
        <t xml:space="preserve">15 Minutes of Fame Indie Film Festival
February 29, 2020 - February 29, 2020
Cocoa Beach, FL</t>
      </text>
    </comment>
    <comment authorId="0" ref="BP31">
      <text>
        <t xml:space="preserve">Les Bois Film Festival
March 7, 2020 - March 7, 2020
Boise, ID</t>
      </text>
    </comment>
    <comment authorId="0" ref="CA31">
      <text>
        <t xml:space="preserve">Houston Latino Film Festival
March 19, 2020 - March 22, 2020
Houston, TX</t>
      </text>
    </comment>
    <comment authorId="0" ref="CI31">
      <text>
        <t xml:space="preserve">American Documentary and Animation Film Festival
March 27, 2020 - March 31, 2020
Palm Springs, CA</t>
      </text>
    </comment>
    <comment authorId="0" ref="CP31">
      <text>
        <t xml:space="preserve">Cedar Rapids Independent Film Festival
April 3, 2020 - April 4, 2020
Cedar Rapids, IA</t>
      </text>
    </comment>
    <comment authorId="0" ref="DC31">
      <text>
        <t xml:space="preserve">Chattanooga Film Festival
April 16, 2020 - April 19, 2020
Chattanooga, TN</t>
      </text>
    </comment>
    <comment authorId="0" ref="DI31">
      <text>
        <t xml:space="preserve">USA Film Festival
April 22, 2020 - April 26, 2020
Dallas, TX</t>
      </text>
    </comment>
    <comment authorId="0" ref="DQ31">
      <text>
        <t xml:space="preserve">Greenwich International Film Festival
April 30, 2020 - May 3, 2020
Greenwich, CT</t>
      </text>
    </comment>
    <comment authorId="0" ref="JH31">
      <text>
        <t xml:space="preserve">Women Sports Film Festival
September 24, 2020 - September 26, 2020
San Francisco, CA</t>
      </text>
    </comment>
    <comment authorId="0" ref="JW31">
      <text>
        <t xml:space="preserve">All American High School Film Festival
October 9, 2020 - October 11, 2020
New York, NY</t>
      </text>
    </comment>
    <comment authorId="0" ref="KB31">
      <text>
        <t xml:space="preserve">Tallgrass Film Festival
October 14, 2020 - October 18, 2020
Wichita, KS</t>
      </text>
    </comment>
    <comment authorId="0" ref="KJ31">
      <text>
        <t xml:space="preserve">KAFFNY Infinite Cinema
October 22, 2020 - October 25, 2020
New York, NY</t>
      </text>
    </comment>
    <comment authorId="0" ref="KY31">
      <text>
        <t xml:space="preserve">Louisville's International Festival of Films
November 5, 2020 - November 7, 2020
Louisville, KY</t>
      </text>
    </comment>
    <comment authorId="0" ref="LF31">
      <text>
        <t xml:space="preserve">San Francisco Transgender Film Festival
November 12, 2020 - November 15, 2020
San Francisco, CA</t>
      </text>
    </comment>
    <comment authorId="0" ref="BA32">
      <text>
        <t xml:space="preserve">McMinnville Short Film Festival
February 21, 2020 - February 23, 2020
McMinnville, OR</t>
      </text>
    </comment>
    <comment authorId="0" ref="BP32">
      <text>
        <t xml:space="preserve">Sundial Film Festival
March 7, 2020 - March 7, 2020
Redding, CA</t>
      </text>
    </comment>
    <comment authorId="0" ref="CA32">
      <text>
        <t xml:space="preserve">Irish Film Festival Boston
March 19, 2020 - March 22, 2020
Boston, MA</t>
      </text>
    </comment>
    <comment authorId="0" ref="CG32">
      <text>
        <t xml:space="preserve">Garden State Film Festival
March 25, 2020 - March 28, 2020
Asbury Park, NJ</t>
      </text>
    </comment>
    <comment authorId="0" ref="CP32">
      <text>
        <t xml:space="preserve">Central Film Festival
April 3, 2020 - April 4, 2020
Springfield, MO</t>
      </text>
    </comment>
    <comment authorId="0" ref="DC32">
      <text>
        <t xml:space="preserve">ClexaCon Film Festival
April 16, 2020 - April 19, 2020
Las Vegas, NV</t>
      </text>
    </comment>
    <comment authorId="0" ref="DK32">
      <text>
        <t xml:space="preserve">Humboldt International Film Festival
April 24, 2020 - April 28, 2020
San Bernardino, CA</t>
      </text>
    </comment>
    <comment authorId="0" ref="DQ32">
      <text>
        <t xml:space="preserve">Boomtown Film &amp; Music Festival
April 30, 2020 - May 2, 2020
Beaumont, TX</t>
      </text>
    </comment>
    <comment authorId="0" ref="JI32">
      <text>
        <t xml:space="preserve">Imagine This Women's International Film Festival
September 25, 2020 - September 27, 2020
New York, NY</t>
      </text>
    </comment>
    <comment authorId="0" ref="JW32">
      <text>
        <t xml:space="preserve">Apocalypse Later International Fantastic Film Festival
October 9, 2020 - October 11, 2020
Phoenix, AZ</t>
      </text>
    </comment>
    <comment authorId="0" ref="KC32">
      <text>
        <t xml:space="preserve">Adirondack Film Festival
October 15, 2020 - October 18, 2020
Glen Falls, NY</t>
      </text>
    </comment>
    <comment authorId="0" ref="KJ32">
      <text>
        <t xml:space="preserve">Naples International Film Festival
October 22, 2020 - October 25, 2020
Naples, FL</t>
      </text>
    </comment>
    <comment authorId="0" ref="KZ32">
      <text>
        <t xml:space="preserve">Golden Gate International Film Festival
November 6, 2020 - November 8, 2020
San Jose, CA</t>
      </text>
    </comment>
    <comment authorId="0" ref="LF32">
      <text>
        <t xml:space="preserve">Sherman Oaks Film Festival
November 12, 2020 - November 15, 2020
Sherman Oaks, CA</t>
      </text>
    </comment>
    <comment authorId="0" ref="BA33">
      <text>
        <t xml:space="preserve">Bill Johnson Black Film Festival
February 21, 2020 - February 22, 2020
Gary, IN</t>
      </text>
    </comment>
    <comment authorId="0" ref="CA33">
      <text>
        <t xml:space="preserve">Martha's Vinyard Film Festival
March 19, 2020 - March 22, 2020
Chillmark, MA</t>
      </text>
    </comment>
    <comment authorId="0" ref="CH33">
      <text>
        <t xml:space="preserve">Annapolis Film Festival
March 26, 2020 - March 29, 2020
Annapolis, MD</t>
      </text>
    </comment>
    <comment authorId="0" ref="CP33">
      <text>
        <t xml:space="preserve">Clean Shorts Film Festival
April 3, 2020 - April 4, 2020
Choctaw, OK</t>
      </text>
    </comment>
    <comment authorId="0" ref="DC33">
      <text>
        <t xml:space="preserve">Milwaukee Twisted Dreams Film Festival
April 16, 2020 - April 19, 2020
Milwaukee, WI</t>
      </text>
    </comment>
    <comment authorId="0" ref="DI33">
      <text>
        <t xml:space="preserve">Artemis Women in Action Film Festival 
April 22, 2020 - April 25, 2020
Santa Monica, CA</t>
      </text>
    </comment>
    <comment authorId="0" ref="DQ33">
      <text>
        <t xml:space="preserve">Iowa City International Documentary Film Festival
April 30, 2020 - May 2, 2020
Iowa City, IA</t>
      </text>
    </comment>
    <comment authorId="0" ref="JI33">
      <text>
        <t xml:space="preserve">International Maritime Film Festival
September 25, 2020 - September 27, 2020
Bucksport , ME</t>
      </text>
    </comment>
    <comment authorId="0" ref="JW33">
      <text>
        <t xml:space="preserve">FirstGlance Philadelphia Film Fest
October 9, 2020 - October 11, 2020
Philadelphia, PA</t>
      </text>
    </comment>
    <comment authorId="0" ref="KC33">
      <text>
        <t xml:space="preserve">Bushwick Film Festival
October 15, 2020 - October 18, 2020
Brooklyn, NY</t>
      </text>
    </comment>
    <comment authorId="0" ref="KJ33">
      <text>
        <t xml:space="preserve">NFFTY (National Film Festival for Talented Youth)
October 22, 2020 - October 25, 2020
Seattle, WA</t>
      </text>
    </comment>
    <comment authorId="0" ref="KZ33">
      <text>
        <t xml:space="preserve">South Carolina Underground Film Festival
November 6, 2020 - November 8, 2020
North Charleston, SC</t>
      </text>
    </comment>
    <comment authorId="0" ref="LF33">
      <text>
        <t xml:space="preserve">Southern Screen Festival
November 12, 2020 - November 15, 2020
Lafayette, LA</t>
      </text>
    </comment>
    <comment authorId="0" ref="BA34">
      <text>
        <t xml:space="preserve">Utah Dance Film Festival
February 21, 2020 - February 22, 2020
Orem, UT</t>
      </text>
    </comment>
    <comment authorId="0" ref="CA34">
      <text>
        <t xml:space="preserve">Nevada Women's Film Festival
March 19, 2020 - March 22, 2020
Las Vegas, NV</t>
      </text>
    </comment>
    <comment authorId="0" ref="CH34">
      <text>
        <t xml:space="preserve">Indie Grits 
March 26, 2020 - March 29, 2020
Columbia, SC</t>
      </text>
    </comment>
    <comment authorId="0" ref="CP34">
      <text>
        <t xml:space="preserve">Detroit International Festival of Animation
April 3, 2020 - April 4, 2020
Detroit, MI</t>
      </text>
    </comment>
    <comment authorId="0" ref="DC34">
      <text>
        <t xml:space="preserve">Victoria TX Independent Film Festival, The 
April 16, 2020 - April 19, 2020
Victoria, TX</t>
      </text>
    </comment>
    <comment authorId="0" ref="DJ34">
      <text>
        <t xml:space="preserve">Hollywood Comedy Shorts
April 23, 2020 - April 26, 2020
Sherman Oaks, CA</t>
      </text>
    </comment>
    <comment authorId="0" ref="DQ34">
      <text>
        <t xml:space="preserve">River Bend Film Festival
April 30, 2020 - May 2, 2020
Goshen, IN</t>
      </text>
    </comment>
    <comment authorId="0" ref="JI34">
      <text>
        <t xml:space="preserve">Irish American Movie Hooley
September 25, 2020 - September 27, 2020
Chicago, IL</t>
      </text>
    </comment>
    <comment authorId="0" ref="JW34">
      <text>
        <t xml:space="preserve">Hobnobben Film Festival
October 9, 2020 - October 11, 2020
Fort Wayne, IN</t>
      </text>
    </comment>
    <comment authorId="0" ref="KC34">
      <text>
        <t xml:space="preserve">Chelsea Film Festival
October 15, 2020 - October 18, 2020
New York, NY</t>
      </text>
    </comment>
    <comment authorId="0" ref="KJ34">
      <text>
        <t xml:space="preserve">Nightmares Film Festival
October 22, 2020 - October 25, 2020
Columbus, OH</t>
      </text>
    </comment>
    <comment authorId="0" ref="KZ34">
      <text>
        <t xml:space="preserve">Southeastern International Film Festival
November 6, 2020 - November 8, 2020
Nashville, TN</t>
      </text>
    </comment>
    <comment authorId="0" ref="LF34">
      <text>
        <t xml:space="preserve">Teaneck International Film Festival
November 12, 2020 - November 15, 2020
Teaneck, NJ</t>
      </text>
    </comment>
    <comment authorId="0" ref="BB35">
      <text>
        <t xml:space="preserve">United States Super 8 Film and Digital Video Festival
February 22, 2020 - February 23, 2020
New Brunswick, NJ</t>
      </text>
    </comment>
    <comment authorId="0" ref="CA35">
      <text>
        <t xml:space="preserve">Treasure Coast International Film Festival
March 19, 2020 - March 22, 2020
Fort Pierce, FL</t>
      </text>
    </comment>
    <comment authorId="0" ref="CH35">
      <text>
        <t xml:space="preserve">Sebastopol Documentary Film Festival
March 26, 2020 - March 29, 2020
Sebastopol, CA</t>
      </text>
    </comment>
    <comment authorId="0" ref="CR35">
      <text>
        <t xml:space="preserve">Davis Film Festival
April 5, 2020 - April 5, 2020
Davis, CA</t>
      </text>
    </comment>
    <comment authorId="0" ref="DA35">
      <text>
        <t xml:space="preserve">SSU Indie Film Festival
April 14, 2020 - April 16, 2020
Savannah, GA</t>
      </text>
    </comment>
    <comment authorId="0" ref="DE35">
      <text>
        <t xml:space="preserve">Houston Comedy Film Festival
April 18, 2020 - April 18, 2020
Katy, TX</t>
      </text>
    </comment>
    <comment authorId="0" ref="DJ35">
      <text>
        <t xml:space="preserve">Las Vegas Black Film Festival
April 23, 2020 - April 26, 2020
Las Vagas, NV</t>
      </text>
    </comment>
    <comment authorId="0" ref="DQ35">
      <text>
        <t xml:space="preserve">Twister Alley Film Festival
April 30, 2020 - May 2, 2020
Woodward, OK</t>
      </text>
    </comment>
    <comment authorId="0" ref="JI35">
      <text>
        <t xml:space="preserve">Revolution Me Film Festival
September 25, 2020 - September 27, 2020
New York, NY</t>
      </text>
    </comment>
    <comment authorId="0" ref="JW35">
      <text>
        <t xml:space="preserve">Indigo Moon Film Festival
October 9, 2020 - October 11, 2020
Fayetteville, NC</t>
      </text>
    </comment>
    <comment authorId="0" ref="KC35">
      <text>
        <t xml:space="preserve">Fargo Fantastic Film Festival
October 15, 2020 - October 18, 2020
Fargo, ND</t>
      </text>
    </comment>
    <comment authorId="0" ref="KJ35">
      <text>
        <t xml:space="preserve">San Jose International Short Film Festival
October 22, 2020 - October 25, 2020
San Jose, CA</t>
      </text>
    </comment>
    <comment authorId="0" ref="KZ35">
      <text>
        <t xml:space="preserve">24fps International Short Film Festival
November 6, 2020 - November 7, 2020
Abilene, TX</t>
      </text>
    </comment>
    <comment authorId="0" ref="LF35">
      <text>
        <t xml:space="preserve">Buried Alive Film Festival
November 12, 2020 - November 14, 2020
Atlanta, GA</t>
      </text>
    </comment>
    <comment authorId="0" ref="BB36">
      <text>
        <t xml:space="preserve">Front Range Film Festival
February 22, 2020 - February 22, 2020
Longmont, CO</t>
      </text>
    </comment>
    <comment authorId="0" ref="CB36">
      <text>
        <t xml:space="preserve">By Design Film Festival
March 20, 2020 - March 22, 2020
Seattle, WA</t>
      </text>
    </comment>
    <comment authorId="0" ref="CH36">
      <text>
        <t xml:space="preserve">Trenton Film Festival
March 26, 2020 - March 29, 2020
Trenton, NJ</t>
      </text>
    </comment>
    <comment authorId="0" ref="DC36">
      <text>
        <t xml:space="preserve">Scout Film Festival
April 16, 2020 - April 18, 2020
Boston, MA</t>
      </text>
    </comment>
    <comment authorId="0" ref="DJ36">
      <text>
        <t xml:space="preserve">Milwaukee Underground Film Festival
April 23, 2020 - April 26, 2020
Milwaukee, WI</t>
      </text>
    </comment>
    <comment authorId="0" ref="DR36">
      <text>
        <t xml:space="preserve">Life Fest Film Festival
May 1, 2020 - May 3, 2020
Los Angeles, CA</t>
      </text>
    </comment>
    <comment authorId="0" ref="JI36">
      <text>
        <t xml:space="preserve">San Francisco Independent Short Film Festival
September 25, 2020 - September 27, 2020
San Francisco, CA</t>
      </text>
    </comment>
    <comment authorId="0" ref="JW36">
      <text>
        <t xml:space="preserve">Northeast Wisconsin Horror Film Festival
October 9, 2020 - October 11, 2020
Oshkosh, WI</t>
      </text>
    </comment>
    <comment authorId="0" ref="KC36">
      <text>
        <t xml:space="preserve">La Femme Film Festival
October 15, 2020 - October 18, 2020
Beverly Hills, CA</t>
      </text>
    </comment>
    <comment authorId="0" ref="KJ36">
      <text>
        <t xml:space="preserve">Eastern Oregon Film Festival
October 22, 2020 - October 24, 2020
La Grande, OR</t>
      </text>
    </comment>
    <comment authorId="0" ref="KZ36">
      <text>
        <t xml:space="preserve">Billy The Kid Film Festival
November 6, 2020 - November 7, 2020
Hico, TX</t>
      </text>
    </comment>
    <comment authorId="0" ref="BB37">
      <text>
        <t xml:space="preserve">Life In Motion: A Colorado Dance Film Festival
February 22, 2020 - February 22, 2020
Denver, CO</t>
      </text>
    </comment>
    <comment authorId="0" ref="CB37">
      <text>
        <t xml:space="preserve">Chicago Comedy Film Festival
March 20, 2020 - March 22, 2020
Chicago, IL</t>
      </text>
    </comment>
    <comment authorId="0" ref="CH37">
      <text>
        <t xml:space="preserve">Vail Film Festival
March 26, 2020 - March 29, 2020
Vail, CO</t>
      </text>
    </comment>
    <comment authorId="0" ref="DC37">
      <text>
        <t xml:space="preserve">Tupelo Film Festival
April 16, 2020 - April 18, 2020
Tupelo, MS</t>
      </text>
    </comment>
    <comment authorId="0" ref="DJ37">
      <text>
        <t xml:space="preserve">Seattle Black Film Festival
April 23, 2020 - April 26, 2020
Seattle, WA</t>
      </text>
    </comment>
    <comment authorId="0" ref="DR37">
      <text>
        <t xml:space="preserve">West Sound Film Festival
May 1, 2020 - May 3, 2020
Bremerton, WA</t>
      </text>
    </comment>
    <comment authorId="0" ref="JI37">
      <text>
        <t xml:space="preserve">New York State International Film Festival
September 25, 2020 - September 26, 2020
Albany, NY</t>
      </text>
    </comment>
    <comment authorId="0" ref="JW37">
      <text>
        <t xml:space="preserve">Tri-Cities International Film Festival
October 9, 2020 - October 11, 2020
Richland, WA</t>
      </text>
    </comment>
    <comment authorId="0" ref="KC37">
      <text>
        <t xml:space="preserve">Middleburg Film Festival
October 15, 2020 - October 18, 2020
Middleburg, VA</t>
      </text>
    </comment>
    <comment authorId="0" ref="KJ37">
      <text>
        <t xml:space="preserve">Melbourne Independent Filmmakers Festival, The
October 22, 2020 - October 24, 2020
Melbourne, FL</t>
      </text>
    </comment>
    <comment authorId="0" ref="KZ37">
      <text>
        <t xml:space="preserve">Twin Falls Sandwiches Film Festival
November 6, 2020 - November 7, 2020
Twin Falls, ID</t>
      </text>
    </comment>
    <comment authorId="0" ref="CB38">
      <text>
        <t xml:space="preserve">HorrorHound Weekend Film Festival
March 20, 2020 - March 22, 2020
Cincinnati, OH</t>
      </text>
    </comment>
    <comment authorId="0" ref="CH38">
      <text>
        <t xml:space="preserve">Adventure Film Festival
March 26, 2020 - March 28, 2020
Boulder, CO</t>
      </text>
    </comment>
    <comment authorId="0" ref="DD38">
      <text>
        <t xml:space="preserve">Columbus International Film &amp; Video Festival
April 17, 2020 - April 18, 2020
Columbus, OH</t>
      </text>
    </comment>
    <comment authorId="0" ref="DK38">
      <text>
        <t xml:space="preserve">5Point Adventure Film Festival
April 24, 2020 - April 26, 2020
Carbondale, CO</t>
      </text>
    </comment>
    <comment authorId="0" ref="DP38">
      <text>
        <t xml:space="preserve">Ridgewood Guild International Film Festival, The 
April 29, 2020 - April 30, 2020
Ridgewood, NJ</t>
      </text>
    </comment>
    <comment authorId="0" ref="JJ38">
      <text>
        <t xml:space="preserve">Chicago Horror Film Festival
September 26, 2020 - September 27, 2020
Dekalb, IL</t>
      </text>
    </comment>
    <comment authorId="0" ref="KC38">
      <text>
        <t xml:space="preserve">New Hampshire Film Festival 
October 15, 2020 - October 18, 2020
Portsmouth, NH</t>
      </text>
    </comment>
    <comment authorId="0" ref="KJ38">
      <text>
        <t xml:space="preserve">SF Shorts: San Francisco International Festival of Short Films
October 22, 2020 - October 24, 2020
San Francisco, CA</t>
      </text>
    </comment>
    <comment authorId="0" ref="LA38">
      <text>
        <t xml:space="preserve">Copa Short Film Fest
November 7, 2020 - November 8, 2020
Maricopa, AZ</t>
      </text>
    </comment>
    <comment authorId="0" ref="CB39">
      <text>
        <t xml:space="preserve">Taos Shortz Film Fest 
March 20, 2020 - March 22, 2020
Taos, NM</t>
      </text>
    </comment>
    <comment authorId="0" ref="CH39">
      <text>
        <t xml:space="preserve">FilmFort
March 26, 2020 - March 28, 2020
Boise, ID</t>
      </text>
    </comment>
    <comment authorId="0" ref="DD39">
      <text>
        <t xml:space="preserve">Harvard College Film Festival
April 17, 2020 - April 18, 2020
Cambridge, MA</t>
      </text>
    </comment>
    <comment authorId="0" ref="DK39">
      <text>
        <t xml:space="preserve">DC Asian Pacific American Film Festival
April 24, 2020 - April 26, 2020
Washington, D.C, DC</t>
      </text>
    </comment>
    <comment authorId="0" ref="DR39">
      <text>
        <t xml:space="preserve">Film Fest Petaluma
May 1, 2020 - May 2, 2020
Petaluma, CA</t>
      </text>
    </comment>
    <comment authorId="0" ref="JJ39">
      <text>
        <t xml:space="preserve">Les Femmes Underground International Film Festival
September 26, 2020 - September 26, 2020
Phoenix, AZ</t>
      </text>
    </comment>
    <comment authorId="0" ref="KC39">
      <text>
        <t xml:space="preserve">Reel Affirmations: Washington DC's International LGBTQ Film Festival
October 15, 2020 - October 18, 2020
Washington , DC</t>
      </text>
    </comment>
    <comment authorId="0" ref="KK39">
      <text>
        <t xml:space="preserve">FREAKSHOW Horror Film Festival
October 23, 2020 - October 25, 2020
Orlando, FL</t>
      </text>
    </comment>
    <comment authorId="0" ref="LA39">
      <text>
        <t xml:space="preserve">San Francisco Veterans Film Festival
November 7, 2020 - November 8, 2020
San Francisco, CA</t>
      </text>
    </comment>
    <comment authorId="0" ref="CB40">
      <text>
        <t xml:space="preserve">Tiny Dance Film Festival
March 20, 2020 - March 21, 2020
San Francisco, CA</t>
      </text>
    </comment>
    <comment authorId="0" ref="CI40">
      <text>
        <t xml:space="preserve">Big Easy International Film Festival
March 27, 2020 - March 29, 2020
New Orleans, LA</t>
      </text>
    </comment>
    <comment authorId="0" ref="DE40">
      <text>
        <t xml:space="preserve">Reel Spirit Young Filmmakers
April 18, 2020 - April 18, 2020
Lee's Summit, MO</t>
      </text>
    </comment>
    <comment authorId="0" ref="DK40">
      <text>
        <t xml:space="preserve">Monadnock International Film Festival
April 24, 2020 - April 26, 2020
Keene, NH</t>
      </text>
    </comment>
    <comment authorId="0" ref="DR40">
      <text>
        <t xml:space="preserve">Trinity Film Festival
May 1, 2020 - May 2, 2020
Hartford, CT</t>
      </text>
    </comment>
    <comment authorId="0" ref="JJ40">
      <text>
        <t xml:space="preserve">Shortcut100
September 26, 2020 - September 26, 2020
Chicago, IL</t>
      </text>
    </comment>
    <comment authorId="0" ref="KC40">
      <text>
        <t xml:space="preserve">Ridgefield Independent Film Festival
October 15, 2020 - October 18, 2020
Ridgefield, CT</t>
      </text>
    </comment>
    <comment authorId="0" ref="KK40">
      <text>
        <t xml:space="preserve">Friday Harbor Film Festival
October 23, 2020 - October 25, 2020
Friday Harbor, WA</t>
      </text>
    </comment>
    <comment authorId="0" ref="LB40">
      <text>
        <t xml:space="preserve">Blow-Up Arthouse Film Festival
November 8, 2020 - November 9, 2020
Chicago, IL</t>
      </text>
    </comment>
    <comment authorId="0" ref="CI41">
      <text>
        <t xml:space="preserve">Global Cinema Film Festival of Boston
March 27, 2020 - March 29, 2020
Belmont, MA</t>
      </text>
    </comment>
    <comment authorId="0" ref="DF41">
      <text>
        <t xml:space="preserve">Austin Comedy Short Film Festival
April 19, 2020 - April 19, 2020
Austin, TX</t>
      </text>
    </comment>
    <comment authorId="0" ref="DK41">
      <text>
        <t xml:space="preserve">Motor City Nightmares International Film Festival
April 24, 2020 - April 26, 2020
Novi, MI</t>
      </text>
    </comment>
    <comment authorId="0" ref="JJ41">
      <text>
        <t xml:space="preserve">Sunnyside Shorts International Film Festival
September 26, 2020 - September 26, 2020
Sunnyside, NY</t>
      </text>
    </comment>
    <comment authorId="0" ref="KC41">
      <text>
        <t xml:space="preserve">Urban Mediamakers Festival
October 15, 2020 - October 18, 2020
Atlanta, GA</t>
      </text>
    </comment>
    <comment authorId="0" ref="KK41">
      <text>
        <t xml:space="preserve">Horror Haus
October 23, 2020 - October 25, 2020
Los Angeles, CA</t>
      </text>
    </comment>
    <comment authorId="0" ref="LA41">
      <text>
        <t xml:space="preserve">Pictoclik Film Festival
November 7, 2020 - November 7, 2020
San Francisco, CA</t>
      </text>
    </comment>
    <comment authorId="0" ref="CI42">
      <text>
        <t xml:space="preserve">Maryland International Film Festival
March 27, 2020 - March 29, 2020
Hagerstown, MD</t>
      </text>
    </comment>
    <comment authorId="0" ref="DF42">
      <text>
        <t xml:space="preserve">Soul 4 Reel Film Festival, The 
April 19, 2020 - April 19, 2020
District Heights, MD</t>
      </text>
    </comment>
    <comment authorId="0" ref="DK42">
      <text>
        <t xml:space="preserve">West Chester International Short Film Festival
April 24, 2020 - April 26, 2020
West Chester, PA</t>
      </text>
    </comment>
    <comment authorId="0" ref="KC42">
      <text>
        <t xml:space="preserve">Artists Forum Festival of the Moving Image, The
October 15, 2020 - October 17, 2020
New York, NY</t>
      </text>
    </comment>
    <comment authorId="0" ref="KG42">
      <text>
        <t xml:space="preserve">Greenwich Village Film Festival
October 19, 2020 - October 21, 2020
New York, NY</t>
      </text>
    </comment>
    <comment authorId="0" ref="KL42">
      <text>
        <t xml:space="preserve">Ellensburg Film Festival
October 24, 2020 - October 24, 2020
Ellensburg, WA</t>
      </text>
    </comment>
    <comment authorId="0" ref="LA42">
      <text>
        <t xml:space="preserve">San Diego Asian Film Festival
November 7, 2020 - November 7, 2020
San Diego, CA</t>
      </text>
    </comment>
    <comment authorId="0" ref="CI43">
      <text>
        <t xml:space="preserve">Yale Student Film Festival
March 27, 2020 - March 29, 2020
New Haven, CT</t>
      </text>
    </comment>
    <comment authorId="0" ref="DM43">
      <text>
        <t xml:space="preserve">Earth Port Film Festival
April 26, 2020 - April 26, 2020
Bewburyport, MA</t>
      </text>
    </comment>
    <comment authorId="0" ref="KC43">
      <text>
        <t xml:space="preserve">Crown Heights Film Festival
October 15, 2020 - October 17, 2020
Brooklyn, NY</t>
      </text>
    </comment>
    <comment authorId="0" ref="CI44">
      <text>
        <t xml:space="preserve">Bethesda Film Festival
March 27, 2020 - March 28, 2020
Bethesda, MD</t>
      </text>
    </comment>
    <comment authorId="0" ref="KC44">
      <text>
        <t xml:space="preserve">Josiah Media Festival (Urban 15)
October 15, 2020 - October 17, 2020
San Antonio, TX</t>
      </text>
    </comment>
    <comment authorId="0" ref="CI45">
      <text>
        <t xml:space="preserve">Speechless Film Festival
March 27, 2020 - March 28, 2020
Mankato, MN</t>
      </text>
    </comment>
    <comment authorId="0" ref="KD45">
      <text>
        <t xml:space="preserve">Portland Unknown Film Festival
October 16, 2020 - October 18, 2020
Portland, OR</t>
      </text>
    </comment>
    <comment authorId="0" ref="CJ46">
      <text>
        <t xml:space="preserve">Science Fiction and Fantasy Short Film Festival
March 28, 2020 - March 28, 2020
Seattle, WA</t>
      </text>
    </comment>
    <comment authorId="0" ref="KD46">
      <text>
        <t xml:space="preserve">Scare-A-Con Film Festival
October 16, 2020 - October 18, 2020
Liverpool, NY</t>
      </text>
    </comment>
    <comment authorId="0" ref="CJ47">
      <text>
        <t xml:space="preserve">Sound of Silent Film Festival
March 28, 2020 - March 28, 2020
Chicago, IL</t>
      </text>
    </comment>
    <comment authorId="0" ref="KD47">
      <text>
        <t xml:space="preserve">Telluride Horror Show 
October 16, 2020 - October 18, 2020
Telluride, CO</t>
      </text>
    </comment>
    <comment authorId="0" ref="KD48">
      <text>
        <t xml:space="preserve">Best Actors Film Festival
October 16, 2020 - October 17, 2020
San Francisco, CA</t>
      </text>
    </comment>
    <comment authorId="0" ref="KD49">
      <text>
        <t xml:space="preserve">Fear Fete
October 16, 2020 - October 17, 2020
Biloxi, MS</t>
      </text>
    </comment>
    <comment authorId="0" ref="KD50">
      <text>
        <t xml:space="preserve">Sunscreen Film Fest West
October 16, 2020 - October 17, 2020
Manhattan Beach, CA</t>
      </text>
    </comment>
    <comment authorId="0" ref="KE51">
      <text>
        <t xml:space="preserve">Superfest International Disability Film Festival
October 17, 2020 - October 18, 2020
San Francisco, CA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O3">
      <text>
        <t xml:space="preserve">Oklahoma Cine Latino Film Festival
March 6, 2020 - March 7, 2020
Oklahoma City, OK</t>
      </text>
    </comment>
    <comment authorId="0" ref="BT3">
      <text>
        <t xml:space="preserve">San Diego Latino Film Festival
March 12, 2020 - March 22, 2020
San Diego, CA</t>
      </text>
    </comment>
    <comment authorId="0" ref="DC3">
      <text>
        <t xml:space="preserve">Chicago Latino Film Festival
April 16, 2020 - April 30, 2020
Chicago, IL</t>
      </text>
    </comment>
    <comment authorId="0" ref="DW3">
      <text>
        <t xml:space="preserve">Cine Las Americas International Film Festival
May 6, 2020 - May 10, 2020
Austin, TX</t>
      </text>
    </comment>
    <comment authorId="0" ref="EY3">
      <text>
        <t xml:space="preserve">Los Angeles Latino International Film Festival
June 3, 2020 - June 7, 2020
Los Angeles, CA</t>
      </text>
    </comment>
    <comment authorId="0" ref="HQ3">
      <text>
        <t xml:space="preserve">New York Latino Film Festival
August 12, 2020 - August 16, 2020
New York, NY</t>
      </text>
    </comment>
    <comment authorId="0" ref="JI3">
      <text>
        <t xml:space="preserve">Providence Latin American Film Festival
September 25, 2020 - October 3, 2020
Providence, RI</t>
      </text>
    </comment>
    <comment authorId="0" ref="JW3">
      <text>
        <t xml:space="preserve">Seattle Latino Film Festival
October 9, 2020 - October 17, 2020
Seattle, WA</t>
      </text>
    </comment>
    <comment authorId="0" ref="CA4">
      <text>
        <t xml:space="preserve">Houston Latino Film Festival
March 19, 2020 - March 22, 2020
Houston, TX</t>
      </text>
    </comment>
    <comment authorId="0" ref="EZ4">
      <text>
        <t xml:space="preserve">Philadelphia Latino Film Festival
June 4, 2020 - June 7, 2020
Philadelphia, PA</t>
      </text>
    </comment>
    <comment authorId="0" ref="HR4">
      <text>
        <t xml:space="preserve">United Latino International Film Festival
August 13, 2020 - August 16, 2020
Cleveland, OH</t>
      </text>
    </comment>
    <comment authorId="0" ref="JG4">
      <text>
        <t xml:space="preserve">Boston Latino International Film Festival
September 23, 2020 - September 27, 2020
Boston, MA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Z3">
      <text>
        <t xml:space="preserve">Garifuna International Indigenous Film Festival
May 9, 2020 - May 31, 2020
Santa Monica, CA</t>
      </text>
    </comment>
    <comment authorId="0" ref="JH3">
      <text>
        <t xml:space="preserve">NatiVisions Film Festival
September 24, 2020 - September 26, 2020
Parker, AZ</t>
      </text>
    </comment>
    <comment authorId="0" ref="KT3">
      <text>
        <t xml:space="preserve">Red Nation International Film Festival
November 1, 2020 - November 15, 2020
Los Angeles, CA</t>
      </text>
    </comment>
    <comment authorId="0" ref="DW4">
      <text>
        <t xml:space="preserve">Cine Las Americas International Film Festival
May 6, 2020 - May 10, 2020
Austin, TX</t>
      </text>
    </comment>
    <comment authorId="0" ref="KW4">
      <text>
        <t xml:space="preserve">American Indian Film Festival
November 3, 2020 - November 7, 2020
San Francisco, CA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I3">
      <text>
        <t xml:space="preserve">San Diego Arab Film Festival
March 27, 2020 - April 4, 2020
San Diego, CA</t>
      </text>
    </comment>
    <comment authorId="0" ref="FA3">
      <text>
        <t xml:space="preserve">Arab Film Festival @ Arab National Museum
June 5, 2020 - June 14, 2020
Dearborn, MI</t>
      </text>
    </comment>
    <comment authorId="0" ref="KD3">
      <text>
        <t xml:space="preserve">Boston Palestine Film Festival
October 16, 2020 - October 25, 2020
Cambridge, MA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3">
      <text>
        <t xml:space="preserve">Los Angeles, Italia
February 2, 2020 - February 8, 2020
Los Angeles, CA</t>
      </text>
    </comment>
    <comment authorId="0" ref="BG3">
      <text>
        <t xml:space="preserve">Capital Irish Film Festival
February 27, 2020 - March 1, 2020
Silver Spring, MD</t>
      </text>
    </comment>
    <comment authorId="0" ref="CA3">
      <text>
        <t xml:space="preserve">Irish Film Festival Boston
March 19, 2020 - March 22, 2020
Boston, MA</t>
      </text>
    </comment>
    <comment authorId="0" ref="CN3">
      <text>
        <t xml:space="preserve">Italian Film Festival USA
April 1, 2020 - April 30, 2020
St. Louis, MO</t>
      </text>
    </comment>
    <comment authorId="0" ref="EL3">
      <text>
        <t xml:space="preserve">NY Portuguese Short Film Festival
May 21, 2020 - May 22, 2020
New York, NY</t>
      </text>
    </comment>
    <comment authorId="0" ref="ET3">
      <text>
        <t xml:space="preserve">International Buddhist Film Festival
May 29, 2020 - June 28, 2020
Oakland, CA</t>
      </text>
    </comment>
    <comment authorId="0" ref="HT3">
      <text>
        <t xml:space="preserve">Haiti International Film Festival
August 15, 2020 - August 15, 2020
Hollywood, CA</t>
      </text>
    </comment>
    <comment authorId="0" ref="JC3">
      <text>
        <t xml:space="preserve">Iranian Film Festival - San Francisco
September 19, 2020 - September 20, 2020
Tiburon, CA</t>
      </text>
    </comment>
    <comment authorId="0" ref="JI3">
      <text>
        <t xml:space="preserve">Irish American Movie Hooley
September 25, 2020 - September 27, 2020
Chicago, IL</t>
      </text>
    </comment>
    <comment authorId="0" ref="KE3">
      <text>
        <t xml:space="preserve">San Francisco Greek Film Festival
October 17, 2020 - October 24, 2020
San Francisco, CA</t>
      </text>
    </comment>
    <comment authorId="0" ref="LE3">
      <text>
        <t xml:space="preserve">International Puerto Rican Heritage Film Festival
November 11, 2020 - November 15, 2020
Brooklyn, NY</t>
      </text>
    </comment>
    <comment authorId="0" ref="BG4">
      <text>
        <t xml:space="preserve">Chicago Irish Film Festival
February 27, 2020 - March 1, 2020
Chicago, IL</t>
      </text>
    </comment>
    <comment authorId="0" ref="CN4">
      <text>
        <t xml:space="preserve">Indian Film Festival of Los Angeles
April 1, 2020 - April 5, 2020
Los Angeles, CA</t>
      </text>
    </comment>
    <comment authorId="0" ref="CU4">
      <text>
        <t xml:space="preserve">Bosnian-Herzegovinian Film Festival
April 8, 2020 - April 11, 2020
New York, NY</t>
      </text>
    </comment>
    <comment authorId="0" ref="DK4">
      <text>
        <t xml:space="preserve">Houston Palestine Film Festival
April 24, 2020 - May 4, 2020
Houston, TX</t>
      </text>
    </comment>
    <comment authorId="0" ref="FC4">
      <text>
        <t xml:space="preserve">CarribeanLens International Film Festival
June 7, 2020 - June 13, 2020
Northridge, CA</t>
      </text>
    </comment>
    <comment authorId="0" ref="FM4">
      <text>
        <t xml:space="preserve">Roxbury International Film Festival, The 
June 17, 2020 - June 27, 2020
Boston, MA</t>
      </text>
    </comment>
    <comment authorId="0" ref="KI4">
      <text>
        <t xml:space="preserve">Nordic International Film Festival
October 21, 2020 - October 25, 2020
New York, NY</t>
      </text>
    </comment>
    <comment authorId="0" ref="DP5">
      <text>
        <t xml:space="preserve">South East European Film Festival Los Angeles
April 29, 2020 - May 6, 2020
Los Angeles, CA</t>
      </text>
    </comment>
    <comment authorId="0" ref="FB5">
      <text>
        <t xml:space="preserve">Diwa Filipino Film Showcase of Seattle
June 6, 2020 - June 7, 2020
Tukwila, WA</t>
      </text>
    </comment>
    <comment authorId="0" ref="KL5">
      <text>
        <t xml:space="preserve">Reel Sisters of the Diaspora Film Festival &amp; Lecture Series
October 24, 2020 - October 25, 2020
New York, NY</t>
      </text>
    </comment>
    <comment authorId="0" ref="DN6">
      <text>
        <t xml:space="preserve">Los Angeles Greek Film Festival
April 27, 2020 - May 3, 2020
Sherman Oaks, CA</t>
      </text>
    </comment>
    <comment authorId="0" ref="DN7">
      <text>
        <t xml:space="preserve">New York Indian Film Festival
April 27, 2020 - May 3, 2020
New York, NY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3">
      <text>
        <t xml:space="preserve">Macabre Faire Film Festival
January 16, 2020 - January 16, 2020
Milford, PA</t>
      </text>
    </comment>
    <comment authorId="0" ref="AM3">
      <text>
        <t xml:space="preserve">Boston Sci-Fi Film Festival
February 7, 2020 - February 17, 2020
Boston, MA</t>
      </text>
    </comment>
    <comment authorId="0" ref="BA3">
      <text>
        <t xml:space="preserve">Con Nooga Film Festival
February 21, 2020 - February 23, 2020
Chattanooga, TN</t>
      </text>
    </comment>
    <comment authorId="0" ref="BH3">
      <text>
        <t xml:space="preserve">MystiCon Independent Film Festival
February 28, 2020 - March 1, 2020
Roanoke, VA</t>
      </text>
    </comment>
    <comment authorId="0" ref="BO3">
      <text>
        <t xml:space="preserve">Midwest WeirdFest
March 6, 2020 - March 8, 2020
Eau Claire, WI</t>
      </text>
    </comment>
    <comment authorId="0" ref="BT3">
      <text>
        <t xml:space="preserve">Philip K. Dick Science Fiction &amp; Supernatural Festival, The
March 12, 2020 - March 15, 2020
Astoria, NY</t>
      </text>
    </comment>
    <comment authorId="0" ref="CH3">
      <text>
        <t xml:space="preserve">International Horror &amp; Sci-Fi Film Festival
March 26, 2020 - April 5, 2020
Pheonix, AZ</t>
      </text>
    </comment>
    <comment authorId="0" ref="DC3">
      <text>
        <t xml:space="preserve">Milwaukee Twisted Dreams Film Festival
April 16, 2020 - April 19, 2020
Milwaukee, WI</t>
      </text>
    </comment>
    <comment authorId="0" ref="DK3">
      <text>
        <t xml:space="preserve">Motor City Nightmares International Film Festival
April 24, 2020 - April 26, 2020
Novi, MI</t>
      </text>
    </comment>
    <comment authorId="0" ref="EM3">
      <text>
        <t xml:space="preserve">MisCon International Short Film Festival
May 22, 2020 - May 25, 2020
Missoula, MT</t>
      </text>
    </comment>
    <comment authorId="0" ref="ET3">
      <text>
        <t xml:space="preserve">ConCarolinas Short Film Festival
May 29, 2020 - May 31, 2020
Charlotte, NC</t>
      </text>
    </comment>
    <comment authorId="0" ref="FY3">
      <text>
        <t xml:space="preserve">Etheria Film Night 
June 29, 2020 - June 29, 2020
Los Angeles, CA</t>
      </text>
    </comment>
    <comment authorId="0" ref="GC3">
      <text>
        <t xml:space="preserve">Roswell Sci-Fi Film Festival
July 3, 2020 - July 5, 2020
Roswell, NM</t>
      </text>
    </comment>
    <comment authorId="0" ref="GR3">
      <text>
        <t xml:space="preserve">Love Horror Short Film Festival
July 18, 2020 - July 18, 2020
Sacramento, CA</t>
      </text>
    </comment>
    <comment authorId="0" ref="HL3">
      <text>
        <t xml:space="preserve">Hollywood Horrorfest
August 7, 2020 - August 8, 2020
Los Angeles, CA</t>
      </text>
    </comment>
    <comment authorId="0" ref="HZ3">
      <text>
        <t xml:space="preserve">Slash &amp; Bash Horror/Sci-Fi Film Festival
August 21, 2020 - August 22, 2020
Lawrence, KS</t>
      </text>
    </comment>
    <comment authorId="0" ref="IG3">
      <text>
        <t xml:space="preserve">Horrible Imaginings Film Festival
August 28, 2020 - August 30, 2020
San Diego, CA</t>
      </text>
    </comment>
    <comment authorId="0" ref="IN3">
      <text>
        <t xml:space="preserve">FilmQuest
September 4, 2020 - September 12, 2020
Provo, UT</t>
      </text>
    </comment>
    <comment authorId="0" ref="JO3">
      <text>
        <t xml:space="preserve">Shriekfest Horror Film Festival
October 1, 2020 - October 4, 2020
Los Angeles, CA</t>
      </text>
    </comment>
    <comment authorId="0" ref="JW3">
      <text>
        <t xml:space="preserve">Apocalypse Later International Fantastic Film Festival
October 9, 2020 - October 11, 2020
Phoenix, AZ</t>
      </text>
    </comment>
    <comment authorId="0" ref="KA3">
      <text>
        <t xml:space="preserve">Thriller! Chiller!
October 13, 2020 - October 17, 2020
Grand Rapids, MI</t>
      </text>
    </comment>
    <comment authorId="0" ref="KX3">
      <text>
        <t xml:space="preserve">ZedFest Film Festival
November 4, 2020 - November 11, 2020
Burbank, CA</t>
      </text>
    </comment>
    <comment authorId="0" ref="AT4">
      <text>
        <t xml:space="preserve">Miami International Science Fiction Film Festival
February 14, 2020 - February 16, 2020
Miami, FL</t>
      </text>
    </comment>
    <comment authorId="0" ref="BH4">
      <text>
        <t xml:space="preserve">Nevermore Film Festival
February 28, 2020 - March 1, 2020
Durham, NC</t>
      </text>
    </comment>
    <comment authorId="0" ref="CJ4">
      <text>
        <t xml:space="preserve">Science Fiction and Fantasy Short Film Festival
March 28, 2020 - March 28, 2020
Seattle, WA</t>
      </text>
    </comment>
    <comment authorId="0" ref="EO4">
      <text>
        <t xml:space="preserve">Balticon Short Film Festival
May 24, 2020 - May 24, 2020
Baltimore, MD</t>
      </text>
    </comment>
    <comment authorId="0" ref="IM4">
      <text>
        <t xml:space="preserve">Dragon Con Independent Film Festival
September 3, 2020 - September 7, 2020
Atlanta, GA</t>
      </text>
    </comment>
    <comment authorId="0" ref="JP4">
      <text>
        <t xml:space="preserve">H.P. Lovecraft Film Festival
October 2, 2020 - October 4, 2020
Portland, OR</t>
      </text>
    </comment>
    <comment authorId="0" ref="KD4">
      <text>
        <t xml:space="preserve">Telluride Horror Show 
October 16, 2020 - October 18, 2020
Telluride, CO</t>
      </text>
    </comment>
    <comment authorId="0" ref="KE5">
      <text>
        <t xml:space="preserve">Sick Chick Flicks Film Festival
October 17, 2020 - October 18, 2020
Cary, NC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3">
      <text>
        <t xml:space="preserve">American Horror Film Festival
January 11, 2020 - January 11, 2020
Tempe, AZ</t>
      </text>
    </comment>
    <comment authorId="0" ref="Y3">
      <text>
        <t xml:space="preserve">Panic Fest
January 24, 2020 - January 30, 2020
Kansas City, MO</t>
      </text>
    </comment>
    <comment authorId="0" ref="CB3">
      <text>
        <t xml:space="preserve">HorrorHound Weekend Film Festival
March 20, 2020 - March 22, 2020
Cincinnati, OH</t>
      </text>
    </comment>
    <comment authorId="0" ref="CX3">
      <text>
        <t xml:space="preserve">Bonebat "Comedy of Horrors" Film Festival
April 11, 2020 - April 11, 2020
Seattle, WA</t>
      </text>
    </comment>
    <comment authorId="0" ref="DR3">
      <text>
        <t xml:space="preserve">Crypticon Seattle Horror Film Festival
May 1, 2020 - May 3, 2020
Seattle, WA</t>
      </text>
    </comment>
    <comment authorId="0" ref="EM3">
      <text>
        <t xml:space="preserve">Crimson Screen Horror Film Fest
May 22, 2020 - May 24, 2020
North Charleston, SC</t>
      </text>
    </comment>
    <comment authorId="0" ref="FF3">
      <text>
        <t xml:space="preserve">Portland Horror Film Festival
June 10, 2020 - June 13, 2020
Portland, OR</t>
      </text>
    </comment>
    <comment authorId="0" ref="FK3">
      <text>
        <t xml:space="preserve">Happenstance Horror Fest
June 15, 2020 - June 15, 2020
Haverhill, MA</t>
      </text>
    </comment>
    <comment authorId="0" ref="HK3">
      <text>
        <t xml:space="preserve">Popcorn Frights Film Festival
August 6, 2020 - August 14, 2020
Fort Lauderdale, FL</t>
      </text>
    </comment>
    <comment authorId="0" ref="IO3">
      <text>
        <t xml:space="preserve">Indie Horror Film Festival
September 5, 2020 - September 5, 2020
Gatlinburg, TN</t>
      </text>
    </comment>
    <comment authorId="0" ref="JA3">
      <text>
        <t xml:space="preserve">Atlanta Horror Film Fest
September 17, 2020 - September 19, 2020
Atlanta, GA</t>
      </text>
    </comment>
    <comment authorId="0" ref="JH3">
      <text>
        <t xml:space="preserve">Hot Springs International Horror Film Festival
September 24, 2020 - September 27, 2020
Hot Springs, AR</t>
      </text>
    </comment>
    <comment authorId="0" ref="JT3">
      <text>
        <t xml:space="preserve">Screamfest Horror Film Festival
October 6, 2020 - October 15, 2020
Hollywood, CA</t>
      </text>
    </comment>
    <comment authorId="0" ref="KJ3">
      <text>
        <t xml:space="preserve">Nightmares Film Festival
October 22, 2020 - October 25, 2020
Columbus, OH</t>
      </text>
    </comment>
    <comment authorId="0" ref="KR3">
      <text>
        <t xml:space="preserve">Desmond District Demons Film Festival
October 30, 2020 - October 31, 2020
Port Huron, MI</t>
      </text>
    </comment>
    <comment authorId="0" ref="LF3">
      <text>
        <t xml:space="preserve">Buried Alive Film Festival
November 12, 2020 - November 14, 2020
Atlanta, GA</t>
      </text>
    </comment>
    <comment authorId="0" ref="MA3">
      <text>
        <t xml:space="preserve">New York City Horror Film Festival, The
December 3, 2020 - December 6, 2020
New York, NY</t>
      </text>
    </comment>
    <comment authorId="0" ref="FG4">
      <text>
        <t xml:space="preserve">International Horror Hotel, The
June 11, 2020 - June 14, 2020
Cleveland, OH</t>
      </text>
    </comment>
    <comment authorId="0" ref="JC4">
      <text>
        <t xml:space="preserve">Sacramento Horror Film Festival
September 19, 2020 - September 19, 2020
Sacramento, CA</t>
      </text>
    </comment>
    <comment authorId="0" ref="JH4">
      <text>
        <t xml:space="preserve">Nola Horror Film Fest
September 24, 2020 - September 27, 2020
New Orleans, LA</t>
      </text>
    </comment>
    <comment authorId="0" ref="JV4">
      <text>
        <t xml:space="preserve">Spooky Movie International Horror Film Festival
October 8, 2020 - October 11, 2020
Silver Spring, MD</t>
      </text>
    </comment>
    <comment authorId="0" ref="KC4">
      <text>
        <t xml:space="preserve">Brooklyn Horror Fest
October 15, 2020 - October 22, 2020
Brooklyn, NY</t>
      </text>
    </comment>
    <comment authorId="0" ref="KM4">
      <text>
        <t xml:space="preserve">FANtasic Horror Film Festival
October 25, 2020 - October 27, 2020
San Diego, CA</t>
      </text>
    </comment>
    <comment authorId="0" ref="JH5">
      <text>
        <t xml:space="preserve">NOLA Horror Film Fest
September 24, 2020 - September 27, 2020
New Orleans, LA</t>
      </text>
    </comment>
    <comment authorId="0" ref="JW5">
      <text>
        <t xml:space="preserve">Northeast Wisconsin Horror Film Festival
October 9, 2020 - October 11, 2020
Oshkosh, WI</t>
      </text>
    </comment>
    <comment authorId="0" ref="KD5">
      <text>
        <t xml:space="preserve">Scare-A-Con Film Festival
October 16, 2020 - October 18, 2020
Liverpool, NY</t>
      </text>
    </comment>
    <comment authorId="0" ref="KK5">
      <text>
        <t xml:space="preserve">Freak Show Horror Film Festival
October 23, 2020 - October 25, 2020
Orlando, FL</t>
      </text>
    </comment>
    <comment authorId="0" ref="JJ6">
      <text>
        <t xml:space="preserve">Chicago Horror Film Festival
September 26, 2020 - September 27, 2020
Dekalb, IL</t>
      </text>
    </comment>
    <comment authorId="0" ref="KD6">
      <text>
        <t xml:space="preserve">Fear Fete
October 16, 2020 - October 17, 2020
Biloxi, MS</t>
      </text>
    </comment>
    <comment authorId="0" ref="KK6">
      <text>
        <t xml:space="preserve">FREAKSHOW Horror Film Festival
October 23, 2020 - October 25, 2020
Orlando, FL</t>
      </text>
    </comment>
    <comment authorId="0" ref="KK7">
      <text>
        <t xml:space="preserve">Horror Haus
October 23, 2020 - October 25, 2020
Los Angeles, CA</t>
      </text>
    </comment>
    <comment authorId="0" ref="KL8">
      <text>
        <t xml:space="preserve">Bleedingham Film Festival
October 24, 2020 - October 25, 2020
Bellingham, WA</t>
      </text>
    </comment>
  </commentLi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3">
      <text>
        <t xml:space="preserve">Portland Underground Film Festival
January 17, 2020 - January 19, 2020
Portland, OR</t>
      </text>
    </comment>
    <comment authorId="0" ref="X3">
      <text>
        <t xml:space="preserve">South Texas Underground Film Festival
January 23, 2020 - January 26, 2020
Corpus Christi, TX</t>
      </text>
    </comment>
    <comment authorId="0" ref="CG3">
      <text>
        <t xml:space="preserve">Boston Underground Film Festival
March 25, 2020 - March 29, 2020
Boston, MA</t>
      </text>
    </comment>
    <comment authorId="0" ref="DJ3">
      <text>
        <t xml:space="preserve">Milwaukee Underground Film Festival
April 23, 2020 - April 26, 2020
Milwaukee, WI</t>
      </text>
    </comment>
    <comment authorId="0" ref="EF3">
      <text>
        <t xml:space="preserve">Sick 'n' Wrong Film Festival
May 15, 2020 - May 17, 2020
Orlando, FL</t>
      </text>
    </comment>
    <comment authorId="0" ref="EM3">
      <text>
        <t xml:space="preserve">Movieate Underground Film Festival
May 22, 2020 - May 24, 2020
Harrisburg, PA</t>
      </text>
    </comment>
    <comment authorId="0" ref="FF3">
      <text>
        <t xml:space="preserve">Chicago Underground Film Festival
June 10, 2020 - June 14, 2020
Chicago, IL</t>
      </text>
    </comment>
    <comment authorId="0" ref="FP3">
      <text>
        <t xml:space="preserve">Los Angeles International Underground Film Festival
June 20, 2020 - June 21, 2020
Los Angeles, CA</t>
      </text>
    </comment>
    <comment authorId="0" ref="HR3">
      <text>
        <t xml:space="preserve">Atlanta Underground Film Festival
August 13, 2020 - August 15, 2020
Atlanta, GA</t>
      </text>
    </comment>
    <comment authorId="0" ref="HY3">
      <text>
        <t xml:space="preserve">San Diego Underground Film Festival
August 20, 2020 - August 23, 2020
San Diego, CA</t>
      </text>
    </comment>
    <comment authorId="0" ref="JJ3">
      <text>
        <t xml:space="preserve">Les Femmes Underground International Film Festival
September 26, 2020 - September 26, 2020
Phoenix, AZ</t>
      </text>
    </comment>
    <comment authorId="0" ref="KD3">
      <text>
        <t xml:space="preserve">Portland Unknown Film Festival
October 16, 2020 - October 18, 2020
Portland, OR</t>
      </text>
    </comment>
    <comment authorId="0" ref="KZ3">
      <text>
        <t xml:space="preserve">South Carolina Underground Film Festival
November 6, 2020 - November 8, 2020
North Charleston, SC</t>
      </text>
    </comment>
    <comment authorId="0" ref="MA3">
      <text>
        <t xml:space="preserve">Tampa Bay Underground Film Festival
December 3, 2020 - December 6, 2020
Tampa Bay, FL</t>
      </text>
    </comment>
    <comment authorId="0" ref="MB4">
      <text>
        <t xml:space="preserve">Denver Underground Film Festival
December 4, 2020 - December 4, 2020
Denver, CO</t>
      </text>
    </comment>
  </commentLi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3">
      <text>
        <t xml:space="preserve">Animated Arizona Film Festival
January 18, 2020 - January 18, 2020
Tucson, AZ</t>
      </text>
    </comment>
    <comment authorId="0" ref="BA3">
      <text>
        <t xml:space="preserve">Longwood Animation Film Festival
February 21, 2020 - February 28, 2020
Farmville, VA</t>
      </text>
    </comment>
    <comment authorId="0" ref="CA3">
      <text>
        <t xml:space="preserve">GLAS Animation Film Festival
March 19, 2020 - March 22, 2020
Berkeley, CA</t>
      </text>
    </comment>
    <comment authorId="0" ref="CI3">
      <text>
        <t xml:space="preserve">American Documentary and Animation Film Festival
March 27, 2020 - March 31, 2020
Palm Springs, CA</t>
      </text>
    </comment>
    <comment authorId="0" ref="CP3">
      <text>
        <t xml:space="preserve">Detroit International Festival of Animation
April 3, 2020 - April 4, 2020
Detroit, MI</t>
      </text>
    </comment>
    <comment authorId="0" ref="FB3">
      <text>
        <t xml:space="preserve">ASIFA-South Animation Conference and Festival
June 6, 2020 - June 7, 2020
Atlanta, GA</t>
      </text>
    </comment>
    <comment authorId="0" ref="FG3">
      <text>
        <t xml:space="preserve">Florida Animation Festival
June 11, 2020 - June 14, 2020
Tallahassee, FL</t>
      </text>
    </comment>
    <comment authorId="0" ref="HK3">
      <text>
        <t xml:space="preserve">We Like 'em Short - Animation + Comedy Film Festival
August 6, 2020 - August 9, 2020
Baker City, OR</t>
      </text>
    </comment>
    <comment authorId="0" ref="JQ3">
      <text>
        <t xml:space="preserve">Animation Nights New York 
October 3, 2020 - October 4, 2020
New York, NY</t>
      </text>
    </comment>
    <comment authorId="0" ref="KG3">
      <text>
        <t xml:space="preserve">Anim8 Student Film Festival
October 19, 2020 - October 19, 2020
Downers Grove, IL</t>
      </text>
    </comment>
    <comment authorId="0" ref="LH3">
      <text>
        <t xml:space="preserve">Epic ACG Fest
November 14, 2020 - November 15, 2020
Albany, CA</t>
      </text>
    </comment>
    <comment authorId="0" ref="MC3">
      <text>
        <t xml:space="preserve">Los Angeles Animation Festival
December 5, 2020 - December 6, 2020
Los Angeles, CA</t>
      </text>
    </comment>
  </commentList>
</comments>
</file>

<file path=xl/comments1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B3">
      <text>
        <t xml:space="preserve">Chicago Comedy Film Festival
March 20, 2020 - March 22, 2020
Chicago, IL</t>
      </text>
    </comment>
    <comment authorId="0" ref="CX3">
      <text>
        <t xml:space="preserve">Bonebat "Comedy of Horrors" Film Festival
April 11, 2020 - April 11, 2020
Seattle, WA</t>
      </text>
    </comment>
    <comment authorId="0" ref="DE3">
      <text>
        <t xml:space="preserve">Houston Comedy Film Festival
April 18, 2020 - April 18, 2020
Katy, TX</t>
      </text>
    </comment>
    <comment authorId="0" ref="DJ3">
      <text>
        <t xml:space="preserve">Hollywood Comedy Shorts
April 23, 2020 - April 26, 2020
Sherman Oaks, CA</t>
      </text>
    </comment>
    <comment authorId="0" ref="EF3">
      <text>
        <t xml:space="preserve">Portland Comedy Film Festival
May 15, 2020 - May 17, 2020
Wilsonville, OR</t>
      </text>
    </comment>
    <comment authorId="0" ref="HE3">
      <text>
        <t xml:space="preserve">Atlanta Comedy Film Festival
July 31, 2020 - July 31, 2020
Atlanta, GA</t>
      </text>
    </comment>
    <comment authorId="0" ref="HK3">
      <text>
        <t xml:space="preserve">We Like 'em Short - Animation + Comedy Film Festival
August 6, 2020 - August 9, 2020
Baker City, OR</t>
      </text>
    </comment>
    <comment authorId="0" ref="IM3">
      <text>
        <t xml:space="preserve">Broad Humor Film Festival, The 
September 3, 2020 - September 6, 2020
Los Angeles, CA</t>
      </text>
    </comment>
    <comment authorId="0" ref="CD4">
      <text>
        <t xml:space="preserve">New York City Short Comedy Film Festival
March 22, 2020 - March 22, 2020
New York, NY</t>
      </text>
    </comment>
    <comment authorId="0" ref="DF4">
      <text>
        <t xml:space="preserve">Austin Comedy Short Film Festival
April 19, 2020 - April 19, 2020
Austin, TX</t>
      </text>
    </comment>
    <comment authorId="0" ref="DL4">
      <text>
        <t xml:space="preserve">Laugh or Die Comedy Fest
April 25, 2020 - April 25, 2020
Gatlinburg, TN</t>
      </text>
    </comment>
  </commentList>
</comments>
</file>

<file path=xl/comments1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P3">
      <text>
        <t xml:space="preserve">Chistian Youth Film Festival
March 7, 2020 - March 8, 2020
Bakersfield, CA</t>
      </text>
    </comment>
    <comment authorId="0" ref="CA3">
      <text>
        <t xml:space="preserve">Do It Your Damn Self National Youth Film Festival
March 19, 2020 - March 21, 2020
Boston, MA</t>
      </text>
    </comment>
    <comment authorId="0" ref="CI3">
      <text>
        <t xml:space="preserve">Yale Student Film Festival
March 27, 2020 - March 29, 2020
New Haven, CT</t>
      </text>
    </comment>
    <comment authorId="0" ref="CP3">
      <text>
        <t xml:space="preserve">ACT Human Rights Film Festival
April 3, 2020 - April 11, 2020
Fort Collins, CO</t>
      </text>
    </comment>
    <comment authorId="0" ref="CZ3">
      <text>
        <t xml:space="preserve">Ivy Film Festival
April 13, 2020 - April 19, 2020
Providence, RI</t>
      </text>
    </comment>
    <comment authorId="0" ref="DR3">
      <text>
        <t xml:space="preserve">Trinity Film Festival
May 1, 2020 - May 2, 2020
Hartford, CT</t>
      </text>
    </comment>
    <comment authorId="0" ref="DY3">
      <text>
        <t xml:space="preserve">CineYouth Film Festival
May 8, 2020 - May 10, 2020
Chicago, IL</t>
      </text>
    </comment>
    <comment authorId="0" ref="EH3">
      <text>
        <t xml:space="preserve">Elkhorn Valley BEA D7 Film and Media Conference
May 17, 2020 - May 18, 2020
Omaha, NE</t>
      </text>
    </comment>
    <comment authorId="0" ref="EP3">
      <text>
        <t xml:space="preserve">Phantoscope High School Film Festival
May 25, 2020 - May 25, 2020
Richmond, IN</t>
      </text>
    </comment>
    <comment authorId="0" ref="FB3">
      <text>
        <t xml:space="preserve">Rockland Youth Film Festival
June 6, 2020 - June 7, 2020
Spring Valley, NY</t>
      </text>
    </comment>
    <comment authorId="0" ref="FU3">
      <text>
        <t xml:space="preserve">American Youth Film Festival
June 25, 2020 - June 28, 2020
Atlanta, GA</t>
      </text>
    </comment>
    <comment authorId="0" ref="JW3">
      <text>
        <t xml:space="preserve">All American High School Film Festival
October 9, 2020 - October 11, 2020
New York, NY</t>
      </text>
    </comment>
    <comment authorId="0" ref="KC3">
      <text>
        <t xml:space="preserve">Josiah Media Festival (Urban 15)
October 15, 2020 - October 17, 2020
San Antonio, TX</t>
      </text>
    </comment>
    <comment authorId="0" ref="KG3">
      <text>
        <t xml:space="preserve">Anim8 Student Film Festival
October 19, 2020 - October 19, 2020
Downers Grove, IL</t>
      </text>
    </comment>
    <comment authorId="0" ref="KJ3">
      <text>
        <t xml:space="preserve">NFFTY (National Film Festival for Talented Youth)
October 22, 2020 - October 25, 2020
Seattle, WA</t>
      </text>
    </comment>
    <comment authorId="0" ref="CB4">
      <text>
        <t xml:space="preserve">By Design Film Festival
March 20, 2020 - March 22, 2020
Seattle, WA</t>
      </text>
    </comment>
    <comment authorId="0" ref="CP4">
      <text>
        <t xml:space="preserve">Central Film Festival
April 3, 2020 - April 4, 2020
Springfield, MO</t>
      </text>
    </comment>
    <comment authorId="0" ref="DA4">
      <text>
        <t xml:space="preserve">Reality Bytes Independent Student Film Festival
April 14, 2020 - April 16, 2020
Dekalb, IL</t>
      </text>
    </comment>
    <comment authorId="0" ref="DE4">
      <text>
        <t xml:space="preserve">Reel Spirit Young Filmmakers
April 18, 2020 - April 18, 2020
Lee's Summit, MO</t>
      </text>
    </comment>
    <comment authorId="0" ref="FX4">
      <text>
        <t xml:space="preserve">My HERO International Short Film Festival
June 28, 2020 - July 1, 2020
Laguna Beach, CA</t>
      </text>
    </comment>
    <comment authorId="0" ref="CB5">
      <text>
        <t xml:space="preserve">Sierra Canyon Film Festival
March 20, 2020 - March 20, 2020
Los Angeles, CA</t>
      </text>
    </comment>
    <comment authorId="0" ref="DC5">
      <text>
        <t xml:space="preserve">Scout Film Festival
April 16, 2020 - April 18, 2020
Boston, MA</t>
      </text>
    </comment>
    <comment authorId="0" ref="DD6">
      <text>
        <t xml:space="preserve">Harvard College Film Festival
April 17, 2020 - April 18, 2020
Cambridge, MA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">
      <text>
        <t xml:space="preserve">Santa Barbara International Film Festival
January 15, 2020 - January 25, 2020
Santa Barbara, CA</t>
      </text>
    </comment>
    <comment authorId="0" ref="AL3">
      <text>
        <t xml:space="preserve">Green Bay Film Festival
February 6, 2020 - March 8, 2020
De Pere, WI</t>
      </text>
    </comment>
    <comment authorId="0" ref="BS3">
      <text>
        <t xml:space="preserve">Pasadena International Film Festival
March 11, 2020 - March 19, 2020
Pasadena, CA</t>
      </text>
    </comment>
    <comment authorId="0" ref="CG3">
      <text>
        <t xml:space="preserve">Cleveland International Film Festival
March 25, 2020 - April 5, 2020
Cleveland, OH</t>
      </text>
    </comment>
    <comment authorId="0" ref="CV3">
      <text>
        <t xml:space="preserve">Minneapolis-St. Paul International Film Festival
April 9, 2020 - April 30, 2020
Minneapolis, MN</t>
      </text>
    </comment>
    <comment authorId="0" ref="DS3">
      <text>
        <t xml:space="preserve">Red Wasp Film Festival
May 2, 2020 - May 3, 2020
College Station, TX</t>
      </text>
    </comment>
    <comment authorId="0" ref="DW3">
      <text>
        <t xml:space="preserve">Fort Myers Film Festival
May 6, 2020 - May 10, 2020
Fort Myers, FL</t>
      </text>
    </comment>
    <comment authorId="0" ref="EF3">
      <text>
        <t xml:space="preserve">Rooftop Films Summer Series
May 15, 2020 - August 21, 2020
New York, NY</t>
      </text>
    </comment>
    <comment authorId="0" ref="IC3">
      <text>
        <t xml:space="preserve">Sidewalk Film Festival
August 24, 2020 - August 30, 2020
Birmingham, AL</t>
      </text>
    </comment>
    <comment authorId="0" ref="IN3">
      <text>
        <t xml:space="preserve">Royal Starr Film Festival
September 4, 2020 - September 13, 2020
Royal Oak, MI</t>
      </text>
    </comment>
    <comment authorId="0" ref="JA3">
      <text>
        <t xml:space="preserve">Breckenridge Film Festival
September 17, 2020 - September 20, 2020
Breckenridge, CO</t>
      </text>
    </comment>
    <comment authorId="0" ref="JH3">
      <text>
        <t xml:space="preserve">Great Lakes International Film Festival
September 24, 2020 - October 10, 2020
Erie, PA</t>
      </text>
    </comment>
    <comment authorId="0" ref="KC3">
      <text>
        <t xml:space="preserve">Milwaukee Film Festival 
October 15, 2020 - October 29, 2020
Milwaukee, WI</t>
      </text>
    </comment>
    <comment authorId="0" ref="KZ3">
      <text>
        <t xml:space="preserve">Fort Lauderdale International Film Festival
November 6, 2020 - November 22, 2020
Fort Lauderdale, FL</t>
      </text>
    </comment>
    <comment authorId="0" ref="LW3">
      <text>
        <t xml:space="preserve">Another Hole in the Head Film Festival
November 29, 2020 - December 13, 2020
San Francisco, CA</t>
      </text>
    </comment>
    <comment authorId="0" ref="L4">
      <text>
        <t xml:space="preserve">Sunshine City Film Festival
January 11, 2020 - January 20, 2020
Saint Peterburg, FL</t>
      </text>
    </comment>
    <comment authorId="0" ref="Y4">
      <text>
        <t xml:space="preserve">New Jersey International Film Festival
January 24, 2020 - February 23, 2020
New Brunswick, NJ</t>
      </text>
    </comment>
    <comment authorId="0" ref="BG4">
      <text>
        <t xml:space="preserve">Bonita Springs International Film Festival
February 27, 2020 - March 1, 2020
Bonita Springs, FL</t>
      </text>
    </comment>
    <comment authorId="0" ref="BN4">
      <text>
        <t xml:space="preserve">Portland International Film Festival
March 5, 2020 - March 19, 2020
Portland, OR</t>
      </text>
    </comment>
    <comment authorId="0" ref="CG4">
      <text>
        <t xml:space="preserve">New Directors/New Films
March 25, 2020 - April 5, 2020
New York, NY</t>
      </text>
    </comment>
    <comment authorId="0" ref="CU4">
      <text>
        <t xml:space="preserve">San Francisco International Film Festival
April 8, 2020 - April 21, 2020
San Francisco, CA</t>
      </text>
    </comment>
    <comment authorId="0" ref="DJ4">
      <text>
        <t xml:space="preserve">Manhattan Film Festival
April 23, 2020 - May 7, 2020
New York, NY</t>
      </text>
    </comment>
    <comment authorId="0" ref="DZ4">
      <text>
        <t xml:space="preserve">NCCC Film &amp; Animation Festival
May 9, 2020 - May 9, 2020
Sanborn, NY</t>
      </text>
    </comment>
    <comment authorId="0" ref="EE4">
      <text>
        <t xml:space="preserve">Chico Independent Film Festival, The
May 14, 2020 - May 24, 2020
Chico, CA</t>
      </text>
    </comment>
    <comment authorId="0" ref="ER4">
      <text>
        <t xml:space="preserve">Duluth-Superior Film Festival
May 27, 2020 - May 31, 2020
Duluth, MN</t>
      </text>
    </comment>
    <comment authorId="0" ref="FA4">
      <text>
        <t xml:space="preserve">Miami Independent Film Festival
June 5, 2020 - July 5, 2020
Miami Beach, FL</t>
      </text>
    </comment>
    <comment authorId="0" ref="GJ4">
      <text>
        <t xml:space="preserve">Maine International Film Festival
July 10, 2020 - July 19, 2020
Waterville, ME</t>
      </text>
    </comment>
    <comment authorId="0" ref="GY4">
      <text>
        <t xml:space="preserve">Woods Hole Film Festival
July 25, 2020 - August 1, 2020
Woods Hole, MA</t>
      </text>
    </comment>
    <comment authorId="0" ref="HK4">
      <text>
        <t xml:space="preserve">Chain NYC Film Festival
August 6, 2020 - August 16, 2020
New York, NY</t>
      </text>
    </comment>
    <comment authorId="0" ref="HZ4">
      <text>
        <t xml:space="preserve">California Independent Film Festival
August 21, 2020 - August 29, 2020
Danville, CA</t>
      </text>
    </comment>
    <comment authorId="0" ref="IO4">
      <text>
        <t xml:space="preserve">Valley Film Festival, The
September 5, 2020 - September 13, 2020
North Hollywood, CA</t>
      </text>
    </comment>
    <comment authorId="0" ref="IY4">
      <text>
        <t xml:space="preserve">Oregon Independent Film Festival 
September 15, 2020 - September 30, 2020
Eugene, OR</t>
      </text>
    </comment>
    <comment authorId="0" ref="JP4">
      <text>
        <t xml:space="preserve">Other Venice Film Festival
October 2, 2020 - October 4, 2020
Los Angeles, CA</t>
      </text>
    </comment>
    <comment authorId="0" ref="JU4">
      <text>
        <t xml:space="preserve">Festival Angaelica
October 7, 2020 - October 11, 2020
Los Angeles, CA</t>
      </text>
    </comment>
    <comment authorId="0" ref="KB4">
      <text>
        <t xml:space="preserve">Chicago International Film Festival
October 14, 2020 - October 25, 2020
Chicago, IL</t>
      </text>
    </comment>
    <comment authorId="0" ref="KX4">
      <text>
        <t xml:space="preserve">Denver Film Festival
November 4, 2020 - November 15, 2020
Denver, CO</t>
      </text>
    </comment>
    <comment authorId="0" ref="LL4">
      <text>
        <t xml:space="preserve">Key West Film Festival
November 18, 2020 - November 22, 2020
Key West, FL</t>
      </text>
    </comment>
    <comment authorId="0" ref="LX4">
      <text>
        <t xml:space="preserve">Santa Monica International Film Festival
November 30, 2020 - November 30, 2020
Santa Monica, CA</t>
      </text>
    </comment>
    <comment authorId="0" ref="MB4">
      <text>
        <t xml:space="preserve">Anchorage International Film Festival
December 4, 2020 - December 13, 2020
Anchorage, AK</t>
      </text>
    </comment>
    <comment authorId="0" ref="Q5">
      <text>
        <t xml:space="preserve">Borrego Springs Film Festival
January 16, 2020 - January 20, 2020
Borrego Springs, CA</t>
      </text>
    </comment>
    <comment authorId="0" ref="Y5">
      <text>
        <t xml:space="preserve">Flathead Lake International Cinemafest
January 24, 2020 - January 26, 2020
Polson, MT</t>
      </text>
    </comment>
    <comment authorId="0" ref="AE5">
      <text>
        <t xml:space="preserve">San Francisco Independent Film Festival
January 30, 2020 - February 13, 2020
San Francisco, CA</t>
      </text>
    </comment>
    <comment authorId="0" ref="AZ5">
      <text>
        <t xml:space="preserve">Winter Film Awards International Film Festival
February 20, 2020 - February 29, 2020
New York, NY</t>
      </text>
    </comment>
    <comment authorId="0" ref="BL5">
      <text>
        <t xml:space="preserve">Cinequest
March 3, 2020 - March 15, 2020
San Jose, CA</t>
      </text>
    </comment>
    <comment authorId="0" ref="CA5">
      <text>
        <t xml:space="preserve">Queens World Film Festival
March 19, 2020 - March 29, 2020
New York, NY</t>
      </text>
    </comment>
    <comment authorId="0" ref="CN5">
      <text>
        <t xml:space="preserve">Poppy Jasper International Film Festival
April 1, 2020 - April 8, 2020
Morgan Hill, CA</t>
      </text>
    </comment>
    <comment authorId="0" ref="CW5">
      <text>
        <t xml:space="preserve">Southern Arizona Independent Film Festival
April 10, 2020 - April 11, 2020
Wilcox, AZ</t>
      </text>
    </comment>
    <comment authorId="0" ref="DB5">
      <text>
        <t xml:space="preserve">Arizona International Film Festival
April 15, 2020 - April 26, 2020
Tucson, AZ</t>
      </text>
    </comment>
    <comment authorId="0" ref="DQ5">
      <text>
        <t xml:space="preserve">Atlanta Film Festival
April 30, 2020 - May 10, 2020
Atlanta, GA</t>
      </text>
    </comment>
    <comment authorId="0" ref="EE5">
      <text>
        <t xml:space="preserve">Seattle International Film Festival
May 14, 2020 - June 7, 2020
Seattle, WA</t>
      </text>
    </comment>
    <comment authorId="0" ref="FG5">
      <text>
        <t xml:space="preserve">Dances With Films
June 11, 2020 - June 21, 2020
Los Angeles, CA</t>
      </text>
    </comment>
    <comment authorId="0" ref="FS5">
      <text>
        <t xml:space="preserve">Jersey Shore Film Festival
June 23, 2020 - June 30, 2020
Deal, NJ</t>
      </text>
    </comment>
    <comment authorId="0" ref="GQ5">
      <text>
        <t xml:space="preserve">New Hope Film Festival
July 17, 2020 - July 26, 2020
New Hope, PA</t>
      </text>
    </comment>
    <comment authorId="0" ref="HB5">
      <text>
        <t xml:space="preserve">San Antonio Film Festival
July 28, 2020 - August 2, 2020
San Antonio, TX</t>
      </text>
    </comment>
    <comment authorId="0" ref="HL5">
      <text>
        <t xml:space="preserve">Festival of Cinema NYC
August 7, 2020 - August 16, 2020
New York, NY</t>
      </text>
    </comment>
    <comment authorId="0" ref="HY5">
      <text>
        <t xml:space="preserve">Trinity International Film Festival
August 20, 2020 - August 23, 2020
Inkster, MI</t>
      </text>
    </comment>
    <comment authorId="0" ref="IH5">
      <text>
        <t xml:space="preserve">VOB Film Festival
August 29, 2020 - September 6, 2020
Carmel, NY</t>
      </text>
    </comment>
    <comment authorId="0" ref="IR5">
      <text>
        <t xml:space="preserve">Martha's Vinyard International Film Festival
September 8, 2020 - September 13, 2020
Vineyard Haven, MA</t>
      </text>
    </comment>
    <comment authorId="0" ref="JC5">
      <text>
        <t xml:space="preserve">Golden Door Film Festival
September 19, 2020 - September 26, 2020
Jersey City, NJ</t>
      </text>
    </comment>
    <comment authorId="0" ref="JN5">
      <text>
        <t xml:space="preserve">Woodstock Film Festival
September 30, 2020 - October 4, 2020
Woodstock, NY</t>
      </text>
    </comment>
    <comment authorId="0" ref="JV5">
      <text>
        <t xml:space="preserve">Heartland International Film Festival 
October 8, 2020 - October 18, 2020
Indianapolis, IN</t>
      </text>
    </comment>
    <comment authorId="0" ref="KI5">
      <text>
        <t xml:space="preserve">Twin Cities Film Festival
October 21, 2020 - October 31, 2020
Minneapolis, MN</t>
      </text>
    </comment>
    <comment authorId="0" ref="KY5">
      <text>
        <t xml:space="preserve">Hawaii International Film Festival
November 5, 2020 - November 15, 2020
Honolulu, HI</t>
      </text>
    </comment>
    <comment authorId="0" ref="LM5">
      <text>
        <t xml:space="preserve">Williamsburg Independent Film Festival
November 19, 2020 - November 22, 2020
New York, NY</t>
      </text>
    </comment>
    <comment authorId="0" ref="MI5">
      <text>
        <t xml:space="preserve">Silicon Valley International Film Festival
December 11, 2020 - December 12, 2020
San Francisco, CA</t>
      </text>
    </comment>
    <comment authorId="0" ref="R6">
      <text>
        <t xml:space="preserve">Chandler International Film Festival
January 17, 2020 - January 20, 2020
Chandler, AZ</t>
      </text>
    </comment>
    <comment authorId="0" ref="X6">
      <text>
        <t xml:space="preserve">Sundance Film Festival 
January 23, 2020 - February 2, 2020
Park City, UT</t>
      </text>
    </comment>
    <comment authorId="0" ref="AK6">
      <text>
        <t xml:space="preserve">Central Michigan International Film Festival
February 5, 2020 - February 9, 2020
Mount Pleasant, MI</t>
      </text>
    </comment>
    <comment authorId="0" ref="AR6">
      <text>
        <t xml:space="preserve">Hollywood Reel Independent Film Festival
February 12, 2020 - February 24, 2020
Hollywood, CA</t>
      </text>
    </comment>
    <comment authorId="0" ref="BG6">
      <text>
        <t xml:space="preserve">Lake Travis Film Festival
February 27, 2020 - March 1, 2020
Lakeway, TX</t>
      </text>
    </comment>
    <comment authorId="0" ref="BO6">
      <text>
        <t xml:space="preserve">Miami Film Festival
March 6, 2020 - March 15, 2020
Miami, FL</t>
      </text>
    </comment>
    <comment authorId="0" ref="BY6">
      <text>
        <t xml:space="preserve">Gasparilla International Film Festival
March 17, 2020 - March 22, 2020
Tampa, FL</t>
      </text>
    </comment>
    <comment authorId="0" ref="CH6">
      <text>
        <t xml:space="preserve">Phoenix Film Festival
March 26, 2020 - April 5, 2020
Pheonix, AZ</t>
      </text>
    </comment>
    <comment authorId="0" ref="CX6">
      <text>
        <t xml:space="preserve">Riverside International Film Festival
April 11, 2020 - April 11, 2020
Riverside, CA</t>
      </text>
    </comment>
    <comment authorId="0" ref="DB6">
      <text>
        <t xml:space="preserve">Tribeca Film Festival
April 15, 2020 - April 26, 2020
New York, NY</t>
      </text>
    </comment>
    <comment authorId="0" ref="DQ6">
      <text>
        <t xml:space="preserve">Indy Film Fest
April 30, 2020 - May 10, 2020
Indianapolis, IN</t>
      </text>
    </comment>
    <comment authorId="0" ref="EI6">
      <text>
        <t xml:space="preserve">ME Film Festival
May 18, 2020 - May 24, 2020
Milledgeville, GA</t>
      </text>
    </comment>
    <comment authorId="0" ref="ET6">
      <text>
        <t xml:space="preserve">Brooklyn Film Festival
May 29, 2020 - June 7, 2020
Brooklyn, NY</t>
      </text>
    </comment>
    <comment authorId="0" ref="FG6">
      <text>
        <t xml:space="preserve">SOHO International Film Festival
June 11, 2020 - June 18, 2020
New York, NY</t>
      </text>
    </comment>
    <comment authorId="0" ref="FQ6">
      <text>
        <t xml:space="preserve">New York Lift-Off Film Festival
June 21, 2020 - June 28, 2020
Brooklyn, NY</t>
      </text>
    </comment>
    <comment authorId="0" ref="GP6">
      <text>
        <t xml:space="preserve">Stony Brook Film Festival
July 16, 2020 - July 24, 2020
Stony Brook, NY</t>
      </text>
    </comment>
    <comment authorId="0" ref="HB6">
      <text>
        <t xml:space="preserve">Traverse City Film Festival
July 28, 2020 - August 2, 2020
Traverse City, MI</t>
      </text>
    </comment>
    <comment authorId="0" ref="HL6">
      <text>
        <t xml:space="preserve">Kew Gardens Festival of Cinema
August 7, 2020 - August 16, 2020
Forest Hills, NY</t>
      </text>
    </comment>
    <comment authorId="0" ref="HZ6">
      <text>
        <t xml:space="preserve">Black Cat Picture Show
August 21, 2020 - August 23, 2020
Augusta , GA</t>
      </text>
    </comment>
    <comment authorId="0" ref="IG6">
      <text>
        <t xml:space="preserve">Nevada City Film Festival
August 28, 2020 - September 4, 2020
Nevada City, CA</t>
      </text>
    </comment>
    <comment authorId="0" ref="IS6">
      <text>
        <t xml:space="preserve">Burbank International Film Festival
September 9, 2020 - September 13, 2020
Burbank, CA</t>
      </text>
    </comment>
    <comment authorId="0" ref="JA6">
      <text>
        <t xml:space="preserve">South Dakota Film Festival
September 17, 2020 - September 20, 2020
Aberdeen, SD</t>
      </text>
    </comment>
    <comment authorId="0" ref="JH6">
      <text>
        <t xml:space="preserve">Fantastic Fest
September 24, 2020 - October 1, 2020
Austin, TX</t>
      </text>
    </comment>
    <comment authorId="0" ref="JV6">
      <text>
        <t xml:space="preserve">Mill Valley Film Festival
October 8, 2020 - October 18, 2020
San Rafael, CA</t>
      </text>
    </comment>
    <comment authorId="0" ref="KJ6">
      <text>
        <t xml:space="preserve">Philadelphia Film Festival
October 22, 2020 - November 1, 2020
Pliladelphia, PA</t>
      </text>
    </comment>
    <comment authorId="0" ref="KY6">
      <text>
        <t xml:space="preserve">Lake County Film Festival, The
November 5, 2020 - November 15, 2020
Grayslake, IL</t>
      </text>
    </comment>
    <comment authorId="0" ref="LO6">
      <text>
        <t xml:space="preserve">CineSol Film Festival
November 21, 2020 - November 22, 2020
Harlingen, TX</t>
      </text>
    </comment>
    <comment authorId="0" ref="W7">
      <text>
        <t xml:space="preserve">Cinema on the Bayou
January 22, 2020 - January 29, 2020
Lafayette, LA</t>
      </text>
    </comment>
    <comment authorId="0" ref="AM7">
      <text>
        <t xml:space="preserve">Dallas VideoFest Alternative Fiction
February 7, 2020 - February 10, 2020
Dallas, TX</t>
      </text>
    </comment>
    <comment authorId="0" ref="AS7">
      <text>
        <t xml:space="preserve">LA Indie Film Festival
February 13, 2020 - February 22, 2020
Los Angeles, CA</t>
      </text>
    </comment>
    <comment authorId="0" ref="BH7">
      <text>
        <t xml:space="preserve">Spokane International Film Festival
February 28, 2020 - March 6, 2020
Spokane, WA</t>
      </text>
    </comment>
    <comment authorId="0" ref="BU7">
      <text>
        <t xml:space="preserve">South by Southwest Film Festival
March 13, 2020 - March 21, 2020
Austin, TX</t>
      </text>
    </comment>
    <comment authorId="0" ref="CH7">
      <text>
        <t xml:space="preserve">RiverRun International Film Festival
March 26, 2020 - April 5, 2020
Winston-Salem, NC</t>
      </text>
    </comment>
    <comment authorId="0" ref="CV7">
      <text>
        <t xml:space="preserve">Capital City Film Festival
April 9, 2020 - April 18, 2020
Lansing, MI</t>
      </text>
    </comment>
    <comment authorId="0" ref="DJ7">
      <text>
        <t xml:space="preserve">FilmFest DC 
April 23, 2020 - May 3, 2020
Washington, D.C, DC</t>
      </text>
    </comment>
    <comment authorId="0" ref="EA7">
      <text>
        <t xml:space="preserve">New York City Independent Film Festival
May 10, 2020 - May 17, 2020
New York, NY</t>
      </text>
    </comment>
    <comment authorId="0" ref="EK7">
      <text>
        <t xml:space="preserve">Mammoth Lakes Film Festival
May 20, 2020 - May 24, 2020
Mammoth Lakes, CA</t>
      </text>
    </comment>
    <comment authorId="0" ref="ES7">
      <text>
        <t xml:space="preserve">Berkshire International Film Festival
May 28, 2020 - May 31, 2020
Great Barrington, MA</t>
      </text>
    </comment>
    <comment authorId="0" ref="FA7">
      <text>
        <t xml:space="preserve">Prescott Film Festival 
June 5, 2020 - June 13, 2020
Prescott, AZ</t>
      </text>
    </comment>
    <comment authorId="0" ref="FL7">
      <text>
        <t xml:space="preserve">South Side Film Festival Bethelham, PA
June 16, 2020 - June 20, 2020
Bethlehem, PA</t>
      </text>
    </comment>
    <comment authorId="0" ref="FR7">
      <text>
        <t xml:space="preserve">Free State Festival
June 22, 2020 - June 28, 2020
Lawrence, KS</t>
      </text>
    </comment>
    <comment authorId="0" ref="GQ7">
      <text>
        <t xml:space="preserve">Brainwash Movie Festival
July 17, 2020 - July 25, 2020
Oakland, CA</t>
      </text>
    </comment>
    <comment authorId="0" ref="HC7">
      <text>
        <t xml:space="preserve">Long Beach International Film Festival
July 29, 2020 - August 2, 2020
Long Beach, NY</t>
      </text>
    </comment>
    <comment authorId="0" ref="HI7">
      <text>
        <t xml:space="preserve">Flickers' Rhode Island International Film Festival
August 4, 2020 - August 9, 2020
Newport, RI</t>
      </text>
    </comment>
    <comment authorId="0" ref="HR7">
      <text>
        <t xml:space="preserve">Deep in the Heart Film Festival
August 13, 2020 - August 16, 2020
Waco, TX</t>
      </text>
    </comment>
    <comment authorId="0" ref="HZ7">
      <text>
        <t xml:space="preserve">Defy Film Festival
August 21, 2020 - August 22, 2020
Nashville, TN</t>
      </text>
    </comment>
    <comment authorId="0" ref="IG7">
      <text>
        <t xml:space="preserve">Buffalo Dreams Fantastic Film Festival
August 28, 2020 - September 3, 2020
Depew, NY</t>
      </text>
    </comment>
    <comment authorId="0" ref="IS7">
      <text>
        <t xml:space="preserve">Austin Revolution Film Festival
September 9, 2020 - September 12, 2020
Austin, TX</t>
      </text>
    </comment>
    <comment authorId="0" ref="JB7">
      <text>
        <t xml:space="preserve">Mosaic World Film Festival
September 18, 2020 - September 20, 2020
Rockford, IL</t>
      </text>
    </comment>
    <comment authorId="0" ref="JI7">
      <text>
        <t xml:space="preserve">Glendale International Film Festival
September 25, 2020 - October 1, 2020
Glendale, CA</t>
      </text>
    </comment>
    <comment authorId="0" ref="JV7">
      <text>
        <t xml:space="preserve">Tacoma Film Festival
October 8, 2020 - October 15, 2020
Tacoma, WA</t>
      </text>
    </comment>
    <comment authorId="0" ref="KJ7">
      <text>
        <t xml:space="preserve">Austin Film Festival 
October 22, 2020 - October 29, 2020
Austin, TX</t>
      </text>
    </comment>
    <comment authorId="0" ref="KY7">
      <text>
        <t xml:space="preserve">St. Louis International Film Festival 
November 5, 2020 - November 15, 2020
St. Louis, MO</t>
      </text>
    </comment>
    <comment authorId="0" ref="LP7">
      <text>
        <t xml:space="preserve">Route 66 Film Festival
November 22, 2020 - November 23, 2020
Springfield, IL</t>
      </text>
    </comment>
    <comment authorId="0" ref="Y8">
      <text>
        <t xml:space="preserve">Slamdance Film Festival 
January 24, 2020 - January 30, 2020
Park City, UT</t>
      </text>
    </comment>
    <comment authorId="0" ref="AR8">
      <text>
        <t xml:space="preserve">Santa Fe Film Festival
February 12, 2020 - February 16, 2020
Santa Fe, NM</t>
      </text>
    </comment>
    <comment authorId="0" ref="BA8">
      <text>
        <t xml:space="preserve">Beloit International Film Festival
February 21, 2020 - March 1, 2020
Beloit, WI</t>
      </text>
    </comment>
    <comment authorId="0" ref="BQ8">
      <text>
        <t xml:space="preserve">Idyllwild International Festival of Cinema
March 9, 2020 - March 15, 2020
Idyllwild, CA</t>
      </text>
    </comment>
    <comment authorId="0" ref="BY8">
      <text>
        <t xml:space="preserve">San Luis Obispo International Film Festival
March 17, 2020 - March 22, 2020
San Luis Obispo, CA</t>
      </text>
    </comment>
    <comment authorId="0" ref="CI8">
      <text>
        <t xml:space="preserve">Sarasota Film Festival
March 27, 2020 - April 5, 2020
Sarasota, FL</t>
      </text>
    </comment>
    <comment authorId="0" ref="CX8">
      <text>
        <t xml:space="preserve">North Hollywood CineFest
April 11, 2020 - April 18, 2020
Los Angeles, CA</t>
      </text>
    </comment>
    <comment authorId="0" ref="DJ8">
      <text>
        <t xml:space="preserve">Washington, DC
April 23, 2020 - May 3, 2020
Washington, DC, DC</t>
      </text>
    </comment>
    <comment authorId="0" ref="EA8">
      <text>
        <t xml:space="preserve">NYC Indepdendent Film Festival
May 10, 2020 - May 17, 2020
New York, NY</t>
      </text>
    </comment>
    <comment authorId="0" ref="EN8">
      <text>
        <t xml:space="preserve">Orlando International Film Festival
May 23, 2020 - May 26, 2020
Orlando, FL</t>
      </text>
    </comment>
    <comment authorId="0" ref="ES8">
      <text>
        <t xml:space="preserve">People's Film Festival, The
May 28, 2020 - May 30, 2020
Harlem, NY</t>
      </text>
    </comment>
    <comment authorId="0" ref="EW8">
      <text>
        <t xml:space="preserve">Art of Brooklyn Film Festival, The 
June 1, 2020 - June 7, 2020
Brooklyn, NY</t>
      </text>
    </comment>
    <comment authorId="0" ref="FG8">
      <text>
        <t xml:space="preserve">Lower East Side Film Festival, The
June 11, 2020 - June 15, 2020
New York, NY</t>
      </text>
    </comment>
    <comment authorId="0" ref="FN8">
      <text>
        <t xml:space="preserve">Cape Fear Independent Film Festival
June 18, 2020 - June 20, 2020
Wilmington, NC</t>
      </text>
    </comment>
    <comment authorId="0" ref="FR8">
      <text>
        <t xml:space="preserve">Free State Film Festival
June 22, 2020 - June 28, 2020
Lawrence , KS</t>
      </text>
    </comment>
    <comment authorId="0" ref="GJ8">
      <text>
        <t xml:space="preserve">Long Island International Film Expo
July 10, 2020 - July 16, 2020
Bellmore, NY</t>
      </text>
    </comment>
    <comment authorId="0" ref="GR8">
      <text>
        <t xml:space="preserve">Chautauqua International Film Festival
July 18, 2020 - July 18, 2020
Jamestown, NY</t>
      </text>
    </comment>
    <comment authorId="0" ref="GT8">
      <text>
        <t xml:space="preserve">Hamilton International Film Festival
July 20, 2020 - July 26, 2020
Hamilton, NY</t>
      </text>
    </comment>
    <comment authorId="0" ref="HR8">
      <text>
        <t xml:space="preserve">Indie Gathering, The 
August 13, 2020 - August 16, 2020
Hudson, OH</t>
      </text>
    </comment>
    <comment authorId="0" ref="IF8">
      <text>
        <t xml:space="preserve">Middlebury New Filmmakers Festival 
August 27, 2020 - August 30, 2020
Middlebury, VT</t>
      </text>
    </comment>
    <comment authorId="0" ref="IN8">
      <text>
        <t xml:space="preserve">Woodstock Museum Film Festival
September 4, 2020 - September 7, 2020
Saugerties, NY</t>
      </text>
    </comment>
    <comment authorId="0" ref="IS8">
      <text>
        <t xml:space="preserve">South Texas International Film Festival
September 9, 2020 - September 12, 2020
Edinburg, TX</t>
      </text>
    </comment>
    <comment authorId="0" ref="JE8">
      <text>
        <t xml:space="preserve">Aspen Filmfest
September 21, 2020 - September 26, 2020
Aspen, CO</t>
      </text>
    </comment>
    <comment authorId="0" ref="JO8">
      <text>
        <t xml:space="preserve">Nashville Film Festival
October 1, 2020 - October 7, 2020
Nashville, TN</t>
      </text>
    </comment>
    <comment authorId="0" ref="JW8">
      <text>
        <t xml:space="preserve">FirstGlance Philadelphia Film Fest
October 9, 2020 - October 11, 2020
Philadelphia, PA</t>
      </text>
    </comment>
    <comment authorId="0" ref="KB8">
      <text>
        <t xml:space="preserve">New Orleans Film Festival
October 14, 2020 - October 21, 2020
New Orleans, LA</t>
      </text>
    </comment>
    <comment authorId="0" ref="KL8">
      <text>
        <t xml:space="preserve">Savannah Film Festival
October 24, 2020 - October 31, 2020
Savannah, GA</t>
      </text>
    </comment>
    <comment authorId="0" ref="KZ8">
      <text>
        <t xml:space="preserve">Cine-World Film Festival
November 6, 2020 - November 15, 2020
Sarasota, FL</t>
      </text>
    </comment>
    <comment authorId="0" ref="Y9">
      <text>
        <t xml:space="preserve">Snowtown Film Festival
January 24, 2020 - January 25, 2020
Watertown, NY</t>
      </text>
    </comment>
    <comment authorId="0" ref="AS9">
      <text>
        <t xml:space="preserve">Flagstaff Mountain Film Festival
February 13, 2020 - February 16, 2020
Flagstaff, AZ</t>
      </text>
    </comment>
    <comment authorId="0" ref="BB9">
      <text>
        <t xml:space="preserve">Sedona International Film Festival 
February 22, 2020 - March 1, 2020
Sedona, AZ</t>
      </text>
    </comment>
    <comment authorId="0" ref="BL9">
      <text>
        <t xml:space="preserve">Omaha Film Festival
March 3, 2020 - March 8, 2020
Omaha, NE</t>
      </text>
    </comment>
    <comment authorId="0" ref="BV9">
      <text>
        <t xml:space="preserve">Wildwood Film Festival
March 14, 2020 - March 14, 2020
Appleton, WI</t>
      </text>
    </comment>
    <comment authorId="0" ref="BY9">
      <text>
        <t xml:space="preserve">Fargo Film Festival 
March 17, 2020 - March 21, 2020
Fargo, ND</t>
      </text>
    </comment>
    <comment authorId="0" ref="CF9">
      <text>
        <t xml:space="preserve">Ann Arbor Film Festival 
March 24, 2020 - March 29, 2020
Ann Arbor, MI</t>
      </text>
    </comment>
    <comment authorId="0" ref="CO9">
      <text>
        <t xml:space="preserve">Wisconsin Film Festival
April 2, 2020 - April 9, 2020
Madison, WI</t>
      </text>
    </comment>
    <comment authorId="0" ref="DD9">
      <text>
        <t xml:space="preserve">Florida Film Festival 
April 17, 2020 - April 26, 2020
Maitland, FL</t>
      </text>
    </comment>
    <comment authorId="0" ref="DR9">
      <text>
        <t xml:space="preserve">Montclair Film Festival
May 1, 2020 - May 10, 2020
Montclair, NJ</t>
      </text>
    </comment>
    <comment authorId="0" ref="EF9">
      <text>
        <t xml:space="preserve">International Filmmaker Festival of New York
May 15, 2020 - May 19, 2020
Fort Lee, NJ</t>
      </text>
    </comment>
    <comment authorId="0" ref="ES9">
      <text>
        <t xml:space="preserve">Las Vegas Film Festival
May 28, 2020 - May 31, 2020
Las Vegas, NV</t>
      </text>
    </comment>
    <comment authorId="0" ref="EZ9">
      <text>
        <t xml:space="preserve">Film Invasion L.A.
June 4, 2020 - June 7, 2020
Sherman Oaks, CA</t>
      </text>
    </comment>
    <comment authorId="0" ref="FG9">
      <text>
        <t xml:space="preserve">BZN Internatioanl Film Festival
June 11, 2020 - June 14, 2020
Bozeman , CO</t>
      </text>
    </comment>
    <comment authorId="0" ref="FM9">
      <text>
        <t xml:space="preserve">Maui Film Festival
June 17, 2020 - June 21, 2020
Maui, HI</t>
      </text>
    </comment>
    <comment authorId="0" ref="FS9">
      <text>
        <t xml:space="preserve">Nantucket Film Festival
June 23, 2020 - June 29, 2020
Nantucket, MA</t>
      </text>
    </comment>
    <comment authorId="0" ref="GQ9">
      <text>
        <t xml:space="preserve">Blue Whiskey Independent Film Festival
July 17, 2020 - July 23, 2020
Palatine, IL</t>
      </text>
    </comment>
    <comment authorId="0" ref="HR9">
      <text>
        <t xml:space="preserve">Macon Film Festival
August 13, 2020 - August 16, 2020
Macon, GA</t>
      </text>
    </comment>
    <comment authorId="0" ref="IF9">
      <text>
        <t xml:space="preserve">Seattle True Independent Film Festival
August 27, 2020 - August 30, 2020
Seattle, WA</t>
      </text>
    </comment>
    <comment authorId="0" ref="IN9">
      <text>
        <t xml:space="preserve">Oil Valley Film Festival
September 4, 2020 - September 6, 2020
Oil City, PA</t>
      </text>
    </comment>
    <comment authorId="0" ref="IT9">
      <text>
        <t xml:space="preserve">Skyline Indie Film Festival 
September 10, 2020 - September 13, 2020
Winchester, VA</t>
      </text>
    </comment>
    <comment authorId="0" ref="JG9">
      <text>
        <t xml:space="preserve">Calabasas Film Festival
September 23, 2020 - September 27, 2020
Calabasas, CA</t>
      </text>
    </comment>
    <comment authorId="0" ref="JO9">
      <text>
        <t xml:space="preserve">Queen City Film Festival
October 1, 2020 - October 4, 2020
Cumberland, MD</t>
      </text>
    </comment>
    <comment authorId="0" ref="JV9">
      <text>
        <t xml:space="preserve">Buffalo International Film Festival
October 8, 2020 - October 12, 2020
Buffalo, NY</t>
      </text>
    </comment>
    <comment authorId="0" ref="KC9">
      <text>
        <t xml:space="preserve">AFI Fest
October 15, 2020 - October 22, 2020
Los Angeles, CA</t>
      </text>
    </comment>
    <comment authorId="0" ref="KL9">
      <text>
        <t xml:space="preserve">Ellensburg Film Festival
October 24, 2020 - October 24, 2020
Ellensburg, WA</t>
      </text>
    </comment>
    <comment authorId="0" ref="KZ9">
      <text>
        <t xml:space="preserve">Scottsdale International Film Festival
November 6, 2020 - November 15, 2020
Scottsdale, AZ</t>
      </text>
    </comment>
    <comment authorId="0" ref="AS10">
      <text>
        <t xml:space="preserve">Oneota Film Festival
February 13, 2020 - February 16, 2020
Decorah, IA</t>
      </text>
    </comment>
    <comment authorId="0" ref="AZ10">
      <text>
        <t xml:space="preserve">Nacogdoches Film Festival
February 20, 2020 - February 22, 2020
Nacagdoches, TX</t>
      </text>
    </comment>
    <comment authorId="0" ref="BD10">
      <text>
        <t xml:space="preserve">Big Muddy Film Festival
February 24, 2020 - March 1, 2020
Carbondale, IL</t>
      </text>
    </comment>
    <comment authorId="0" ref="BM10">
      <text>
        <t xml:space="preserve">DC Independent Film Festival
March 4, 2020 - March 8, 2020
Washington, D.C, DC</t>
      </text>
    </comment>
    <comment authorId="0" ref="BZ10">
      <text>
        <t xml:space="preserve">CineKink NYC
March 18, 2020 - March 22, 2020
New York, NY</t>
      </text>
    </comment>
    <comment authorId="0" ref="CH10">
      <text>
        <t xml:space="preserve">Green Mountain Film Festival
March 26, 2020 - March 31, 2020
Montpelier, VT</t>
      </text>
    </comment>
    <comment authorId="0" ref="CP10">
      <text>
        <t xml:space="preserve">Azalea Film Festival
April 3, 2020 - April 4, 2020
Mobile, AL</t>
      </text>
    </comment>
    <comment authorId="0" ref="CS10">
      <text>
        <t xml:space="preserve">Athens International Film + Video Festival 
April 6, 2020 - April 12, 2020
Athens, OH</t>
      </text>
    </comment>
    <comment authorId="0" ref="DD10">
      <text>
        <t xml:space="preserve">Worldfest-Houston International Film &amp; Video Festival
April 17, 2020 - April 26, 2020
Houston, TX</t>
      </text>
    </comment>
    <comment authorId="0" ref="DP10">
      <text>
        <t xml:space="preserve">Maryland Film Festival
April 29, 2020 - May 3, 2020
Baltimore, MD</t>
      </text>
    </comment>
    <comment authorId="0" ref="DW10">
      <text>
        <t xml:space="preserve">Philadelphia Independent Film Festival
May 6, 2020 - May 9, 2020
Philadelphia, PA</t>
      </text>
    </comment>
    <comment authorId="0" ref="EE10">
      <text>
        <t xml:space="preserve">Harlem International Film Festival
May 14, 2020 - May 17, 2020
New York, NY</t>
      </text>
    </comment>
    <comment authorId="0" ref="ES10">
      <text>
        <t xml:space="preserve">Mendocino Film Festival
May 28, 2020 - May 31, 2020
Mendocino, CA</t>
      </text>
    </comment>
    <comment authorId="0" ref="EZ10">
      <text>
        <t xml:space="preserve">Lighthouse International Film Festival
June 4, 2020 - June 7, 2020
Long Beach Township, NJ</t>
      </text>
    </comment>
    <comment authorId="0" ref="FG10">
      <text>
        <t xml:space="preserve">deadCENTER Film Festival
June 11, 2020 - June 14, 2020
Oklahoma City, OK</t>
      </text>
    </comment>
    <comment authorId="0" ref="FM10">
      <text>
        <t xml:space="preserve">Provincetown Film Festival
June 17, 2020 - June 21, 2020
Provincetown, MA</t>
      </text>
    </comment>
    <comment authorId="0" ref="FV10">
      <text>
        <t xml:space="preserve">Interrobang Film Festival
June 26, 2020 - June 28, 2020
Des Moines, IA</t>
      </text>
    </comment>
    <comment authorId="0" ref="GQ10">
      <text>
        <t xml:space="preserve">San Francisco Frozen Film Festival
July 17, 2020 - July 21, 2020
San Francisco, CA</t>
      </text>
    </comment>
    <comment authorId="0" ref="GW10">
      <text>
        <t xml:space="preserve">Cordillera International Film Festival
July 23, 2020 - July 26, 2020
Reno, NV</t>
      </text>
    </comment>
    <comment authorId="0" ref="HR10">
      <text>
        <t xml:space="preserve">River's Edge International Film Festival 
August 13, 2020 - August 16, 2020
Paducah, KY</t>
      </text>
    </comment>
    <comment authorId="0" ref="IT10">
      <text>
        <t xml:space="preserve">Massachusettes Independent Film Festival, The 
September 10, 2020 - September 12, 2020
Arlington, MA</t>
      </text>
    </comment>
    <comment authorId="0" ref="JG10">
      <text>
        <t xml:space="preserve">Catalina Film Festival
September 23, 2020 - September 27, 2020
Los Angeles, CA</t>
      </text>
    </comment>
    <comment authorId="0" ref="JO10">
      <text>
        <t xml:space="preserve">Sioux City International Film Festival
October 1, 2020 - October 4, 2020
Sioux City, IA</t>
      </text>
    </comment>
    <comment authorId="0" ref="JZ10">
      <text>
        <t xml:space="preserve">Portland Film Festival 
October 12, 2020 - October 18, 2020
Portland, OR</t>
      </text>
    </comment>
    <comment authorId="0" ref="KI10">
      <text>
        <t xml:space="preserve">Indie Memphis Film Festival
October 21, 2020 - October 26, 2020
Memphis, TN</t>
      </text>
    </comment>
    <comment authorId="0" ref="KW10">
      <text>
        <t xml:space="preserve">Gold Coast International Film Festival
November 3, 2020 - November 11, 2020
Great Neck, NY</t>
      </text>
    </comment>
    <comment authorId="0" ref="AX11">
      <text>
        <t xml:space="preserve">Beaufort International Film Festival
February 18, 2020 - February 23, 2020
Beaufort, SC</t>
      </text>
    </comment>
    <comment authorId="0" ref="BG11">
      <text>
        <t xml:space="preserve">Magnolia Independent Film Festival
February 27, 2020 - February 29, 2020
Starkville, MS</t>
      </text>
    </comment>
    <comment authorId="0" ref="BM11">
      <text>
        <t xml:space="preserve">Durango Independent Film Festival
March 4, 2020 - March 8, 2020
Durango, CO</t>
      </text>
    </comment>
    <comment authorId="0" ref="BZ11">
      <text>
        <t xml:space="preserve">Oxford Film Festival 
March 18, 2020 - March 22, 2020
Oxford, MS</t>
      </text>
    </comment>
    <comment authorId="0" ref="CG11">
      <text>
        <t xml:space="preserve">Sonoma International Film Festival
March 25, 2020 - March 29, 2020
Sonoma, CA</t>
      </text>
    </comment>
    <comment authorId="0" ref="CN11">
      <text>
        <t xml:space="preserve">Beverly Hills Film Festival
April 1, 2020 - April 5, 2020
Beverly Hills, CA</t>
      </text>
    </comment>
    <comment authorId="0" ref="DD11">
      <text>
        <t xml:space="preserve">Olympia Film Festival
April 17, 2020 - April 25, 2020
Olympia, WA</t>
      </text>
    </comment>
    <comment authorId="0" ref="DP11">
      <text>
        <t xml:space="preserve">Bentonville Film Festival
April 29, 2020 - May 2, 2020
Bentonville, AR</t>
      </text>
    </comment>
    <comment authorId="0" ref="DX11">
      <text>
        <t xml:space="preserve">Greenpoint Film Festival
May 7, 2020 - May 10, 2020
Brooklyn, NY</t>
      </text>
    </comment>
    <comment authorId="0" ref="EF11">
      <text>
        <t xml:space="preserve">Rainier Independent Film Festival
May 15, 2020 - May 17, 2020
Rainier, WA</t>
      </text>
    </comment>
    <comment authorId="0" ref="ET11">
      <text>
        <t xml:space="preserve">Lake Arrowhead Film Festival
May 29, 2020 - May 31, 2020
Lake Arrowhead, CA</t>
      </text>
    </comment>
    <comment authorId="0" ref="EZ11">
      <text>
        <t xml:space="preserve">Oak Cliff Hill Film Festival
June 4, 2020 - June 7, 2020
Dallas, TX</t>
      </text>
    </comment>
    <comment authorId="0" ref="FG11">
      <text>
        <t xml:space="preserve">Vero Beach Wine + Film Festival
June 11, 2020 - June 14, 2020
Vero Beach, FL</t>
      </text>
    </comment>
    <comment authorId="0" ref="FN11">
      <text>
        <t xml:space="preserve">Covellite International Film Festival
June 18, 2020 - June 21, 2020
Butte, MT</t>
      </text>
    </comment>
    <comment authorId="0" ref="FV11">
      <text>
        <t xml:space="preserve">Pittsburgh Independent Film Festival
June 26, 2020 - June 28, 2020
McKees Rocks, PA</t>
      </text>
    </comment>
    <comment authorId="0" ref="GV11">
      <text>
        <t xml:space="preserve">Indie Street Film Festival
July 22, 2020 - July 26, 2020
Red Bank, NJ</t>
      </text>
    </comment>
    <comment authorId="0" ref="HR11">
      <text>
        <t xml:space="preserve">River’s Edge International Film Festival
August 13, 2020 - August 16, 2020
Paducah, KY</t>
      </text>
    </comment>
    <comment authorId="0" ref="IU11">
      <text>
        <t xml:space="preserve">Coney Island Film Festival
September 11, 2020 - September 13, 2020
Brooklyn, NY</t>
      </text>
    </comment>
    <comment authorId="0" ref="JG11">
      <text>
        <t xml:space="preserve">Charlotte Film Festival
September 23, 2020 - September 27, 2020
Charlotte , NC</t>
      </text>
    </comment>
    <comment authorId="0" ref="JO11">
      <text>
        <t xml:space="preserve">Shawna Shea Film Festival, The 
October 1, 2020 - October 3, 2020
Uxbridge, MA</t>
      </text>
    </comment>
    <comment authorId="0" ref="JV11">
      <text>
        <t xml:space="preserve">BendFilm Festival
October 8, 2020 - October 11, 2020
Bend, OR</t>
      </text>
    </comment>
    <comment authorId="0" ref="KA11">
      <text>
        <t xml:space="preserve">San Diego International Film Festival
October 13, 2020 - October 18, 2020
San Diego, CA</t>
      </text>
    </comment>
    <comment authorId="0" ref="KI11">
      <text>
        <t xml:space="preserve">Virginia Film Festival
October 21, 2020 - October 25, 2020
Charlottesville, VA</t>
      </text>
    </comment>
    <comment authorId="0" ref="KZ11">
      <text>
        <t xml:space="preserve">YoFiFest, The Yonkers Film Festival
November 6, 2020 - November 13, 2020
Yonkers, NY</t>
      </text>
    </comment>
    <comment authorId="0" ref="AZ12">
      <text>
        <t xml:space="preserve">Black Hills Film Festival
February 20, 2020 - February 25, 2020
Hill City, SD</t>
      </text>
    </comment>
    <comment authorId="0" ref="BH12">
      <text>
        <t xml:space="preserve">Destiny City Film Festival
February 28, 2020 - March 1, 2020
Tacoma, WA</t>
      </text>
    </comment>
    <comment authorId="0" ref="BM12">
      <text>
        <t xml:space="preserve">Las Cruces International Film Festival
March 4, 2020 - March 8, 2020
Las Cruces, NM</t>
      </text>
    </comment>
    <comment authorId="0" ref="BZ12">
      <text>
        <t xml:space="preserve">SOMA Film Festival
March 18, 2020 - March 22, 2020
Maplewood, NJ</t>
      </text>
    </comment>
    <comment authorId="0" ref="CG12">
      <text>
        <t xml:space="preserve">Garden State Film Festival
March 25, 2020 - March 28, 2020
Asbury Park, NJ</t>
      </text>
    </comment>
    <comment authorId="0" ref="CO12">
      <text>
        <t xml:space="preserve">Sleeping Giant Fest
April 2, 2020 - April 5, 2020
Jacksonville , FL</t>
      </text>
    </comment>
    <comment authorId="0" ref="DC12">
      <text>
        <t xml:space="preserve">Dallas International Film Festival
April 16, 2020 - April 23, 2020
Dallas, TX</t>
      </text>
    </comment>
    <comment authorId="0" ref="DL12">
      <text>
        <t xml:space="preserve">Sacramento International Film Festival
April 25, 2020 - May 3, 2020
Sacramento, CA</t>
      </text>
    </comment>
    <comment authorId="0" ref="DX12">
      <text>
        <t xml:space="preserve">Hill Country Film Festival
May 7, 2020 - May 10, 2020
Fredericksburg, TX</t>
      </text>
    </comment>
    <comment authorId="0" ref="EG12">
      <text>
        <t xml:space="preserve">Los Angeles Reel Film Festival
May 16, 2020 - May 17, 2020
Los Angeles, CA`</t>
      </text>
    </comment>
    <comment authorId="0" ref="EV12">
      <text>
        <t xml:space="preserve">Sunset Film Festival Los Angeles 
May 31, 2020 - May 31, 2020
Los Angeles, CA</t>
      </text>
    </comment>
    <comment authorId="0" ref="FG12">
      <text>
        <t xml:space="preserve">Rochester International Film Festival
June 11, 2020 - June 13, 2020
Rochester, NY</t>
      </text>
    </comment>
    <comment authorId="0" ref="FK12">
      <text>
        <t xml:space="preserve">Fort Worth Indie Film Showcase
June 15, 2020 - June 18, 2020
Fort Worth, TX</t>
      </text>
    </comment>
    <comment authorId="0" ref="FV12">
      <text>
        <t xml:space="preserve">Free Range Film Festival
June 26, 2020 - June 27, 2020
Wrenshall, MN</t>
      </text>
    </comment>
    <comment authorId="0" ref="GV12">
      <text>
        <t xml:space="preserve">Real to Reel International Film Festival
July 22, 2020 - July 25, 2020
Kings Mountain, NC</t>
      </text>
    </comment>
    <comment authorId="0" ref="HS12">
      <text>
        <t xml:space="preserve">Monmouth Film Festival
August 14, 2020 - August 16, 2020
Red Bank, NJ</t>
      </text>
    </comment>
    <comment authorId="0" ref="IU12">
      <text>
        <t xml:space="preserve">Northeast Film Festival
September 11, 2020 - September 13, 2020
Teaneck, NJ</t>
      </text>
    </comment>
    <comment authorId="0" ref="JG12">
      <text>
        <t xml:space="preserve">Footcandle Film Festival
September 23, 2020 - September 27, 2020
Hickory, NC</t>
      </text>
    </comment>
    <comment authorId="0" ref="JP12">
      <text>
        <t xml:space="preserve">Raleigh Film &amp; Art Festival
October 2, 2020 - October 4, 2020
Raleigh, NC</t>
      </text>
    </comment>
    <comment authorId="0" ref="JV12">
      <text>
        <t xml:space="preserve">Flyway Film Festival
October 8, 2020 - October 11, 2020
Pepin, WI</t>
      </text>
    </comment>
    <comment authorId="0" ref="KA12">
      <text>
        <t xml:space="preserve">Santa Cruz Film Festival
October 13, 2020 - October 18, 2020
Santa Cruz, CA</t>
      </text>
    </comment>
    <comment authorId="0" ref="KJ12">
      <text>
        <t xml:space="preserve">Washington West International Film Festival
October 22, 2020 - October 26, 2020
Reston, VA</t>
      </text>
    </comment>
    <comment authorId="0" ref="LA12">
      <text>
        <t xml:space="preserve">St. Cloud Film Festival
November 7, 2020 - November 14, 2020
St. Cloud, MN</t>
      </text>
    </comment>
    <comment authorId="0" ref="BB13">
      <text>
        <t xml:space="preserve">Southern City Film Festival
February 22, 2020 - February 25, 2020
Aiken, SC</t>
      </text>
    </comment>
    <comment authorId="0" ref="BN13">
      <text>
        <t xml:space="preserve">Boulder International Film Festival
March 5, 2020 - March 8, 2020
Boulder, CO</t>
      </text>
    </comment>
    <comment authorId="0" ref="BZ13">
      <text>
        <t xml:space="preserve">Sun Valley Film Festival
March 18, 2020 - March 22, 2020
Sun Valley, ID</t>
      </text>
    </comment>
    <comment authorId="0" ref="CH13">
      <text>
        <t xml:space="preserve">Annapolis Film Festival
March 26, 2020 - March 29, 2020
Annapolis, MD</t>
      </text>
    </comment>
    <comment authorId="0" ref="CP13">
      <text>
        <t xml:space="preserve">Cedar Rapids Independent Film Festival
April 3, 2020 - April 4, 2020
Cedar Rapids, IA</t>
      </text>
    </comment>
    <comment authorId="0" ref="DB13">
      <text>
        <t xml:space="preserve">Kansas City Film Fest
April 15, 2020 - April 19, 2020
Kansas City, MO</t>
      </text>
    </comment>
    <comment authorId="0" ref="DI13">
      <text>
        <t xml:space="preserve">Fort Myers Beach International Film Festival
April 22, 2020 - April 29, 2020
Fort Myers, FL</t>
      </text>
    </comment>
    <comment authorId="0" ref="DR13">
      <text>
        <t xml:space="preserve">Blackbird Film Festival
May 1, 2020 - May 3, 2020
Cortland, NY</t>
      </text>
    </comment>
    <comment authorId="0" ref="DY13">
      <text>
        <t xml:space="preserve">Longleaf Film Festival
May 8, 2020 - May 9, 2020
Raleigh, NC</t>
      </text>
    </comment>
    <comment authorId="0" ref="FF13">
      <text>
        <t xml:space="preserve">Malibu International Film Festival
June 10, 2020 - June 11, 2020
Malibou, CA</t>
      </text>
    </comment>
    <comment authorId="0" ref="FI13">
      <text>
        <t xml:space="preserve">Smoky Mountains Film Festival
June 13, 2020 - June 13, 2020
Gatlinburg, TN</t>
      </text>
    </comment>
    <comment authorId="0" ref="IU13">
      <text>
        <t xml:space="preserve">Monarch Film Festival
September 11, 2020 - September 12, 2020
Pacific Grove`, CA</t>
      </text>
    </comment>
    <comment authorId="0" ref="JG13">
      <text>
        <t xml:space="preserve">Urbanworld Film Festival
September 23, 2020 - September 27, 2020
New York, NY</t>
      </text>
    </comment>
    <comment authorId="0" ref="JP13">
      <text>
        <t xml:space="preserve">Lake Charles Film &amp; Music Festival
October 2, 2020 - October 3, 2020
Lake Charles, LA</t>
      </text>
    </comment>
    <comment authorId="0" ref="JV13">
      <text>
        <t xml:space="preserve">Hamptons International Film Festival
October 8, 2020 - October 12, 2020
East Hampton, NY</t>
      </text>
    </comment>
    <comment authorId="0" ref="KB13">
      <text>
        <t xml:space="preserve">Santa Fe Independent Film Festival
October 14, 2020 - October 18, 2020
Santa Fe, NM</t>
      </text>
    </comment>
    <comment authorId="0" ref="KI13">
      <text>
        <t xml:space="preserve">NiFF Houston International Film Festival
October 21, 2020 - October 24, 2020
Houston, TX</t>
      </text>
    </comment>
    <comment authorId="0" ref="KZ13">
      <text>
        <t xml:space="preserve">Kansas International Film Festival
November 6, 2020 - November 12, 2020
Overland Park, KS</t>
      </text>
    </comment>
    <comment authorId="0" ref="BA14">
      <text>
        <t xml:space="preserve">Cinema at the Edge Independent Film Festival (CATE)
February 21, 2020 - February 23, 2020
Santa Monica, CA</t>
      </text>
    </comment>
    <comment authorId="0" ref="BN14">
      <text>
        <t xml:space="preserve">George Lindsey UNA Film Festival
March 5, 2020 - March 7, 2020
Florence, AL</t>
      </text>
    </comment>
    <comment authorId="0" ref="CE14">
      <text>
        <t xml:space="preserve">New York City International Film Festival
March 23, 2020 - March 27, 2020
New York, NY</t>
      </text>
    </comment>
    <comment authorId="0" ref="CR14">
      <text>
        <t xml:space="preserve">Davis Film Festival
April 5, 2020 - April 5, 2020
Davis, CA</t>
      </text>
    </comment>
    <comment authorId="0" ref="DB14">
      <text>
        <t xml:space="preserve">Tallahassee Film Festival
April 15, 2020 - April 19, 2020
Tallahassee, FL</t>
      </text>
    </comment>
    <comment authorId="0" ref="DI14">
      <text>
        <t xml:space="preserve">Independent Film Festival of Boston
April 22, 2020 - April 29, 2020
Boston, MA</t>
      </text>
    </comment>
    <comment authorId="0" ref="DR14">
      <text>
        <t xml:space="preserve">West Sound Film Festival
May 1, 2020 - May 3, 2020
Bremerton, WA</t>
      </text>
    </comment>
    <comment authorId="0" ref="JH14">
      <text>
        <t xml:space="preserve">Crested Butte Film Festival
September 24, 2020 - September 27, 2020
Crested Butte, CO</t>
      </text>
    </comment>
    <comment authorId="0" ref="JV14">
      <text>
        <t xml:space="preserve">Orcas Island Film Festival 
October 8, 2020 - October 12, 2020
Eastsound, WA</t>
      </text>
    </comment>
    <comment authorId="0" ref="KB14">
      <text>
        <t xml:space="preserve">Tallgrass Film Festival
October 14, 2020 - October 18, 2020
Wichita, KS</t>
      </text>
    </comment>
    <comment authorId="0" ref="KJ14">
      <text>
        <t xml:space="preserve">Food Film Festival, The
October 22, 2020 - October 25, 2020
New York, NY</t>
      </text>
    </comment>
    <comment authorId="0" ref="KZ14">
      <text>
        <t xml:space="preserve">Studio City Film Festival
November 6, 2020 - November 12, 2020
Los Angeles, CA</t>
      </text>
    </comment>
    <comment authorId="0" ref="BB15">
      <text>
        <t xml:space="preserve">Front Range Film Festival
February 22, 2020 - February 22, 2020
Longmont, CO</t>
      </text>
    </comment>
    <comment authorId="0" ref="BO15">
      <text>
        <t xml:space="preserve">Red Dirt Film Festival
March 6, 2020 - March 8, 2020
Stillwater, OK</t>
      </text>
    </comment>
    <comment authorId="0" ref="CA15">
      <text>
        <t xml:space="preserve">Martha's Vinyard Film Festival
March 19, 2020 - March 22, 2020
Chillmark, MA</t>
      </text>
    </comment>
    <comment authorId="0" ref="CH15">
      <text>
        <t xml:space="preserve">Indie Grits 
March 26, 2020 - March 29, 2020
Columbia, SC</t>
      </text>
    </comment>
    <comment authorId="0" ref="DC15">
      <text>
        <t xml:space="preserve">Boston International Film Festival
April 16, 2020 - April 21, 2020
Boston, MA</t>
      </text>
    </comment>
    <comment authorId="0" ref="DJ15">
      <text>
        <t xml:space="preserve">Newport Beach Film Festival
April 23, 2020 - April 30, 2020
Newport Beach, CA</t>
      </text>
    </comment>
    <comment authorId="0" ref="JH15">
      <text>
        <t xml:space="preserve">Gig Harbor Film Festival
September 24, 2020 - September 27, 2020
Gig Harbor, WA</t>
      </text>
    </comment>
    <comment authorId="0" ref="JV15">
      <text>
        <t xml:space="preserve">Montana Film Festival
October 8, 2020 - October 11, 2020
Missoula, MT</t>
      </text>
    </comment>
    <comment authorId="0" ref="KA15">
      <text>
        <t xml:space="preserve">SENE Film Festival
October 13, 2020 - October 17, 2020
Chepachet, RI</t>
      </text>
    </comment>
    <comment authorId="0" ref="KJ15">
      <text>
        <t xml:space="preserve">Indie Fest USA International Film Festival
October 22, 2020 - October 25, 2020
Garden Grove, CA</t>
      </text>
    </comment>
    <comment authorId="0" ref="KX15">
      <text>
        <t xml:space="preserve">Lone Star Film Festival
November 4, 2020 - November 8, 2020
Fort Worth, TX</t>
      </text>
    </comment>
    <comment authorId="0" ref="LE15">
      <text>
        <t xml:space="preserve">Big Apple Film Festival
November 11, 2020 - November 15, 2020
New York, NY</t>
      </text>
    </comment>
    <comment authorId="0" ref="BO16">
      <text>
        <t xml:space="preserve">South Georgia Film Festival
March 6, 2020 - March 8, 2020
Valdosta, GA</t>
      </text>
    </comment>
    <comment authorId="0" ref="CA16">
      <text>
        <t xml:space="preserve">Treasure Coast International Film Festival
March 19, 2020 - March 22, 2020
Fort Pierce, FL</t>
      </text>
    </comment>
    <comment authorId="0" ref="CH16">
      <text>
        <t xml:space="preserve">Trenton Film Festival
March 26, 2020 - March 29, 2020
Trenton, NJ</t>
      </text>
    </comment>
    <comment authorId="0" ref="DD16">
      <text>
        <t xml:space="preserve">Tiburon International Film Festival
April 17, 2020 - April 23, 2020
Tiburon, CA</t>
      </text>
    </comment>
    <comment authorId="0" ref="DQ16">
      <text>
        <t xml:space="preserve">Greenwich International Film Festival
April 30, 2020 - May 3, 2020
Greenwich, CT</t>
      </text>
    </comment>
    <comment authorId="0" ref="JH16">
      <text>
        <t xml:space="preserve">Hell's Half Mile Film &amp; Music Festival
September 24, 2020 - September 27, 2020
Bay City, MI</t>
      </text>
    </comment>
    <comment authorId="0" ref="JW16">
      <text>
        <t xml:space="preserve">Hobnobben Film Festival
October 9, 2020 - October 11, 2020
Fort Wayne, IN</t>
      </text>
    </comment>
    <comment authorId="0" ref="KC16">
      <text>
        <t xml:space="preserve">Adirondack Film Festival
October 15, 2020 - October 18, 2020
Glen Falls, NY</t>
      </text>
    </comment>
    <comment authorId="0" ref="KJ16">
      <text>
        <t xml:space="preserve">Naples International Film Festival
October 22, 2020 - October 25, 2020
Naples, FL</t>
      </text>
    </comment>
    <comment authorId="0" ref="KX16">
      <text>
        <t xml:space="preserve">Big Water Film Festival
November 4, 2020 - November 7, 2020
Ashland, WI</t>
      </text>
    </comment>
    <comment authorId="0" ref="LE16">
      <text>
        <t xml:space="preserve">Napa Valley Film Festival
November 11, 2020 - November 15, 2020
Napa Valley, CA</t>
      </text>
    </comment>
    <comment authorId="0" ref="BP17">
      <text>
        <t xml:space="preserve">Irvine International Film Festival
March 7, 2020 - March 7, 2020
Irvine, CA</t>
      </text>
    </comment>
    <comment authorId="0" ref="CH17">
      <text>
        <t xml:space="preserve">Vail Film Festival
March 26, 2020 - March 29, 2020
Vail, CO</t>
      </text>
    </comment>
    <comment authorId="0" ref="DC17">
      <text>
        <t xml:space="preserve">Chattanooga Film Festival
April 16, 2020 - April 19, 2020
Chattanooga, TN</t>
      </text>
    </comment>
    <comment authorId="0" ref="DH17">
      <text>
        <t xml:space="preserve">Bare Bones International Film &amp; Music Festival
April 21, 2020 - April 26, 2020
Muskogee, OK</t>
      </text>
    </comment>
    <comment authorId="0" ref="DQ17">
      <text>
        <t xml:space="preserve">Boomtown Film &amp; Music Festival
April 30, 2020 - May 2, 2020
Beaumont, TX</t>
      </text>
    </comment>
    <comment authorId="0" ref="JH17">
      <text>
        <t xml:space="preserve">Port Townsend Film Festival
September 24, 2020 - September 27, 2020
Port Townsend, WA</t>
      </text>
    </comment>
    <comment authorId="0" ref="JW17">
      <text>
        <t xml:space="preserve">Indigo Moon Film Festival
October 9, 2020 - October 11, 2020
Fayetteville, NC</t>
      </text>
    </comment>
    <comment authorId="0" ref="KC17">
      <text>
        <t xml:space="preserve">Bushwick Film Festival
October 15, 2020 - October 18, 2020
Brooklyn, NY</t>
      </text>
    </comment>
    <comment authorId="0" ref="KJ17">
      <text>
        <t xml:space="preserve">Eastern Oregon Film Festival
October 22, 2020 - October 24, 2020
La Grande, OR</t>
      </text>
    </comment>
    <comment authorId="0" ref="KX17">
      <text>
        <t xml:space="preserve">Red Rock Film Festival - Utah
November 4, 2020 - November 7, 2020
Festival City, UT</t>
      </text>
    </comment>
    <comment authorId="0" ref="LE17">
      <text>
        <t xml:space="preserve">Weyauwega International Film Festival
November 11, 2020 - November 14, 2020
Weyauwega, WI</t>
      </text>
    </comment>
    <comment authorId="0" ref="CH18">
      <text>
        <t xml:space="preserve">Adventure Film Festival
March 26, 2020 - March 28, 2020
Boulder, CO</t>
      </text>
    </comment>
    <comment authorId="0" ref="DC18">
      <text>
        <t xml:space="preserve">Victoria TX Independent Film Festival, The 
April 16, 2020 - April 19, 2020
Victoria, TX</t>
      </text>
    </comment>
    <comment authorId="0" ref="DH18">
      <text>
        <t xml:space="preserve">Richmond International Film Festival
April 21, 2020 - April 26, 2020
Richmond, VA</t>
      </text>
    </comment>
    <comment authorId="0" ref="DQ18">
      <text>
        <t xml:space="preserve">River Bend Film Festival
April 30, 2020 - May 2, 2020
Goshen, IN</t>
      </text>
    </comment>
    <comment authorId="0" ref="JH18">
      <text>
        <t xml:space="preserve">Flatland Film Festival
September 24, 2020 - September 26, 2020
Lubbock, TX</t>
      </text>
    </comment>
    <comment authorId="0" ref="JW18">
      <text>
        <t xml:space="preserve">Tri-Cities International Film Festival
October 9, 2020 - October 11, 2020
Richland, WA</t>
      </text>
    </comment>
    <comment authorId="0" ref="KC18">
      <text>
        <t xml:space="preserve">Chelsea Film Festival
October 15, 2020 - October 18, 2020
New York, NY</t>
      </text>
    </comment>
    <comment authorId="0" ref="KY18">
      <text>
        <t xml:space="preserve">Arlington International Film Festival
November 5, 2020 - November 8, 2020
Watertown, MA</t>
      </text>
    </comment>
    <comment authorId="0" ref="LF18">
      <text>
        <t xml:space="preserve">Fairhope Film Festival
November 12, 2020 - November 15, 2020
Fairhope, AL</t>
      </text>
    </comment>
    <comment authorId="0" ref="CH19">
      <text>
        <t xml:space="preserve">FilmFort
March 26, 2020 - March 28, 2020
Boise, ID</t>
      </text>
    </comment>
    <comment authorId="0" ref="DC19">
      <text>
        <t xml:space="preserve">Ashland Independent Film Festival
April 16, 2020 - April 20, 2020
Ashland, OR</t>
      </text>
    </comment>
    <comment authorId="0" ref="DI19">
      <text>
        <t xml:space="preserve">Julien Dubuque International Film Festival 
April 22, 2020 - April 26, 2020
Dubuque, IA</t>
      </text>
    </comment>
    <comment authorId="0" ref="DQ19">
      <text>
        <t xml:space="preserve">Twister Alley Film Festival
April 30, 2020 - May 2, 2020
Woodward, OK</t>
      </text>
    </comment>
    <comment authorId="0" ref="JI19">
      <text>
        <t xml:space="preserve">Revolution Me Film Festival
September 25, 2020 - September 27, 2020
New York, NY</t>
      </text>
    </comment>
    <comment authorId="0" ref="KC19">
      <text>
        <t xml:space="preserve">Fargo Fantastic Film Festival
October 15, 2020 - October 18, 2020
Fargo, ND</t>
      </text>
    </comment>
    <comment authorId="0" ref="KY19">
      <text>
        <t xml:space="preserve">Crossroads Film Festival
November 5, 2020 - November 8, 2020
Madison, MS</t>
      </text>
    </comment>
    <comment authorId="0" ref="LF19">
      <text>
        <t xml:space="preserve">Rome International Film Festival
November 12, 2020 - November 15, 2020
Rome, GA</t>
      </text>
    </comment>
    <comment authorId="0" ref="CI20">
      <text>
        <t xml:space="preserve">Big Easy International Film Festival
March 27, 2020 - March 29, 2020
New Orleans, LA</t>
      </text>
    </comment>
    <comment authorId="0" ref="DC20">
      <text>
        <t xml:space="preserve">Tupelo Film Festival
April 16, 2020 - April 18, 2020
Tupelo, MS</t>
      </text>
    </comment>
    <comment authorId="0" ref="DH20">
      <text>
        <t xml:space="preserve">Myrtle Beach International Film Festival
April 21, 2020 - April 25, 2020
Myrtle Beach, SC</t>
      </text>
    </comment>
    <comment authorId="0" ref="DP20">
      <text>
        <t xml:space="preserve">Ridgewood Guild International Film Festival, The 
April 29, 2020 - April 30, 2020
Ridgewood, NJ</t>
      </text>
    </comment>
    <comment authorId="0" ref="KC20">
      <text>
        <t xml:space="preserve">Middleburg Film Festival
October 15, 2020 - October 18, 2020
Middleburg, VA</t>
      </text>
    </comment>
    <comment authorId="0" ref="KY20">
      <text>
        <t xml:space="preserve">San Pedro International Film Festival
November 5, 2020 - November 8, 2020
San Pedro, CA</t>
      </text>
    </comment>
    <comment authorId="0" ref="LF20">
      <text>
        <t xml:space="preserve">Sherman Oaks Film Festival
November 12, 2020 - November 15, 2020
Sherman Oaks, CA</t>
      </text>
    </comment>
    <comment authorId="0" ref="CI21">
      <text>
        <t xml:space="preserve">Global Cinema Film Festival of Boston
March 27, 2020 - March 29, 2020
Belmont, MA</t>
      </text>
    </comment>
    <comment authorId="0" ref="DD21">
      <text>
        <t xml:space="preserve">Columbus International Film &amp; Video Festival
April 17, 2020 - April 18, 2020
Columbus, OH</t>
      </text>
    </comment>
    <comment authorId="0" ref="DI21">
      <text>
        <t xml:space="preserve">USA Film Festival
April 22, 2020 - April 26, 2020
Dallas, TX</t>
      </text>
    </comment>
    <comment authorId="0" ref="KC21">
      <text>
        <t xml:space="preserve">New Hampshire Film Festival 
October 15, 2020 - October 18, 2020
Portsmouth, NH</t>
      </text>
    </comment>
    <comment authorId="0" ref="KY21">
      <text>
        <t xml:space="preserve">Fayetteville Film Festival
November 5, 2020 - November 7, 2020
Fayetteville, AR</t>
      </text>
    </comment>
    <comment authorId="0" ref="LF21">
      <text>
        <t xml:space="preserve">Southern Screen Festival
November 12, 2020 - November 15, 2020
Lafayette, LA</t>
      </text>
    </comment>
    <comment authorId="0" ref="CI22">
      <text>
        <t xml:space="preserve">Maryland International Film Festival
March 27, 2020 - March 29, 2020
Hagerstown, MD</t>
      </text>
    </comment>
    <comment authorId="0" ref="DK22">
      <text>
        <t xml:space="preserve">Monadnock International Film Festival
April 24, 2020 - April 26, 2020
Keene, NH</t>
      </text>
    </comment>
    <comment authorId="0" ref="KC22">
      <text>
        <t xml:space="preserve">Ridgefield Independent Film Festival
October 15, 2020 - October 18, 2020
Ridgefield, CT</t>
      </text>
    </comment>
    <comment authorId="0" ref="KY22">
      <text>
        <t xml:space="preserve">Louisville's International Festival of Films
November 5, 2020 - November 7, 2020
Louisville, KY</t>
      </text>
    </comment>
    <comment authorId="0" ref="LF22">
      <text>
        <t xml:space="preserve">Teaneck International Film Festival
November 12, 2020 - November 15, 2020
Teaneck, NJ</t>
      </text>
    </comment>
    <comment authorId="0" ref="KC23">
      <text>
        <t xml:space="preserve">Artists Forum Festival of the Moving Image, The
October 15, 2020 - October 17, 2020
New York, NY</t>
      </text>
    </comment>
    <comment authorId="0" ref="KG23">
      <text>
        <t xml:space="preserve">Greenwich Village Film Festival
October 19, 2020 - October 21, 2020
New York, NY</t>
      </text>
    </comment>
    <comment authorId="0" ref="KZ23">
      <text>
        <t xml:space="preserve">Golden Gate International Film Festival
November 6, 2020 - November 8, 2020
San Jose, CA</t>
      </text>
    </comment>
    <comment authorId="0" ref="KD24">
      <text>
        <t xml:space="preserve">Sunscreen Film Fest West
October 16, 2020 - October 17, 2020
Manhattan Beach, CA</t>
      </text>
    </comment>
    <comment authorId="0" ref="KZ24">
      <text>
        <t xml:space="preserve">Southeastern International Film Festival
November 6, 2020 - November 8, 2020
Nashville, TN</t>
      </text>
    </comment>
    <comment authorId="0" ref="KZ25">
      <text>
        <t xml:space="preserve">Billy The Kid Film Festival
November 6, 2020 - November 7, 2020
Hico, TX</t>
      </text>
    </comment>
    <comment authorId="0" ref="KZ26">
      <text>
        <t xml:space="preserve">Twin Falls Sandwiches Film Festival
November 6, 2020 - November 7, 2020
Twin Falls, ID</t>
      </text>
    </comment>
    <comment authorId="0" ref="LB27">
      <text>
        <t xml:space="preserve">Blow-Up Arthouse Film Festival
November 8, 2020 - November 9, 2020
Chicago, IL</t>
      </text>
    </comment>
  </commentList>
</comments>
</file>

<file path=xl/comments2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">
      <text>
        <t xml:space="preserve">Explorer's Club Polar Film Festival
January 23, 2020 - January 25, 2020
New York, NY</t>
      </text>
    </comment>
    <comment authorId="0" ref="AI3">
      <text>
        <t xml:space="preserve">Butch Cassidy Film Festival
February 3, 2020 - February 8, 2020
Helper, UT</t>
      </text>
    </comment>
    <comment authorId="0" ref="AT3">
      <text>
        <t xml:space="preserve">Common Good International Film Festival
February 14, 2020 - February 17, 2020
Claremont, CA</t>
      </text>
    </comment>
    <comment authorId="0" ref="BB3">
      <text>
        <t xml:space="preserve">United States Super 8 Film and Digital Video Festival
February 22, 2020 - February 23, 2020
New Brunswick, NJ</t>
      </text>
    </comment>
    <comment authorId="0" ref="BG3">
      <text>
        <t xml:space="preserve">OgeeChee International History Film Festival
February 27, 2020 - February 29, 2020
Statesboro, GA</t>
      </text>
    </comment>
    <comment authorId="0" ref="BT3">
      <text>
        <t xml:space="preserve">Onion City Experimental Film + Video Festival
March 12, 2020 - March 15, 2020
Chicago, IL</t>
      </text>
    </comment>
    <comment authorId="0" ref="CB3">
      <text>
        <t xml:space="preserve">Method Fest Independent Film Festival, The 
March 20, 2020 - March 26, 2020
Los Angeles, CA</t>
      </text>
    </comment>
    <comment authorId="0" ref="CJ3">
      <text>
        <t xml:space="preserve">Sound of Silent Film Festival
March 28, 2020 - March 28, 2020
Chicago, IL</t>
      </text>
    </comment>
    <comment authorId="0" ref="CP3">
      <text>
        <t xml:space="preserve">Universe Multicultural Film Festival
April 3, 2020 - April 5, 2020
Palos Verdes Peninsula, CA</t>
      </text>
    </comment>
    <comment authorId="0" ref="DA3">
      <text>
        <t xml:space="preserve">Deaf Rochester Film Festival
April 14, 2020 - April 18, 2020
Rochester, NY</t>
      </text>
    </comment>
    <comment authorId="0" ref="DK3">
      <text>
        <t xml:space="preserve">Reel Work labor Film Festival
April 24, 2020 - May 3, 2020
Santa Cruz, CA</t>
      </text>
    </comment>
    <comment authorId="0" ref="DY3">
      <text>
        <t xml:space="preserve">Workers Unite Film Festival, The 
May 8, 2020 - May 23, 2020
New York, NY</t>
      </text>
    </comment>
    <comment authorId="0" ref="ET3">
      <text>
        <t xml:space="preserve">Fine Arts Film Festival, The 
May 29, 2020 - May 30, 2020
Los Angeles, CA</t>
      </text>
    </comment>
    <comment authorId="0" ref="EY3">
      <text>
        <t xml:space="preserve">New Media Film Festival
June 3, 2020 - June 4, 2020
Los Angeles, CA</t>
      </text>
    </comment>
    <comment authorId="0" ref="FE3">
      <text>
        <t xml:space="preserve">Kicking + Screaming Soccer Film Festival
June 9, 2020 - June 12, 2020
New York, NY</t>
      </text>
    </comment>
    <comment authorId="0" ref="FL3">
      <text>
        <t xml:space="preserve">Bicycle Film Festival
June 16, 2020 - June 21, 2020
New York, NY</t>
      </text>
    </comment>
    <comment authorId="0" ref="FU3">
      <text>
        <t xml:space="preserve">RomCom Fest
June 25, 2020 - June 28, 2020
Los Angeles, CA</t>
      </text>
    </comment>
    <comment authorId="0" ref="GM3">
      <text>
        <t xml:space="preserve">Antham Libertarian Film Festival
July 13, 2020 - July 16, 2020
Irvington, NY</t>
      </text>
    </comment>
    <comment authorId="0" ref="GR3">
      <text>
        <t xml:space="preserve">Say It Loud Film Festival
July 18, 2020 - July 18, 2020
Baltimore, MD</t>
      </text>
    </comment>
    <comment authorId="0" ref="GW3">
      <text>
        <t xml:space="preserve">Action On Film Festival
July 23, 2020 - August 2, 2020
Las Vegas, NV</t>
      </text>
    </comment>
    <comment authorId="0" ref="IE3">
      <text>
        <t xml:space="preserve">Los Angeles Diversity Film Festival
August 26, 2020 - August 29, 2020
West Hollywood, CA</t>
      </text>
    </comment>
    <comment authorId="0" ref="JH3">
      <text>
        <t xml:space="preserve">GI Film Festival San Diego
September 24, 2020 - September 29, 2020
San Diego, CA</t>
      </text>
    </comment>
    <comment authorId="0" ref="JO3">
      <text>
        <t xml:space="preserve">Cinema Touching Disability
October 1, 2020 - October 31, 2020
Austin, TX</t>
      </text>
    </comment>
    <comment authorId="0" ref="LA3">
      <text>
        <t xml:space="preserve">San Francisco Veterans Film Festival
November 7, 2020 - November 8, 2020
San Francisco, CA</t>
      </text>
    </comment>
    <comment authorId="0" ref="LE3">
      <text>
        <t xml:space="preserve">Sound Unseen
November 11, 2020 - November 15, 2020
Minneapolis, MN</t>
      </text>
    </comment>
    <comment authorId="0" ref="LL3">
      <text>
        <t xml:space="preserve">Society for Visual Anthropology Film and Media Festival
November 18, 2020 - November 21, 2020
Vancouver, BC</t>
      </text>
    </comment>
    <comment authorId="0" ref="MH3">
      <text>
        <t xml:space="preserve">Nihilist International Film Festival, The
December 10, 2020 - December 18, 2020
Los Angeles, CA</t>
      </text>
    </comment>
    <comment authorId="0" ref="AL4">
      <text>
        <t xml:space="preserve">Cambria Film Festival
February 6, 2020 - February 9, 2020
Cambria, CA</t>
      </text>
    </comment>
    <comment authorId="0" ref="BW4">
      <text>
        <t xml:space="preserve">Light Field
March 15, 2020 - March 20, 2020
San Francisco, CA</t>
      </text>
    </comment>
    <comment authorId="0" ref="CI4">
      <text>
        <t xml:space="preserve">Speechless Film Festival
March 27, 2020 - March 28, 2020
Mankato, MN</t>
      </text>
    </comment>
    <comment authorId="0" ref="DB4">
      <text>
        <t xml:space="preserve">Ebert Fest
April 15, 2020 - April 18, 2020
Champaign, IL</t>
      </text>
    </comment>
    <comment authorId="0" ref="DR4">
      <text>
        <t xml:space="preserve">Life Fest Film Festival
May 1, 2020 - May 3, 2020
Los Angeles, CA</t>
      </text>
    </comment>
    <comment authorId="0" ref="DX4">
      <text>
        <t xml:space="preserve">San Diego Surf Film Festival
May 7, 2020 - May 9, 2020
San Diego, CA</t>
      </text>
    </comment>
    <comment authorId="0" ref="ED4">
      <text>
        <t xml:space="preserve">Archaeology Channel International Film Festival, The
May 13, 2020 - May 17, 2020
Eugene, OR</t>
      </text>
    </comment>
    <comment authorId="0" ref="EM4">
      <text>
        <t xml:space="preserve">Comicpalooza
May 22, 2020 - May 24, 2020
Houston, TX</t>
      </text>
    </comment>
    <comment authorId="0" ref="GX4">
      <text>
        <t xml:space="preserve">La Jolla International Fashion Film Festival
July 24, 2020 - July 25, 2020
San Diego, CA</t>
      </text>
    </comment>
    <comment authorId="0" ref="HB4">
      <text>
        <t xml:space="preserve">Whistleblower Summit &amp; Film Festival 
July 28, 2020 - August 1, 2020
Washington , DC</t>
      </text>
    </comment>
    <comment authorId="0" ref="JH4">
      <text>
        <t xml:space="preserve">Women Sports Film Festival
September 24, 2020 - September 26, 2020
San Francisco, CA</t>
      </text>
    </comment>
    <comment authorId="0" ref="JP4">
      <text>
        <t xml:space="preserve">Wild Bunch Film Festival, The 
October 2, 2020 - October 4, 2020
Wilcox, AZ</t>
      </text>
    </comment>
    <comment authorId="0" ref="JV4">
      <text>
        <t xml:space="preserve">Double Exposure Film Festival
October 8, 2020 - October 11, 2020
Washington, DC, DC</t>
      </text>
    </comment>
    <comment authorId="0" ref="KD4">
      <text>
        <t xml:space="preserve">Reel Recovery Film Festival &amp; Symposium
October 16, 2020 - October 22, 2020
Los Angeles, CA</t>
      </text>
    </comment>
    <comment authorId="0" ref="KN4">
      <text>
        <t xml:space="preserve">San Francisco International New Concept Film Festival
October 26, 2020 - November 1, 2020
San Bruno, CA</t>
      </text>
    </comment>
    <comment authorId="0" ref="LN4">
      <text>
        <t xml:space="preserve">Carrboro Film Fest
November 20, 2020 - November 22, 2020
Carrboro, NC</t>
      </text>
    </comment>
    <comment authorId="0" ref="MH4">
      <text>
        <t xml:space="preserve">InterFaith Film &amp; Music Festival
December 10, 2020 - December 13, 2020
New York, NY</t>
      </text>
    </comment>
    <comment authorId="0" ref="BZ5">
      <text>
        <t xml:space="preserve">SR Socially Relevant Film Festival
March 18, 2020 - March 22, 2020
New York, NY</t>
      </text>
    </comment>
    <comment authorId="0" ref="EH5">
      <text>
        <t xml:space="preserve">Reel Minds: Miami Mental Health Film Festival
May 17, 2020 - May 17, 2020
Miami, FL</t>
      </text>
    </comment>
    <comment authorId="0" ref="JI5">
      <text>
        <t xml:space="preserve">International Maritime Film Festival
September 25, 2020 - September 27, 2020
Bucksport , ME</t>
      </text>
    </comment>
    <comment authorId="0" ref="JQ5">
      <text>
        <t xml:space="preserve">New York City Mental Health Film Festival
October 3, 2020 - October 3, 2020
New York, NY</t>
      </text>
    </comment>
    <comment authorId="0" ref="JW5">
      <text>
        <t xml:space="preserve">F3: Frankly Film Fest
October 9, 2020 - October 10, 2020
Piqua, OH</t>
      </text>
    </comment>
    <comment authorId="0" ref="KD5">
      <text>
        <t xml:space="preserve">Best Actors Film Festival
October 16, 2020 - October 17, 2020
San Francisco, CA</t>
      </text>
    </comment>
    <comment authorId="0" ref="KC6">
      <text>
        <t xml:space="preserve">Fashion Film Festival of Chicago
October 15, 2020 - October 15, 2020
Chicago, IL</t>
      </text>
    </comment>
    <comment authorId="0" ref="KE6">
      <text>
        <t xml:space="preserve">Superfest International Disability Film Festival
October 17, 2020 - October 18, 2020
San Francisco, CA</t>
      </text>
    </comment>
  </commentList>
</comments>
</file>

<file path=xl/comments2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3">
      <text>
        <t xml:space="preserve">Wild &amp; Scenic Film Festival
January 16, 2020 - January 20, 2020
Nevada City, CA</t>
      </text>
    </comment>
    <comment authorId="0" ref="AO3">
      <text>
        <t xml:space="preserve">RVA Environmental Film Festival
February 9, 2020 - February 9, 2020
Richmond, VA</t>
      </text>
    </comment>
    <comment authorId="0" ref="AS3">
      <text>
        <t xml:space="preserve">Cinema Verde Environmental Film &amp; Arts Festival
February 13, 2020 - February 16, 2020
Gainsville, FL</t>
      </text>
    </comment>
    <comment authorId="0" ref="AZ3">
      <text>
        <t xml:space="preserve">Colorado Environmental Film Festival
February 20, 2020 - February 22, 2020
Golden, CO</t>
      </text>
    </comment>
    <comment authorId="0" ref="BG3">
      <text>
        <t xml:space="preserve">New York WILD Film Festival
February 27, 2020 - March 1, 2020
New York, NY</t>
      </text>
    </comment>
    <comment authorId="0" ref="BP3">
      <text>
        <t xml:space="preserve">Les Bois Film Festival
March 7, 2020 - March 7, 2020
Boise, ID</t>
      </text>
    </comment>
    <comment authorId="0" ref="BT3">
      <text>
        <t xml:space="preserve">Environmental Film Festival in the Nation's Capital
March 12, 2020 - March 22, 2020
Washington, D.C, DC</t>
      </text>
    </comment>
    <comment authorId="0" ref="CF3">
      <text>
        <t xml:space="preserve">American Conservation Film Festival
March 24, 2020 - March 28, 2020
Shepherdstown, WV</t>
      </text>
    </comment>
    <comment authorId="0" ref="CN3">
      <text>
        <t xml:space="preserve">Philadelphia Environmental Film Festival
April 1, 2020 - April 5, 2020
Philadelphia, PA</t>
      </text>
    </comment>
    <comment authorId="0" ref="DE3">
      <text>
        <t xml:space="preserve">International Wildlife Film Festival
April 18, 2020 - April 25, 2020
Missoula, MT</t>
      </text>
    </comment>
    <comment authorId="0" ref="EM3">
      <text>
        <t xml:space="preserve">Mountainfilm
May 22, 2020 - May 25, 2020
Telluride, CO</t>
      </text>
    </comment>
    <comment authorId="0" ref="HE3">
      <text>
        <t xml:space="preserve">Maine Outdoor Film Festival
July 31, 2020 - August 2, 2020
Portland, ME</t>
      </text>
    </comment>
    <comment authorId="0" ref="IT3">
      <text>
        <t xml:space="preserve">San Francisco Green Film Festival
September 10, 2020 - September 20, 2020
San Francisco, CA</t>
      </text>
    </comment>
    <comment authorId="0" ref="JH3">
      <text>
        <t xml:space="preserve">Portland Eco Film Festival
September 24, 2020 - September 27, 2020
Portland, OR</t>
      </text>
    </comment>
    <comment authorId="0" ref="KC3">
      <text>
        <t xml:space="preserve">Wildlife Conservation Film Festival
October 15, 2020 - October 25, 2020
New York, NY</t>
      </text>
    </comment>
    <comment authorId="0" ref="Q4">
      <text>
        <t xml:space="preserve">Lookout Wild Film Festival
January 16, 2020 - January 19, 2020
Chattanooga, TN</t>
      </text>
    </comment>
    <comment authorId="0" ref="AZ4">
      <text>
        <t xml:space="preserve">Downstream Film Festival
February 20, 2020 - February 22, 2020
Northfield, MN</t>
      </text>
    </comment>
    <comment authorId="0" ref="BT4">
      <text>
        <t xml:space="preserve">Earth Day Film Festival, The 
March 12, 2020 - March 15, 2020
Chico, CA</t>
      </text>
    </comment>
    <comment authorId="0" ref="CE4">
      <text>
        <t xml:space="preserve">Wasatch Mountain Film Festival
March 23, 2020 - March 28, 2020
Salt Lake City, UT</t>
      </text>
    </comment>
    <comment authorId="0" ref="CZ4">
      <text>
        <t xml:space="preserve">Princeton Environmental Film Festival
April 13, 2020 - April 19, 2020
Princeton, NJ</t>
      </text>
    </comment>
    <comment authorId="0" ref="DK4">
      <text>
        <t xml:space="preserve">5Point Adventure Film Festival
April 24, 2020 - April 26, 2020
Carbondale, CO</t>
      </text>
    </comment>
    <comment authorId="0" ref="KK4">
      <text>
        <t xml:space="preserve">Friday Harbor Film Festival
October 23, 2020 - October 25, 2020
Friday Harbor, WA</t>
      </text>
    </comment>
    <comment authorId="0" ref="BT5">
      <text>
        <t xml:space="preserve">International Oceean Film Festival
March 12, 2020 - March 15, 2020
San Francisco, CA</t>
      </text>
    </comment>
    <comment authorId="0" ref="DM5">
      <text>
        <t xml:space="preserve">Earth Port Film Festival
April 26, 2020 - April 26, 2020
Bewburyport, MA</t>
      </text>
    </comment>
  </commentList>
</comments>
</file>

<file path=xl/comments2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Z3">
      <text>
        <t xml:space="preserve">Bellingham Human Rights Film Festival
February 20, 2020 - February 29, 2020
Bellingham, WA</t>
      </text>
    </comment>
    <comment authorId="0" ref="BN3">
      <text>
        <t xml:space="preserve">Feminist Border Arts Film Festival
March 5, 2020 - March 6, 2020
Las Cruces, NM</t>
      </text>
    </comment>
    <comment authorId="0" ref="CN3">
      <text>
        <t xml:space="preserve">Show Me Justice Film Festival
April 1, 2020 - April 1, 2020
Warrensburg, MO</t>
      </text>
    </comment>
    <comment authorId="0" ref="EN3">
      <text>
        <t xml:space="preserve">Davis Feminist Film Festival
May 23, 2020 - May 23, 2020
Davis, CA</t>
      </text>
    </comment>
    <comment authorId="0" ref="HB3">
      <text>
        <t xml:space="preserve">Whistleblower Summit &amp; Film Festival 
July 28, 2020 - August 1, 2020
Washington , DC</t>
      </text>
    </comment>
    <comment authorId="0" ref="IG3">
      <text>
        <t xml:space="preserve">Global Impact Film Festival
August 28, 2020 - August 30, 2020
Washington, D.C, DC</t>
      </text>
    </comment>
    <comment authorId="0" ref="JB3">
      <text>
        <t xml:space="preserve">Love International Film Festival
September 18, 2020 - September 21, 2020
Los Angeles, CA</t>
      </text>
    </comment>
    <comment authorId="0" ref="JO3">
      <text>
        <t xml:space="preserve">Awareness Festival
October 1, 2020 - October 11, 2020
Los Angeles, CA</t>
      </text>
    </comment>
    <comment authorId="0" ref="BO4">
      <text>
        <t xml:space="preserve">SPE Media Festival
March 6, 2020 - March 7, 2020
Houston, TX</t>
      </text>
    </comment>
    <comment authorId="0" ref="JO4">
      <text>
        <t xml:space="preserve">Social Justice Film Festival
October 1, 2020 - October 10, 2020
Seattle, WA</t>
      </text>
    </comment>
    <comment authorId="0" ref="JM5">
      <text>
        <t xml:space="preserve">Global Peace Film Festival
September 29, 2020 - October 4, 2020
Winter Park, FL</t>
      </text>
    </comment>
  </commentList>
</comments>
</file>

<file path=xl/comments2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3">
      <text>
        <t xml:space="preserve">KidFilm Festival
January 25, 2020 - January 26, 2020
Dallas, TX</t>
      </text>
    </comment>
    <comment authorId="0" ref="AT3">
      <text>
        <t xml:space="preserve">Providence Children's Film Festival
February 14, 2020 - February 25, 2020
Providence, RI</t>
      </text>
    </comment>
    <comment authorId="0" ref="BP3">
      <text>
        <t xml:space="preserve">Los Angeles International Children’s Film Festival
March 7, 2020 - April 12, 2020
Los Angeles, CA</t>
      </text>
    </comment>
    <comment authorId="0" ref="EU3">
      <text>
        <t xml:space="preserve">KidsFilmFest
May 30, 2020 - May 30, 2020
Brooklyn, NY</t>
      </text>
    </comment>
    <comment authorId="0" ref="FG3">
      <text>
        <t xml:space="preserve">Kids' Video Connection Children's Film Festival
June 11, 2020 - June 27, 2020
Decatur, GA</t>
      </text>
    </comment>
    <comment authorId="0" ref="HZ3">
      <text>
        <t xml:space="preserve">San Diego International Kids Film Festival
August 21, 2020 - August 23, 2020
San Diego, CA</t>
      </text>
    </comment>
    <comment authorId="0" ref="LG3">
      <text>
        <t xml:space="preserve">Chicago International Children's Film Festival
November 13, 2020 - November 22, 2020
Chicago, IL</t>
      </text>
    </comment>
    <comment authorId="0" ref="AU4">
      <text>
        <t xml:space="preserve">Bay Area International Childrens Film Festival
February 15, 2020 - February 16, 2020
Oakland, CA</t>
      </text>
    </comment>
    <comment authorId="0" ref="BA4">
      <text>
        <t xml:space="preserve">New York International Children’s Film Festival
February 21, 2020 - March 15, 2020
New York, NY</t>
      </text>
    </comment>
    <comment authorId="0" ref="LO4">
      <text>
        <t xml:space="preserve">Boston International Kids Film Festival
November 21, 2020 - November 22, 2020
Melrose, MA</t>
      </text>
    </comment>
    <comment authorId="0" ref="BG5">
      <text>
        <t xml:space="preserve">Children's Film Festival Seattle
February 27, 2020 - March 8, 2020
Seattle, WA</t>
      </text>
    </comment>
  </commentList>
</comments>
</file>

<file path=xl/comments2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Dance Camera West
January 9, 2020 - January 12, 2020
Los Angeles, CA</t>
      </text>
    </comment>
    <comment authorId="0" ref="AN3">
      <text>
        <t xml:space="preserve">LA Dance Film Festival
February 8, 2020 - February 8, 2020
Los Angeles, CA</t>
      </text>
    </comment>
    <comment authorId="0" ref="BA3">
      <text>
        <t xml:space="preserve">In/Motion Chicago's International Dance Film Festival
February 21, 2020 - February 23, 2020
Chicago, IL</t>
      </text>
    </comment>
    <comment authorId="0" ref="CB3">
      <text>
        <t xml:space="preserve">Tiny Dance Film Festival
March 20, 2020 - March 21, 2020
San Francisco, CA</t>
      </text>
    </comment>
    <comment authorId="0" ref="DK3">
      <text>
        <t xml:space="preserve">Richmond Dance Festival
April 24, 2020 - May 9, 2020
Richmond, VA</t>
      </text>
    </comment>
    <comment authorId="0" ref="FB3">
      <text>
        <t xml:space="preserve">ADF's Movies by Movers
June 6, 2020 - July 18, 2020
Boone, NC</t>
      </text>
    </comment>
    <comment authorId="0" ref="HR3">
      <text>
        <t xml:space="preserve">Sans Souci Festival of Dance Cinema
August 13, 2020 - November 30, 2020
Boulder, CO</t>
      </text>
    </comment>
    <comment authorId="0" ref="L4">
      <text>
        <t xml:space="preserve">Kinetiscope: International Screendance Film Festival
January 11, 2020 - January 12, 2020
Missoula, MT</t>
      </text>
    </comment>
    <comment authorId="0" ref="BA4">
      <text>
        <t xml:space="preserve">Utah Dance Film Festival
February 21, 2020 - February 22, 2020
Orem, UT</t>
      </text>
    </comment>
    <comment authorId="0" ref="GQ4">
      <text>
        <t xml:space="preserve">Dance on Camera
July 17, 2020 - July 20, 2020
New York, NY</t>
      </text>
    </comment>
    <comment authorId="0" ref="BB5">
      <text>
        <t xml:space="preserve">Life In Motion: A Colorado Dance Film Festival
February 22, 2020 - February 22, 2020
Denver, CO</t>
      </text>
    </comment>
  </commentList>
</comments>
</file>

<file path=xl/comments2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3">
      <text>
        <t xml:space="preserve">LDS Film Festival
February 24, 2020 - February 29, 2020
Orem, UT</t>
      </text>
    </comment>
    <comment authorId="0" ref="BP3">
      <text>
        <t xml:space="preserve">Chistian Youth Film Festival
March 7, 2020 - March 8, 2020
Bakersfield, CA</t>
      </text>
    </comment>
    <comment authorId="0" ref="CO3">
      <text>
        <t xml:space="preserve">SONscreen Film Festival
April 2, 2020 - April 4, 2020
Columbia, MD</t>
      </text>
    </comment>
    <comment authorId="0" ref="ED3">
      <text>
        <t xml:space="preserve">International Christian Film Festival
May 13, 2020 - May 16, 2020
Orlando, FL</t>
      </text>
    </comment>
    <comment authorId="0" ref="HD3">
      <text>
        <t xml:space="preserve">Great Lakes Christrian Film Festival
July 30, 2020 - August 2, 2020
Buffalo, NY</t>
      </text>
    </comment>
  </commentList>
</comments>
</file>

<file path=xl/comments2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W3">
      <text>
        <t xml:space="preserve">Light Field
March 15, 2020 - March 20, 2020
San Francisco, CA</t>
      </text>
    </comment>
    <comment authorId="0" ref="DA3">
      <text>
        <t xml:space="preserve">Experiments in Cinema
April 14, 2020 - April 18, 2020
Albequerque, NM</t>
      </text>
    </comment>
    <comment authorId="0" ref="DQ3">
      <text>
        <t xml:space="preserve">CineMarfa Film Festival
April 30, 2020 - May 10, 2020
Marfa, TX</t>
      </text>
    </comment>
    <comment authorId="0" ref="MA3">
      <text>
        <t xml:space="preserve">MONO NO AWARE
December 3, 2020 - December 12, 2020
Brooklyn, NY</t>
      </text>
    </comment>
    <comment authorId="0" ref="BT4">
      <text>
        <t xml:space="preserve">Onion City Experimental Film + Video Festival
March 12, 2020 - March 15, 2020
Chicago, IL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K3">
      <text>
        <t xml:space="preserve">Frozen River Film Festival
February 5, 2020 - February 9, 2020
Winona, MN</t>
      </text>
    </comment>
    <comment authorId="0" ref="AT3">
      <text>
        <t xml:space="preserve">Big Sky Documentary Film Festival
February 14, 2020 - February 23, 2020
Missoula, MT</t>
      </text>
    </comment>
    <comment authorId="0" ref="BN3">
      <text>
        <t xml:space="preserve">True/False Film Festival 
March 5, 2020 - March 8, 2020
Columbia, MO</t>
      </text>
    </comment>
    <comment authorId="0" ref="CB3">
      <text>
        <t xml:space="preserve">Salem Film Fest
March 20, 2020 - March 29, 2020
Salem, MA</t>
      </text>
    </comment>
    <comment authorId="0" ref="CO3">
      <text>
        <t xml:space="preserve">Full Frame Documentary Film Festival
April 2, 2020 - April 5, 2020
Raleigh-Durham, NC</t>
      </text>
    </comment>
    <comment authorId="0" ref="DI3">
      <text>
        <t xml:space="preserve">Freep Film Festival
April 22, 2020 - April 26, 2020
Detroit, MI</t>
      </text>
    </comment>
    <comment authorId="0" ref="DQ3">
      <text>
        <t xml:space="preserve">Doclands Documentary Film Festival
April 30, 2020 - May 3, 2020
San Rafael, CA</t>
      </text>
    </comment>
    <comment authorId="0" ref="EM3">
      <text>
        <t xml:space="preserve">Mountainfilm
May 22, 2020 - May 25, 2020
Telluride, CO</t>
      </text>
    </comment>
    <comment authorId="0" ref="EZ3">
      <text>
        <t xml:space="preserve">San Francisco Documentary Festival
June 4, 2020 - June 18, 2020
San Francisco, CA</t>
      </text>
    </comment>
    <comment authorId="0" ref="JA3">
      <text>
        <t xml:space="preserve">DocuWest Documentary Film Festival
September 17, 2020 - September 20, 2020
Denver, CO</t>
      </text>
    </comment>
    <comment authorId="0" ref="JO3">
      <text>
        <t xml:space="preserve">Camden International Film Festival
October 1, 2020 - October 4, 2020
Camden, ME</t>
      </text>
    </comment>
    <comment authorId="0" ref="JU3">
      <text>
        <t xml:space="preserve">Chagrin Documentary Film Festival
October 7, 2020 - October 11, 2020
Chagrin Falls, OH</t>
      </text>
    </comment>
    <comment authorId="0" ref="KC3">
      <text>
        <t xml:space="preserve">United Nations Association Film Festival (UNAFF)
October 15, 2020 - October 25, 2020
Palo Alto, CA</t>
      </text>
    </comment>
    <comment authorId="0" ref="KV3">
      <text>
        <t xml:space="preserve">DOCUTAH International Documentary Film Festival
November 2, 2020 - November 7, 2020
St. George , UT</t>
      </text>
    </comment>
    <comment authorId="0" ref="LE3">
      <text>
        <t xml:space="preserve">Doc NYC
November 11, 2020 - November 19, 2020
New York, NY</t>
      </text>
    </comment>
    <comment authorId="0" ref="MA3">
      <text>
        <t xml:space="preserve">Hamptons Doc Fest
December 3, 2020 - December 7, 2020
Sag Harbor, NY</t>
      </text>
    </comment>
    <comment authorId="0" ref="AZ4">
      <text>
        <t xml:space="preserve">Bellingham Human Rights Film Festival
February 20, 2020 - February 29, 2020
Bellingham, WA</t>
      </text>
    </comment>
    <comment authorId="0" ref="CD4">
      <text>
        <t xml:space="preserve">NYC Short Documentary Film Festival
March 22, 2020 - March 22, 2020
New York, NY</t>
      </text>
    </comment>
    <comment authorId="0" ref="CI4">
      <text>
        <t xml:space="preserve">American Documentary and Animation Film Festival
March 27, 2020 - March 31, 2020
Palm Springs, CA</t>
      </text>
    </comment>
    <comment authorId="0" ref="DQ4">
      <text>
        <t xml:space="preserve">Iowa City International Documentary Film Festival
April 30, 2020 - May 2, 2020
Iowa City, IA</t>
      </text>
    </comment>
    <comment authorId="0" ref="EX4">
      <text>
        <t xml:space="preserve">NHdocs: The New Haven Documentary Film Festival
June 2, 2020 - June 7, 2020
New Haven, CT</t>
      </text>
    </comment>
    <comment authorId="0" ref="FM4">
      <text>
        <t xml:space="preserve">AFI Docs
June 17, 2020 - June 21, 2020
Washington, DC</t>
      </text>
    </comment>
    <comment authorId="0" ref="JB4">
      <text>
        <t xml:space="preserve">Newburyport Documentary Film Festival
September 18, 2020 - September 20, 2020
Newburyport, MA</t>
      </text>
    </comment>
    <comment authorId="0" ref="JW4">
      <text>
        <t xml:space="preserve">Hot Springs Documentary Film Festival
October 9, 2020 - October 17, 2020
Hot Springs, AR</t>
      </text>
    </comment>
    <comment authorId="0" ref="KI4">
      <text>
        <t xml:space="preserve">DOC LA - Los Angeles Documentary Film Festival
October 21, 2020 - October 25, 2020
Beverly Hills, CA</t>
      </text>
    </comment>
    <comment authorId="0" ref="KY4">
      <text>
        <t xml:space="preserve">Atlanta DocuFest
November 5, 2020 - November 7, 2020
Atlanta, GA</t>
      </text>
    </comment>
    <comment authorId="0" ref="CH5">
      <text>
        <t xml:space="preserve">Sebastopol Documentary Film Festival
March 26, 2020 - March 29, 2020
Sebastopol, CA</t>
      </text>
    </comment>
    <comment authorId="0" ref="FN5">
      <text>
        <t xml:space="preserve">Doc Sunback Film Festival
June 18, 2020 - June 21, 2020
Mulvane, KS</t>
      </text>
    </comment>
    <comment authorId="0" ref="KK5">
      <text>
        <t xml:space="preserve">Friday Harbor Film Festival
October 23, 2020 - October 25, 2020
Friday Harbor, WA</t>
      </text>
    </comment>
    <comment authorId="0" ref="CI6">
      <text>
        <t xml:space="preserve">Bethesda Film Festival
March 27, 2020 - March 28, 2020
Bethesda, MD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Arkansas Shorts
January 4, 2020 - January 4, 2020
Hot Springs, AR</t>
      </text>
    </comment>
    <comment authorId="0" ref="L3">
      <text>
        <t xml:space="preserve">Hollywood Short Film Festival
January 11, 2020 - January 11, 2020
Los Angeles, CA</t>
      </text>
    </comment>
    <comment authorId="0" ref="R3">
      <text>
        <t xml:space="preserve">Legacy of Black Women Film Showcase
January 17, 2020 - January 19, 2020
Charlotte, NC</t>
      </text>
    </comment>
    <comment authorId="0" ref="AH3">
      <text>
        <t xml:space="preserve">Dakota Film Festival
February 2, 2020 - February 4, 2020
Bismarck, ND</t>
      </text>
    </comment>
    <comment authorId="0" ref="AM3">
      <text>
        <t xml:space="preserve">Tally Shorts Film Festival
February 7, 2020 - February 8, 2020
Tallahassee, FL</t>
      </text>
    </comment>
    <comment authorId="0" ref="AS3">
      <text>
        <t xml:space="preserve">Dam Short Film Festival
February 13, 2020 - February 16, 2020
Boulder City, NV</t>
      </text>
    </comment>
    <comment authorId="0" ref="BA3">
      <text>
        <t xml:space="preserve">Longwood Animation Film Festival
February 21, 2020 - February 28, 2020
Farmville, VA</t>
      </text>
    </comment>
    <comment authorId="0" ref="BN3">
      <text>
        <t xml:space="preserve">Feminist Border Arts Film Festival
March 5, 2020 - March 6, 2020
Las Cruces, NM</t>
      </text>
    </comment>
    <comment authorId="0" ref="BV3">
      <text>
        <t xml:space="preserve">Los Angeles Short Film Festival
March 14, 2020 - March 15, 2020
Los Angeles, CA</t>
      </text>
    </comment>
    <comment authorId="0" ref="CC3">
      <text>
        <t xml:space="preserve">Albany Film Fest
March 21, 2020 - March 29, 2020
Albany, CA</t>
      </text>
    </comment>
    <comment authorId="0" ref="CN3">
      <text>
        <t xml:space="preserve">Italian Film Festival USA
April 1, 2020 - April 30, 2020
St. Louis, MO</t>
      </text>
    </comment>
    <comment authorId="0" ref="DS3">
      <text>
        <t xml:space="preserve">Hang On To Your Shorts! Film Festival
May 2, 2020 - May 3, 2020
Eatontown, NJ</t>
      </text>
    </comment>
    <comment authorId="0" ref="ED3">
      <text>
        <t xml:space="preserve">Heritage Film Festival
May 13, 2020 - May 16, 2020
Largo, MD</t>
      </text>
    </comment>
    <comment authorId="0" ref="EM3">
      <text>
        <t xml:space="preserve">MisCon International Short Film Festival
May 22, 2020 - May 25, 2020
Missoula, MT</t>
      </text>
    </comment>
    <comment authorId="0" ref="ET3">
      <text>
        <t xml:space="preserve">New York Shorts International Film Festival
May 29, 2020 - June 4, 2020
New York, NY</t>
      </text>
    </comment>
    <comment authorId="0" ref="FB3">
      <text>
        <t xml:space="preserve">ASIFA-South Animation Conference and Festival
June 6, 2020 - June 7, 2020
Atlanta, GA</t>
      </text>
    </comment>
    <comment authorId="0" ref="FF3">
      <text>
        <t xml:space="preserve">NYC Downtown Short Film Festival
June 10, 2020 - June 13, 2020
New York, NY</t>
      </text>
    </comment>
    <comment authorId="0" ref="FL3">
      <text>
        <t xml:space="preserve">Palm Springs International ShortFest 
June 16, 2020 - June 22, 2020
Palm Springs, CA</t>
      </text>
    </comment>
    <comment authorId="0" ref="FU3">
      <text>
        <t xml:space="preserve">Fear No Film
June 25, 2020 - June 28, 2020
Salt Lake City, UT</t>
      </text>
    </comment>
    <comment authorId="0" ref="GO3">
      <text>
        <t xml:space="preserve">LA Shorts International Film Festival
July 15, 2020 - July 23, 2020
Los Angeles, CA</t>
      </text>
    </comment>
    <comment authorId="0" ref="HK3">
      <text>
        <t xml:space="preserve">We Like 'em Short - Animation + Comedy Film Festival
August 6, 2020 - August 9, 2020
Baker City, OR</t>
      </text>
    </comment>
    <comment authorId="0" ref="HR3">
      <text>
        <t xml:space="preserve">Sans Souci Festival of Dance Cinema
August 13, 2020 - November 30, 2020
Boulder, CO</t>
      </text>
    </comment>
    <comment authorId="0" ref="MH3">
      <text>
        <t xml:space="preserve">Nihilist International Film Festival, The
December 10, 2020 - December 18, 2020
Los Angeles, CA</t>
      </text>
    </comment>
    <comment authorId="0" ref="S4">
      <text>
        <t xml:space="preserve">Animated Arizona Film Festival
January 18, 2020 - January 18, 2020
Tucson, AZ</t>
      </text>
    </comment>
    <comment authorId="0" ref="AN4">
      <text>
        <t xml:space="preserve">Thomas Edison Black Maria Film Festival
February 8, 2020 - February 8, 2020
Hoboken, NJ</t>
      </text>
    </comment>
    <comment authorId="0" ref="AS4">
      <text>
        <t xml:space="preserve">Love Your Shorts Film Festival
February 13, 2020 - February 16, 2020
Sanford, FL</t>
      </text>
    </comment>
    <comment authorId="0" ref="BA4">
      <text>
        <t xml:space="preserve">McMinnville Short Film Festival
February 21, 2020 - February 23, 2020
McMinnville, OR</t>
      </text>
    </comment>
    <comment authorId="0" ref="BF4">
      <text>
        <t xml:space="preserve">Short. Sweet. Film Fest. 
February 26, 2020 - March 1, 2020
Cleveland, OH</t>
      </text>
    </comment>
    <comment authorId="0" ref="BO4">
      <text>
        <t xml:space="preserve">Colony Short Film Festival
March 6, 2020 - March 7, 2020
Marietta, OH</t>
      </text>
    </comment>
    <comment authorId="0" ref="BZ4">
      <text>
        <t xml:space="preserve">Underexposed Film Festival yc
March 18, 2020 - March 21, 2020
Rock Hill, SC</t>
      </text>
    </comment>
    <comment authorId="0" ref="CI4">
      <text>
        <t xml:space="preserve">Bethesda Film Festival
March 27, 2020 - March 28, 2020
Bethesda, MD</t>
      </text>
    </comment>
    <comment authorId="0" ref="CN4">
      <text>
        <t xml:space="preserve">Show Me Justice Film Festival
April 1, 2020 - April 1, 2020
Warrensburg, MO</t>
      </text>
    </comment>
    <comment authorId="0" ref="CP4">
      <text>
        <t xml:space="preserve">ACT Human Rights Film Festival
April 3, 2020 - April 11, 2020
Fort Collins, CO</t>
      </text>
    </comment>
    <comment authorId="0" ref="DC4">
      <text>
        <t xml:space="preserve">CASCADIA International Women's Film Festival
April 16, 2020 - April 19, 2020
Bellingham, WA</t>
      </text>
    </comment>
    <comment authorId="0" ref="DK4">
      <text>
        <t xml:space="preserve">Humboldt International Film Festival
April 24, 2020 - April 28, 2020
San Bernardino, CA</t>
      </text>
    </comment>
    <comment authorId="0" ref="DQ4">
      <text>
        <t xml:space="preserve">Iowa City International Documentary Film Festival
April 30, 2020 - May 2, 2020
Iowa City, IA</t>
      </text>
    </comment>
    <comment authorId="0" ref="EF4">
      <text>
        <t xml:space="preserve">Portland Comedy Film Festival
May 15, 2020 - May 17, 2020
Wilsonville, OR</t>
      </text>
    </comment>
    <comment authorId="0" ref="EM4">
      <text>
        <t xml:space="preserve">Comicpalooza
May 22, 2020 - May 24, 2020
Houston, TX</t>
      </text>
    </comment>
    <comment authorId="0" ref="ET4">
      <text>
        <t xml:space="preserve">ConCarolinas Short Film Festival
May 29, 2020 - May 31, 2020
Charlotte, NC</t>
      </text>
    </comment>
    <comment authorId="0" ref="EY4">
      <text>
        <t xml:space="preserve">Literally Short Film Festival
June 3, 2020 - June 7, 2020
Houston, TX</t>
      </text>
    </comment>
    <comment authorId="0" ref="FI4">
      <text>
        <t xml:space="preserve">Boston Short Film Festival
June 13, 2020 - June 17, 2020
Boston, MA</t>
      </text>
    </comment>
    <comment authorId="0" ref="FU4">
      <text>
        <t xml:space="preserve">Snake Alley Festival of Film
June 25, 2020 - June 28, 2020
Burlington, IA</t>
      </text>
    </comment>
    <comment authorId="0" ref="GP4">
      <text>
        <t xml:space="preserve">Atlanta Shortsfest
July 16, 2020 - July 18, 2020
Atlanta, GA</t>
      </text>
    </comment>
    <comment authorId="0" ref="GU4">
      <text>
        <t xml:space="preserve">Indy Shorts International Film Festival
July 21, 2020 - July 26, 2020
Indianapolis, IN</t>
      </text>
    </comment>
    <comment authorId="0" ref="HR4">
      <text>
        <t xml:space="preserve">HollyShorts 
August 13, 2020 - August 22, 2020
Los Angeles, CA</t>
      </text>
    </comment>
    <comment authorId="0" ref="IG4">
      <text>
        <t xml:space="preserve">Global Impact Film Festival
August 28, 2020 - August 30, 2020
Washington, D.C, DC</t>
      </text>
    </comment>
    <comment authorId="0" ref="IT4">
      <text>
        <t xml:space="preserve">DC Shorts Film Festival
September 10, 2020 - September 19, 2020
Washington, D.C, DC</t>
      </text>
    </comment>
    <comment authorId="0" ref="JI4">
      <text>
        <t xml:space="preserve">San Francisco Independent Short Film Festival
September 25, 2020 - September 27, 2020
San Francisco, CA</t>
      </text>
    </comment>
    <comment authorId="0" ref="JO4">
      <text>
        <t xml:space="preserve">Cinema Touching Disability
October 1, 2020 - October 31, 2020
Austin, TX</t>
      </text>
    </comment>
    <comment authorId="0" ref="KZ4">
      <text>
        <t xml:space="preserve">24fps International Short Film Festival
November 6, 2020 - November 7, 2020
Abilene, TX</t>
      </text>
    </comment>
    <comment authorId="0" ref="LC4">
      <text>
        <t xml:space="preserve">Miami Short Film Festival
November 9, 2020 - November 14, 2020
Miami, FL</t>
      </text>
    </comment>
    <comment authorId="0" ref="S5">
      <text>
        <t xml:space="preserve">Short Shorts Film Festival
January 18, 2020 - January 18, 2020
Duluth, MN</t>
      </text>
    </comment>
    <comment authorId="0" ref="AT5">
      <text>
        <t xml:space="preserve">Oregon Short Film Festival
February 14, 2020 - February 16, 2020
Wilsonville, OR</t>
      </text>
    </comment>
    <comment authorId="0" ref="BF5">
      <text>
        <t xml:space="preserve">One Screen Short Film Festival
February 26, 2020 - February 26, 2020
New York, NY</t>
      </text>
    </comment>
    <comment authorId="0" ref="BH5">
      <text>
        <t xml:space="preserve">Pensacon Short Film Festival
February 28, 2020 - March 1, 2020
Pensacola, FL</t>
      </text>
    </comment>
    <comment authorId="0" ref="BO5">
      <text>
        <t xml:space="preserve">SPE Media Festival
March 6, 2020 - March 7, 2020
Houston, TX</t>
      </text>
    </comment>
    <comment authorId="0" ref="CB5">
      <text>
        <t xml:space="preserve">Taos Shortz Film Fest 
March 20, 2020 - March 22, 2020
Taos, NM</t>
      </text>
    </comment>
    <comment authorId="0" ref="CI5">
      <text>
        <t xml:space="preserve">Speechless Film Festival
March 27, 2020 - March 28, 2020
Mankato, MN</t>
      </text>
    </comment>
    <comment authorId="0" ref="CM5">
      <text>
        <t xml:space="preserve">Aspen Shortsfest
March 31, 2020 - April 5, 2020
Aspen, CO</t>
      </text>
    </comment>
    <comment authorId="0" ref="DA5">
      <text>
        <t xml:space="preserve">Reality Bytes Independent Student Film Festival
April 14, 2020 - April 16, 2020
Dekalb, IL</t>
      </text>
    </comment>
    <comment authorId="0" ref="DE5">
      <text>
        <t xml:space="preserve">Gadabout Film Festival
April 18, 2020 - April 18, 2020
Bloomington, IN</t>
      </text>
    </comment>
    <comment authorId="0" ref="DJ5">
      <text>
        <t xml:space="preserve">Hollywood Comedy Shorts
April 23, 2020 - April 26, 2020
Sherman Oaks, CA</t>
      </text>
    </comment>
    <comment authorId="0" ref="DR5">
      <text>
        <t xml:space="preserve">Film Fest Petaluma
May 1, 2020 - May 2, 2020
Petaluma, CA</t>
      </text>
    </comment>
    <comment authorId="0" ref="EF5">
      <text>
        <t xml:space="preserve">Extremely Short Film Festival
May 15, 2020 - May 16, 2020
Houston, TX</t>
      </text>
    </comment>
    <comment authorId="0" ref="EL5">
      <text>
        <t xml:space="preserve">NY Portuguese Short Film Festival
May 21, 2020 - May 22, 2020
New York, NY</t>
      </text>
    </comment>
    <comment authorId="0" ref="EO5">
      <text>
        <t xml:space="preserve">Balticon Short Film Festival
May 24, 2020 - May 24, 2020
Baltimore, MD</t>
      </text>
    </comment>
    <comment authorId="0" ref="EU5">
      <text>
        <t xml:space="preserve">KidsFilmFest
May 30, 2020 - May 30, 2020
Brooklyn, NY</t>
      </text>
    </comment>
    <comment authorId="0" ref="EZ5">
      <text>
        <t xml:space="preserve">Philadelphia Latino Film Festival
June 4, 2020 - June 7, 2020
Philadelphia, PA</t>
      </text>
    </comment>
    <comment authorId="0" ref="FH5">
      <text>
        <t xml:space="preserve">Lancaster International Short Film Festival
June 12, 2020 - June 13, 2020
Lancaster, PA</t>
      </text>
    </comment>
    <comment authorId="0" ref="FX5">
      <text>
        <t xml:space="preserve">My HERO International Short Film Festival
June 28, 2020 - July 1, 2020
Laguna Beach, CA</t>
      </text>
    </comment>
    <comment authorId="0" ref="GR5">
      <text>
        <t xml:space="preserve">Film One Fest
July 18, 2020 - July 18, 2020
Atlantic Highlands , NJ</t>
      </text>
    </comment>
    <comment authorId="0" ref="GX5">
      <text>
        <t xml:space="preserve">Montgomery Film Festival
July 24, 2020 - July 25, 2020
Montgomery, AL</t>
      </text>
    </comment>
    <comment authorId="0" ref="HZ5">
      <text>
        <t xml:space="preserve">Salute Your Shorts
August 21, 2020 - August 23, 2020
Los Angeles, CA</t>
      </text>
    </comment>
    <comment authorId="0" ref="IU5">
      <text>
        <t xml:space="preserve">Milwaukee Short Film Festival
September 11, 2020 - September 12, 2020
Milwaukee, WI</t>
      </text>
    </comment>
    <comment authorId="0" ref="JB5">
      <text>
        <t xml:space="preserve">Princeton Independent Film Festival
September 18, 2020 - September 20, 2020
Princeton, NJ</t>
      </text>
    </comment>
    <comment authorId="0" ref="JH5">
      <text>
        <t xml:space="preserve">Manhattan Short Film Festival
September 24, 2020 - October 4, 2020
New York, NY</t>
      </text>
    </comment>
    <comment authorId="0" ref="JW5">
      <text>
        <t xml:space="preserve">Apocalypse Later International Fantastic Film Festival
October 9, 2020 - October 11, 2020
Phoenix, AZ</t>
      </text>
    </comment>
    <comment authorId="0" ref="KC5">
      <text>
        <t xml:space="preserve">Crown Heights Film Festival
October 15, 2020 - October 17, 2020
Brooklyn, NY</t>
      </text>
    </comment>
    <comment authorId="0" ref="KJ5">
      <text>
        <t xml:space="preserve">San Jose International Short Film Festival
October 22, 2020 - October 25, 2020
San Jose, CA</t>
      </text>
    </comment>
    <comment authorId="0" ref="LA5">
      <text>
        <t xml:space="preserve">Copa Short Film Fest
November 7, 2020 - November 8, 2020
Maricopa, AZ</t>
      </text>
    </comment>
    <comment authorId="0" ref="LE5">
      <text>
        <t xml:space="preserve">Pittsburgh Shorts Film Festival
November 11, 2020 - November 15, 2020
Pittsburgh, PA</t>
      </text>
    </comment>
    <comment authorId="0" ref="S6">
      <text>
        <t xml:space="preserve">Wimberley Film Festival
January 18, 2020 - January 18, 2020
Wimberly, TX</t>
      </text>
    </comment>
    <comment authorId="0" ref="AT6">
      <text>
        <t xml:space="preserve">Door County Short Film Festival
February 14, 2020 - February 15, 2020
Sister Bay, WI</t>
      </text>
    </comment>
    <comment authorId="0" ref="BI6">
      <text>
        <t xml:space="preserve">Brightside Film Festival, The 
February 29, 2020 - March 1, 2020
Jersey City, NJ</t>
      </text>
    </comment>
    <comment authorId="0" ref="BP6">
      <text>
        <t xml:space="preserve">Les Bois Film Festival
March 7, 2020 - March 7, 2020
Boise, ID</t>
      </text>
    </comment>
    <comment authorId="0" ref="CB6">
      <text>
        <t xml:space="preserve">Tiny Dance Film Festival
March 20, 2020 - March 21, 2020
San Francisco, CA</t>
      </text>
    </comment>
    <comment authorId="0" ref="CJ6">
      <text>
        <t xml:space="preserve">Post Alley Film Festival
March 28, 2020 - March 28, 2020
Seattle, WA</t>
      </text>
    </comment>
    <comment authorId="0" ref="CO6">
      <text>
        <t xml:space="preserve">Media Film Festival
April 2, 2020 - April 4, 2020
Media, PA</t>
      </text>
    </comment>
    <comment authorId="0" ref="DA6">
      <text>
        <t xml:space="preserve">SSU Indie Film Festival
April 14, 2020 - April 16, 2020
Savannah, GA</t>
      </text>
    </comment>
    <comment authorId="0" ref="DF6">
      <text>
        <t xml:space="preserve">Austin Comedy Short Film Festival
April 19, 2020 - April 19, 2020
Austin, TX</t>
      </text>
    </comment>
    <comment authorId="0" ref="DK6">
      <text>
        <t xml:space="preserve">5Point Adventure Film Festival
April 24, 2020 - April 26, 2020
Carbondale, CO</t>
      </text>
    </comment>
    <comment authorId="0" ref="DR6">
      <text>
        <t xml:space="preserve">Trinity Film Festival
May 1, 2020 - May 2, 2020
Hartford, CT</t>
      </text>
    </comment>
    <comment authorId="0" ref="EH6">
      <text>
        <t xml:space="preserve">Reel Minds: Miami Mental Health Film Festival
May 17, 2020 - May 17, 2020
Miami, FL</t>
      </text>
    </comment>
    <comment authorId="0" ref="EN6">
      <text>
        <t xml:space="preserve">Davis Feminist Film Festival
May 23, 2020 - May 23, 2020
Davis, CA</t>
      </text>
    </comment>
    <comment authorId="0" ref="FY6">
      <text>
        <t xml:space="preserve">Etheria Film Night 
June 29, 2020 - June 29, 2020
Los Angeles, CA</t>
      </text>
    </comment>
    <comment authorId="0" ref="GR6">
      <text>
        <t xml:space="preserve">Love Horror Short Film Festival
July 18, 2020 - July 18, 2020
Sacramento, CA</t>
      </text>
    </comment>
    <comment authorId="0" ref="HZ6">
      <text>
        <t xml:space="preserve">Slash &amp; Bash Horror/Sci-Fi Film Festival
August 21, 2020 - August 22, 2020
Lawrence, KS</t>
      </text>
    </comment>
    <comment authorId="0" ref="JI6">
      <text>
        <t xml:space="preserve">New York State International Film Festival
September 25, 2020 - September 26, 2020
Albany, NY</t>
      </text>
    </comment>
    <comment authorId="0" ref="JQ6">
      <text>
        <t xml:space="preserve">Animation Nights New York 
October 3, 2020 - October 4, 2020
New York, NY</t>
      </text>
    </comment>
    <comment authorId="0" ref="KE6">
      <text>
        <t xml:space="preserve">Sick Chick Flicks Film Festival
October 17, 2020 - October 18, 2020
Cary, NC</t>
      </text>
    </comment>
    <comment authorId="0" ref="KJ6">
      <text>
        <t xml:space="preserve">Melbourne Independent Filmmakers Festival, The
October 22, 2020 - October 24, 2020
Melbourne, FL</t>
      </text>
    </comment>
    <comment authorId="0" ref="LA6">
      <text>
        <t xml:space="preserve">Pictoclik Film Festival
November 7, 2020 - November 7, 2020
San Francisco, CA</t>
      </text>
    </comment>
    <comment authorId="0" ref="LG6">
      <text>
        <t xml:space="preserve">Chicago International REEL Shorts Film Festival
November 13, 2020 - November 14, 2020
Chicago, IL</t>
      </text>
    </comment>
    <comment authorId="0" ref="BI7">
      <text>
        <t xml:space="preserve">15 Minutes of Fame Indie Film Festival
February 29, 2020 - February 29, 2020
Cocoa Beach, FL</t>
      </text>
    </comment>
    <comment authorId="0" ref="BP7">
      <text>
        <t xml:space="preserve">Sundial Film Festival
March 7, 2020 - March 7, 2020
Redding, CA</t>
      </text>
    </comment>
    <comment authorId="0" ref="CB7">
      <text>
        <t xml:space="preserve">Sierra Canyon Film Festival
March 20, 2020 - March 20, 2020
Los Angeles, CA</t>
      </text>
    </comment>
    <comment authorId="0" ref="CD7">
      <text>
        <t xml:space="preserve">New York City Short Comedy Film Festival
March 22, 2020 - March 22, 2020
New York, NY</t>
      </text>
    </comment>
    <comment authorId="0" ref="CJ7">
      <text>
        <t xml:space="preserve">Science Fiction and Fantasy Short Film Festival
March 28, 2020 - March 28, 2020
Seattle, WA</t>
      </text>
    </comment>
    <comment authorId="0" ref="CN7">
      <text>
        <t xml:space="preserve">Sistas Are Doing It For Themselves
April 1, 2020 - April 1, 2020
Los Angeles, CA</t>
      </text>
    </comment>
    <comment authorId="0" ref="CP7">
      <text>
        <t xml:space="preserve">Clean Shorts Film Festival
April 3, 2020 - April 4, 2020
Choctaw, OK</t>
      </text>
    </comment>
    <comment authorId="0" ref="DF7">
      <text>
        <t xml:space="preserve">Soul 4 Reel Film Festival, The 
April 19, 2020 - April 19, 2020
District Heights, MD</t>
      </text>
    </comment>
    <comment authorId="0" ref="DK7">
      <text>
        <t xml:space="preserve">West Chester International Short Film Festival
April 24, 2020 - April 26, 2020
West Chester, PA</t>
      </text>
    </comment>
    <comment authorId="0" ref="GR7">
      <text>
        <t xml:space="preserve">Say It Loud Film Festival
July 18, 2020 - July 18, 2020
Baltimore, MD</t>
      </text>
    </comment>
    <comment authorId="0" ref="JJ7">
      <text>
        <t xml:space="preserve">Shortcut100
September 26, 2020 - September 26, 2020
Chicago, IL</t>
      </text>
    </comment>
    <comment authorId="0" ref="KJ7">
      <text>
        <t xml:space="preserve">SF Shorts: San Francisco International Festival of Short Films
October 22, 2020 - October 24, 2020
San Francisco, CA</t>
      </text>
    </comment>
    <comment authorId="0" ref="LH7">
      <text>
        <t xml:space="preserve">International Exhibition of Super Short Films
November 14, 2020 - November 14, 2020
Easton, MA</t>
      </text>
    </comment>
    <comment authorId="0" ref="CD8">
      <text>
        <t xml:space="preserve">NYC Short Documentary Film Festival
March 22, 2020 - March 22, 2020
New York, NY</t>
      </text>
    </comment>
    <comment authorId="0" ref="CJ8">
      <text>
        <t xml:space="preserve">Sound of Silent Film Festival
March 28, 2020 - March 28, 2020
Chicago, IL</t>
      </text>
    </comment>
    <comment authorId="0" ref="CP8">
      <text>
        <t xml:space="preserve">Detroit International Festival of Animation
April 3, 2020 - April 4, 2020
Detroit, MI</t>
      </text>
    </comment>
    <comment authorId="0" ref="DM8">
      <text>
        <t xml:space="preserve">Earth Port Film Festival
April 26, 2020 - April 26, 2020
Bewburyport, MA</t>
      </text>
    </comment>
    <comment authorId="0" ref="JJ8">
      <text>
        <t xml:space="preserve">Sunnyside Shorts International Film Festival
September 26, 2020 - September 26, 2020
Sunnyside, NY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Coven Film Festival
January 10, 2020 - January 12, 2020
San Francisco, CA</t>
      </text>
    </comment>
    <comment authorId="0" ref="R3">
      <text>
        <t xml:space="preserve">Legacy of Black Women Film Showcase
January 17, 2020 - January 19, 2020
Charlotte, NC</t>
      </text>
    </comment>
    <comment authorId="0" ref="BG3">
      <text>
        <t xml:space="preserve">Athena Film Festival 
February 27, 2020 - March 1, 2020
New York, NY</t>
      </text>
    </comment>
    <comment authorId="0" ref="BO3">
      <text>
        <t xml:space="preserve">Through Women's Eyes Film Festival
March 6, 2020 - March 8, 2020
Sarasota, FL</t>
      </text>
    </comment>
    <comment authorId="0" ref="CB3">
      <text>
        <t xml:space="preserve">Women's Film Festival
March 20, 2020 - March 29, 2020
Brattleboro, VT</t>
      </text>
    </comment>
    <comment authorId="0" ref="CN3">
      <text>
        <t xml:space="preserve">Sistas Are Doing It For Themselves
April 1, 2020 - April 1, 2020
Los Angeles, CA</t>
      </text>
    </comment>
    <comment authorId="0" ref="CW3">
      <text>
        <t xml:space="preserve">Everett Film Festival
April 10, 2020 - April 11, 2020
Everett, WA</t>
      </text>
    </comment>
    <comment authorId="0" ref="DB3">
      <text>
        <t xml:space="preserve">St. Francis College's Women's Film Festival 
April 15, 2020 - April 18, 2020
Brooklyn Heights, NY</t>
      </text>
    </comment>
    <comment authorId="0" ref="DI3">
      <text>
        <t xml:space="preserve">Artemis Women in Action Film Festival 
April 22, 2020 - April 25, 2020
Santa Monica, CA</t>
      </text>
    </comment>
    <comment authorId="0" ref="DS3">
      <text>
        <t xml:space="preserve">Women of African Descent Film Festival
May 2, 2020 - May 2, 2020
Brooklyn, NY</t>
      </text>
    </comment>
    <comment authorId="0" ref="FY3">
      <text>
        <t xml:space="preserve">Etheria Film Night 
June 29, 2020 - June 29, 2020
Los Angeles, CA</t>
      </text>
    </comment>
    <comment authorId="0" ref="IM3">
      <text>
        <t xml:space="preserve">Broad Humor Film Festival, The 
September 3, 2020 - September 6, 2020
Los Angeles, CA</t>
      </text>
    </comment>
    <comment authorId="0" ref="IR3">
      <text>
        <t xml:space="preserve">Topaz Film Festival by Women in Film Dallas
September 8, 2020 - September 13, 2020
Dallas, TX</t>
      </text>
    </comment>
    <comment authorId="0" ref="JG3">
      <text>
        <t xml:space="preserve">Lady Filmmakers Festival
September 23, 2020 - September 27, 2020
Beverly Hills, CA</t>
      </text>
    </comment>
    <comment authorId="0" ref="KC3">
      <text>
        <t xml:space="preserve">La Femme Film Festival
October 15, 2020 - October 18, 2020
Beverly Hills, CA</t>
      </text>
    </comment>
    <comment authorId="0" ref="KL3">
      <text>
        <t xml:space="preserve">Reel Sisters of the Diaspora Film Festival &amp; Lecture Series
October 24, 2020 - October 25, 2020
New York, NY</t>
      </text>
    </comment>
    <comment authorId="0" ref="K4">
      <text>
        <t xml:space="preserve">Los Angeles Women's International Film Festival
January 10, 2020 - January 12, 2020
Burbank, CA</t>
      </text>
    </comment>
    <comment authorId="0" ref="CB4">
      <text>
        <t xml:space="preserve">Women's Film Festival, The 
March 20, 2020 - March 29, 2020
Philadelphia, PA</t>
      </text>
    </comment>
    <comment authorId="0" ref="DC4">
      <text>
        <t xml:space="preserve">CASCADIA International Women's Film Festival
April 16, 2020 - April 19, 2020
Bellingham, WA</t>
      </text>
    </comment>
    <comment authorId="0" ref="JI4">
      <text>
        <t xml:space="preserve">Imagine This Women's International Film Festival
September 25, 2020 - September 27, 2020
New York, NY</t>
      </text>
    </comment>
    <comment authorId="0" ref="KE4">
      <text>
        <t xml:space="preserve">Sick Chick Flicks Film Festival
October 17, 2020 - October 18, 2020
Cary, NC</t>
      </text>
    </comment>
    <comment authorId="0" ref="L5">
      <text>
        <t xml:space="preserve">Lady Wild Film Fest
January 11, 2020 - January 11, 2020
Ogden, UT</t>
      </text>
    </comment>
    <comment authorId="0" ref="CA5">
      <text>
        <t xml:space="preserve">Nevada Women's Film Festival
March 19, 2020 - March 22, 2020
Las Vegas, NV</t>
      </text>
    </comment>
    <comment authorId="0" ref="CJ5">
      <text>
        <t xml:space="preserve">Post Alley Film Festival
March 28, 2020 - March 28, 2020
Seattle, WA</t>
      </text>
    </comment>
    <comment authorId="0" ref="DC5">
      <text>
        <t xml:space="preserve">ClexaCon Film Festival
April 16, 2020 - April 19, 2020
Las Vegas, NV</t>
      </text>
    </comment>
    <comment authorId="0" ref="JJ5">
      <text>
        <t xml:space="preserve">Les Femmes Underground International Film Festival
September 26, 2020 - September 26, 2020
Phoenix, AZ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O3">
      <text>
        <t xml:space="preserve">Outfest Fusion LGBTQ People of Color Film Festival
March 6, 2020 - March 11, 2020
Los Angeles, CA</t>
      </text>
    </comment>
    <comment authorId="0" ref="CD3">
      <text>
        <t xml:space="preserve">qFLIX Philadelphia
March 22, 2020 - March 29, 2020
Philadelphia, PA</t>
      </text>
    </comment>
    <comment authorId="0" ref="CO3">
      <text>
        <t xml:space="preserve">Wicked Queer: The Boston LGBT Film Festival
April 2, 2020 - April 12, 2020
Boston, MA</t>
      </text>
    </comment>
    <comment authorId="0" ref="DC3">
      <text>
        <t xml:space="preserve">OUTshine LGBTQ+ Film Festival - Miami
April 16, 2020 - April 26, 2020
Miami, FL</t>
      </text>
    </comment>
    <comment authorId="0" ref="DQ3">
      <text>
        <t xml:space="preserve">FilmOut San Diego LGBTQ+ Film Festival
April 30, 2020 - May 3, 2020
San Diego, CA</t>
      </text>
    </comment>
    <comment authorId="0" ref="DZ3">
      <text>
        <t xml:space="preserve">Reel Out Charlotte Film Festival
May 9, 2020 - May 17, 2020
Charlotte, NC</t>
      </text>
    </comment>
    <comment authorId="0" ref="EL3">
      <text>
        <t xml:space="preserve">Cinema Systers Film Festival
May 21, 2020 - May 24, 2020
Paducah, KY</t>
      </text>
    </comment>
    <comment authorId="0" ref="ET3">
      <text>
        <t xml:space="preserve">Connecticut LGBT Film Festival
May 29, 2020 - June 6, 2020
Hartford, CT</t>
      </text>
    </comment>
    <comment authorId="0" ref="FN3">
      <text>
        <t xml:space="preserve">San Francisco International LGBTQ+ Film Festival
June 18, 2020 - June 28, 2020
San Francisco, CA</t>
      </text>
    </comment>
    <comment authorId="0" ref="GJ3">
      <text>
        <t xml:space="preserve">Damn These Heels LGBTQ Film Festival
July 10, 2020 - July 12, 2020
Salt Lake City, UT</t>
      </text>
    </comment>
    <comment authorId="0" ref="GP3">
      <text>
        <t xml:space="preserve">Outfest Los Angeles LGBTQ Film Festival
July 16, 2020 - July 26, 2020
Los Angeles, CA</t>
      </text>
    </comment>
    <comment authorId="0" ref="HK3">
      <text>
        <t xml:space="preserve">All Genders, Lifestyles, and Identities Film Festival 
August 6, 2020 - August 9, 2020
Austin, TX</t>
      </text>
    </comment>
    <comment authorId="0" ref="HR3">
      <text>
        <t xml:space="preserve">Honolulu Rainbow Film Festival
August 13, 2020 - August 16, 2020
Honolulu, HI</t>
      </text>
    </comment>
    <comment authorId="0" ref="IT3">
      <text>
        <t xml:space="preserve">Long Beach QFilm Festival
September 10, 2020 - September 13, 2020
Long Beach, CA</t>
      </text>
    </comment>
    <comment authorId="0" ref="JA3">
      <text>
        <t xml:space="preserve">Cinema Diverse: The Palm Springs LGBTQ Film Festival
September 17, 2020 - September 20, 2020
Palm Springs, CA</t>
      </text>
    </comment>
    <comment authorId="0" ref="JH3">
      <text>
        <t xml:space="preserve">Reeling: The Chicago LGBTQ+ International Film Festival
September 24, 2020 - October 4, 2020
Chicago, IL</t>
      </text>
    </comment>
    <comment authorId="0" ref="JV3">
      <text>
        <t xml:space="preserve">ImageOut: The Rochester LGBT Film and Video Festival
October 8, 2020 - October 18, 2020
Rochester, NY</t>
      </text>
    </comment>
    <comment authorId="0" ref="KI3">
      <text>
        <t xml:space="preserve">NewFest: New York's LGBTQ Film Festival
October 21, 2020 - October 27, 2020
New York City, NY</t>
      </text>
    </comment>
    <comment authorId="0" ref="LF3">
      <text>
        <t xml:space="preserve">San Francisco Transgender Film Festival
November 12, 2020 - November 15, 2020
San Francisco, CA</t>
      </text>
    </comment>
    <comment authorId="0" ref="DC4">
      <text>
        <t xml:space="preserve">ClexaCon Film Festival
April 16, 2020 - April 19, 2020
Las Vegas, NV</t>
      </text>
    </comment>
    <comment authorId="0" ref="DX4">
      <text>
        <t xml:space="preserve">Translations: Seattle Transgender Film Festival
May 7, 2020 - May 10, 2020
Seattle, WA</t>
      </text>
    </comment>
    <comment authorId="0" ref="HR4">
      <text>
        <t xml:space="preserve">North Carolina Gay &amp; Lesbian Film Festival
August 13, 2020 - August 16, 2020
Durham, NC</t>
      </text>
    </comment>
    <comment authorId="0" ref="JV4">
      <text>
        <t xml:space="preserve">OUTshine LGBTQ+ Film Festival - Fort Lauderdale
October 8, 2020 - October 18, 2020
Ft. Lauderdale, FL</t>
      </text>
    </comment>
    <comment authorId="0" ref="JO5">
      <text>
        <t xml:space="preserve">Pittsburgh LGBT Film Festival
October 1, 2020 - October 10, 2020
Pittsburgh, PA</t>
      </text>
    </comment>
    <comment authorId="0" ref="KC5">
      <text>
        <t xml:space="preserve">Reel Affirmations: Washington DC's International LGBTQ Film Festival
October 15, 2020 - October 18, 2020
Washington , DC</t>
      </text>
    </comment>
    <comment authorId="0" ref="JW6">
      <text>
        <t xml:space="preserve">Way OUT West Film Fest
October 9, 2020 - October 18, 2020
Albuquerque, NM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San Luis Obispo Jewish Film Festival
January 2, 2020 - January 5, 2020
San Luis Obispo, CA</t>
      </text>
    </comment>
    <comment authorId="0" ref="P3">
      <text>
        <t xml:space="preserve">New York Jewish Film Festival
January 15, 2020 - January 28, 2020
New York, NY</t>
      </text>
    </comment>
    <comment authorId="0" ref="AN3">
      <text>
        <t xml:space="preserve">Louisville Jewish Film Festival
February 8, 2020 - March 3, 2020
Louisville, KY</t>
      </text>
    </comment>
    <comment authorId="0" ref="BN3">
      <text>
        <t xml:space="preserve">Hartford Jewish Film Festival
March 5, 2020 - March 15, 2020
Hartford, CT</t>
      </text>
    </comment>
    <comment authorId="0" ref="CK3">
      <text>
        <t xml:space="preserve">Rockland Jewish Film Festival
March 29, 2020 - April 30, 2020
West Nyack, NY</t>
      </text>
    </comment>
    <comment authorId="0" ref="DX3">
      <text>
        <t xml:space="preserve">Washington Jewish Film Festival
May 7, 2020 - May 24, 2020
Washington, D.C, DC</t>
      </text>
    </comment>
    <comment authorId="0" ref="FE3">
      <text>
        <t xml:space="preserve">Dayton Jewish Film Festival
June 9, 2020 - June 30, 2020
Dayton, OH</t>
      </text>
    </comment>
    <comment authorId="0" ref="GP3">
      <text>
        <t xml:space="preserve">San Francisco Jewish Film Festival
July 16, 2020 - August 2, 2020
San Francisco, CA</t>
      </text>
    </comment>
    <comment authorId="0" ref="KA3">
      <text>
        <t xml:space="preserve">Nashville Jewish Film Festival
October 13, 2020 - November 5, 2020
Nashville, TN</t>
      </text>
    </comment>
    <comment authorId="0" ref="LA3">
      <text>
        <t xml:space="preserve">Philadelphia Jewish Film Festival
November 7, 2020 - November 21, 2020
Philadelphia, PA</t>
      </text>
    </comment>
    <comment authorId="0" ref="J4">
      <text>
        <t xml:space="preserve">Miami Jewish Film Festival 
January 9, 2020 - January 20, 2020
Miami, FL</t>
      </text>
    </comment>
    <comment authorId="0" ref="AG4">
      <text>
        <t xml:space="preserve">Charlotte Jewish Film Festival
February 1, 2020 - February 23, 2020
Charlotte, NC</t>
      </text>
    </comment>
    <comment authorId="0" ref="BH4">
      <text>
        <t xml:space="preserve">Chicago Jewish Film Festival
February 28, 2020 - March 15, 2020
Chicago, IL</t>
      </text>
    </comment>
    <comment authorId="0" ref="CC4">
      <text>
        <t xml:space="preserve">Seattle Jewish Film Festival
March 21, 2020 - April 5, 2020
Mercer Island, WA</t>
      </text>
    </comment>
    <comment authorId="0" ref="DJ4">
      <text>
        <t xml:space="preserve">JFilm Festival
April 23, 2020 - May 3, 2020
Pittsburgh, PA</t>
      </text>
    </comment>
    <comment authorId="0" ref="FL4">
      <text>
        <t xml:space="preserve">Portland Jewish Film Festival
June 16, 2020 - June 30, 2020
Portland, OR</t>
      </text>
    </comment>
    <comment authorId="0" ref="KE4">
      <text>
        <t xml:space="preserve">Twin Cities Jewish Film Festival
October 17, 2020 - November 1, 2020
St. Louis Park, MN</t>
      </text>
    </comment>
    <comment authorId="0" ref="KY4">
      <text>
        <t xml:space="preserve">Northern Virginia Jewish Film Festival
November 5, 2020 - November 15, 2020
Fairfax, VA</t>
      </text>
    </comment>
    <comment authorId="0" ref="O5">
      <text>
        <t xml:space="preserve">Tucson International Jewish Film Festival
January 14, 2020 - January 19, 2020
Tucson, AZ</t>
      </text>
    </comment>
    <comment authorId="0" ref="AA5">
      <text>
        <t xml:space="preserve">Palm Beach Jewish Film Festival
January 26, 2020 - February 16, 2020
Palm Beach, FL</t>
      </text>
    </comment>
    <comment authorId="0" ref="AX5">
      <text>
        <t xml:space="preserve">New York Sephardic Jewish Film Festival
February 18, 2020 - February 27, 2020
New York, NY</t>
      </text>
    </comment>
    <comment authorId="0" ref="BS5">
      <text>
        <t xml:space="preserve">Santa Barbara Jewish Film Festival
March 11, 2020 - March 15, 2020
Santa Barbara, CA</t>
      </text>
    </comment>
    <comment authorId="0" ref="CC5">
      <text>
        <t xml:space="preserve">Houston Jewish Film Festival
March 21, 2020 - April 1, 2020
Houston, TX</t>
      </text>
    </comment>
    <comment authorId="0" ref="DT5">
      <text>
        <t xml:space="preserve">Detroit Jewish Film Festival
May 3, 2020 - May 13, 2020
Detroit, MI</t>
      </text>
    </comment>
    <comment authorId="0" ref="P6">
      <text>
        <t xml:space="preserve">Baton Rouge Jewish Film Festival
January 15, 2020 - January 20, 2020
Baton Rouge, LA</t>
      </text>
    </comment>
    <comment authorId="0" ref="AK6">
      <text>
        <t xml:space="preserve">Atlanta Jewish Film Festival
February 5, 2020 - February 25, 2020
Atlanta, GA</t>
      </text>
    </comment>
    <comment authorId="0" ref="CG6">
      <text>
        <t xml:space="preserve">Pioneer Valley Jewish Film Festival
March 25, 2020 - April 5, 2020
Springfield, MA</t>
      </text>
    </comment>
    <comment authorId="0" ref="DQ6">
      <text>
        <t xml:space="preserve">Los Angeles Jewish Film Festival
April 30, 2020 - May 7, 2020
Los Angeles, CA</t>
      </text>
    </comment>
    <comment authorId="0" ref="AO7">
      <text>
        <t xml:space="preserve">Phoenix Jewish Film Festival
February 9, 2020 - February 23, 2020
Phoenix, AZ</t>
      </text>
    </comment>
    <comment authorId="0" ref="CA7">
      <text>
        <t xml:space="preserve">New Hampshire Jewish Film Festival
March 19, 2020 - March 29, 2020
Manchester, NH</t>
      </text>
    </comment>
    <comment authorId="0" ref="AK8">
      <text>
        <t xml:space="preserve">Denver Jewish Film Festival
February 5, 2020 - February 17, 2020
Denver, CO</t>
      </text>
    </comment>
    <comment authorId="0" ref="CA8">
      <text>
        <t xml:space="preserve">New Jersey Jewish Film Festival
March 19, 2020 - March 29, 2020
West Orange, NJ</t>
      </text>
    </comment>
    <comment authorId="0" ref="AR9">
      <text>
        <t xml:space="preserve">San Diego Jewish Film Festival
February 12, 2020 - February 23, 2020
San Diego, CA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3">
      <text>
        <t xml:space="preserve">Legacy of Black Women Film Showcase
January 17, 2020 - January 19, 2020
Charlotte, NC</t>
      </text>
    </comment>
    <comment authorId="0" ref="W3">
      <text>
        <t xml:space="preserve">Denton Black Film Festival 
January 22, 2020 - January 26, 2020
Denton, TX</t>
      </text>
    </comment>
    <comment authorId="0" ref="AF3">
      <text>
        <t xml:space="preserve">Cascade Festival of African Films
January 31, 2020 - February 29, 2020
Portland, OR</t>
      </text>
    </comment>
    <comment authorId="0" ref="CO3">
      <text>
        <t xml:space="preserve">Charlotte Black Film Festival
April 2, 2020 - April 5, 2020
Charlotte, NC</t>
      </text>
    </comment>
    <comment authorId="0" ref="DJ3">
      <text>
        <t xml:space="preserve">Las Vegas Black Film Festival
April 23, 2020 - April 26, 2020
Las Vagas, NV</t>
      </text>
    </comment>
    <comment authorId="0" ref="DS3">
      <text>
        <t xml:space="preserve">Women of African Descent Film Festival
May 2, 2020 - May 2, 2020
Brooklyn, NY</t>
      </text>
    </comment>
    <comment authorId="0" ref="EF3">
      <text>
        <t xml:space="preserve">New York African Film Festival
May 15, 2020 - May 31, 2020
New York, NY</t>
      </text>
    </comment>
    <comment authorId="0" ref="FG3">
      <text>
        <t xml:space="preserve">San Francisco Black Film Festival
June 11, 2020 - June 14, 2020
San Francisco, CA</t>
      </text>
    </comment>
    <comment authorId="0" ref="FM3">
      <text>
        <t xml:space="preserve">American Black Film Festival
June 17, 2020 - June 21, 2020
Miami Beach, FL</t>
      </text>
    </comment>
    <comment authorId="0" ref="GI3">
      <text>
        <t xml:space="preserve">Newark Black Film Festival
July 9, 2020 - July 11, 2020
Newark, NJ</t>
      </text>
    </comment>
    <comment authorId="0" ref="HD3">
      <text>
        <t xml:space="preserve">BlackStar Film Festival
July 30, 2020 - August 2, 2020
Philadelphia, PA</t>
      </text>
    </comment>
    <comment authorId="0" ref="HL3">
      <text>
        <t xml:space="preserve">RSF Martha's Vinyard African American Film Festival, The
August 7, 2020 - August 15, 2020
Vinyard Havens, MA</t>
      </text>
    </comment>
    <comment authorId="0" ref="IE3">
      <text>
        <t xml:space="preserve">BronzeLens Film Festival
August 26, 2020 - August 30, 2020
Atlanta, GA</t>
      </text>
    </comment>
    <comment authorId="0" ref="IN3">
      <text>
        <t xml:space="preserve">Urban Film Festival
September 4, 2020 - September 6, 2020
Miami, FL</t>
      </text>
    </comment>
    <comment authorId="0" ref="JA3">
      <text>
        <t xml:space="preserve">DC Black Film Festival
September 17, 2020 - September 19, 2020
Washington, DC, DC</t>
      </text>
    </comment>
    <comment authorId="0" ref="JM3">
      <text>
        <t xml:space="preserve">International Black Film Festival (Nashville)
September 29, 2020 - October 4, 2020
Nashville, TN</t>
      </text>
    </comment>
    <comment authorId="0" ref="JU3">
      <text>
        <t xml:space="preserve">Baltimore International Black Film Festival
October 7, 2020 - October 12, 2020
Baltimore, MD</t>
      </text>
    </comment>
    <comment authorId="0" ref="KC3">
      <text>
        <t xml:space="preserve">Urban Mediamakers Festival
October 15, 2020 - October 18, 2020
Atlanta, GA</t>
      </text>
    </comment>
    <comment authorId="0" ref="KI3">
      <text>
        <t xml:space="preserve">Twin Cities Black Film Festival
October 21, 2020 - October 24, 2020
Minneapolis, MN</t>
      </text>
    </comment>
    <comment authorId="0" ref="AD4">
      <text>
        <t xml:space="preserve">San Diego Black Film Festival
January 29, 2020 - February 2, 2020
San Diego, CA</t>
      </text>
    </comment>
    <comment authorId="0" ref="AL4">
      <text>
        <t xml:space="preserve">Pan African Film &amp; Arts Festival
February 6, 2020 - February 17, 2020
Los Angeles, CA</t>
      </text>
    </comment>
    <comment authorId="0" ref="BA4">
      <text>
        <t xml:space="preserve">Bill Johnson Black Film Festival
February 21, 2020 - February 22, 2020
Gary, IN</t>
      </text>
    </comment>
    <comment authorId="0" ref="CN4">
      <text>
        <t xml:space="preserve">Sistas Are Doing It For Themselves
April 1, 2020 - April 1, 2020
Los Angeles, CA</t>
      </text>
    </comment>
    <comment authorId="0" ref="DJ4">
      <text>
        <t xml:space="preserve">Seattle Black Film Festival
April 23, 2020 - April 26, 2020
Seattle, WA</t>
      </text>
    </comment>
    <comment authorId="0" ref="EE4">
      <text>
        <t xml:space="preserve">North Carolina Black Film Festival
May 14, 2020 - May 17, 2020
Wilmington, NC</t>
      </text>
    </comment>
    <comment authorId="0" ref="EP4">
      <text>
        <t xml:space="preserve">Orlando Urban Film Festival
May 25, 2020 - May 25, 2020
Orlando, FL</t>
      </text>
    </comment>
    <comment authorId="0" ref="EW4">
      <text>
        <t xml:space="preserve">African Film Festival, The
June 1, 2020 - June 6, 2020
Dallas, TX</t>
      </text>
    </comment>
    <comment authorId="0" ref="AS5">
      <text>
        <t xml:space="preserve">Hayti Heritage Film Festival
February 13, 2020 - February 15, 2020
Durham, NC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D3">
      <text>
        <t xml:space="preserve">NC South Asian Film Festival
January 29, 2020 - January 29, 2020
Durham, NC</t>
      </text>
    </comment>
    <comment authorId="0" ref="AZ3">
      <text>
        <t xml:space="preserve">Seattle Asian American Film Festival 
February 20, 2020 - February 23, 2020
Seattle, WA</t>
      </text>
    </comment>
    <comment authorId="0" ref="BT3">
      <text>
        <t xml:space="preserve">DisOrient Asian American Film Festival of Oregon
March 12, 2020 - March 15, 2020
Eugene, OR</t>
      </text>
    </comment>
    <comment authorId="0" ref="CP3">
      <text>
        <t xml:space="preserve">Asian American Showcase, The
April 3, 2020 - April 16, 2020
Chicago, IL</t>
      </text>
    </comment>
    <comment authorId="0" ref="DK3">
      <text>
        <t xml:space="preserve">DC Asian Pacific American Film Festival
April 24, 2020 - April 26, 2020
Washington, D.C, DC</t>
      </text>
    </comment>
    <comment authorId="0" ref="DQ3">
      <text>
        <t xml:space="preserve">Los Angeles Asian Pacific Film Festival
April 30, 2020 - May 8, 2020
Los Angeles, CA</t>
      </text>
    </comment>
    <comment authorId="0" ref="EE3">
      <text>
        <t xml:space="preserve">CAAM Fest
May 14, 2020 - May 24, 2020
Bay Area, CA</t>
      </text>
    </comment>
    <comment authorId="0" ref="FG3">
      <text>
        <t xml:space="preserve">Austin Asian American Film Festival
June 11, 2020 - June 14, 2020
Austin, TX</t>
      </text>
    </comment>
    <comment authorId="0" ref="GP3">
      <text>
        <t xml:space="preserve">Asian Film Festival of Dallas
July 16, 2020 - July 23, 2020
Dallas, TX</t>
      </text>
    </comment>
    <comment authorId="0" ref="JP3">
      <text>
        <t xml:space="preserve">Tasveer South Asian Film Festival
October 2, 2020 - October 11, 2020
Seattle, WA</t>
      </text>
    </comment>
    <comment authorId="0" ref="KJ3">
      <text>
        <t xml:space="preserve">KAFFNY Infinite Cinema
October 22, 2020 - October 25, 2020
New York, NY</t>
      </text>
    </comment>
    <comment authorId="0" ref="KY3">
      <text>
        <t xml:space="preserve">Philadelphia Asian American Film Festival
November 5, 2020 - November 15, 2020
Philadelphia, PA</t>
      </text>
    </comment>
    <comment authorId="0" ref="LA4">
      <text>
        <t xml:space="preserve">San Diego Asian Film Festival
November 7, 2020 - November 7, 2020
San Diego, CA</t>
      </text>
    </comment>
  </commentList>
</comments>
</file>

<file path=xl/sharedStrings.xml><?xml version="1.0" encoding="utf-8"?>
<sst xmlns="http://schemas.openxmlformats.org/spreadsheetml/2006/main" count="16271" uniqueCount="5185">
  <si>
    <t>Dated Reported</t>
  </si>
  <si>
    <t>Object ID</t>
  </si>
  <si>
    <t>Festival Name</t>
  </si>
  <si>
    <t>Website</t>
  </si>
  <si>
    <t>FilmFreeway / Submissions</t>
  </si>
  <si>
    <t>Date Changes &amp; Cancellations due to COVID-19</t>
  </si>
  <si>
    <t>Original Start Date</t>
  </si>
  <si>
    <t>Original End Date</t>
  </si>
  <si>
    <t>City</t>
  </si>
  <si>
    <t>State</t>
  </si>
  <si>
    <t>Last Year's Month</t>
  </si>
  <si>
    <t>Bam Cinemafest</t>
  </si>
  <si>
    <t>https://www.bam.org</t>
  </si>
  <si>
    <t>2020 Calendar</t>
  </si>
  <si>
    <t>ADDRESS</t>
  </si>
  <si>
    <t>JANUARY</t>
  </si>
  <si>
    <t>Primary Category for Calendar</t>
  </si>
  <si>
    <t>FEBRUARY</t>
  </si>
  <si>
    <t>Category</t>
  </si>
  <si>
    <t>GA</t>
  </si>
  <si>
    <t>MARCH</t>
  </si>
  <si>
    <t>APRIL</t>
  </si>
  <si>
    <t>MAY</t>
  </si>
  <si>
    <t>JUNE</t>
  </si>
  <si>
    <t>---</t>
  </si>
  <si>
    <t>JULY</t>
  </si>
  <si>
    <t>Canceled</t>
  </si>
  <si>
    <t>tbd</t>
  </si>
  <si>
    <t>Brooklyn</t>
  </si>
  <si>
    <t>NY</t>
  </si>
  <si>
    <t>American Black Film Festival</t>
  </si>
  <si>
    <t>AUGUST</t>
  </si>
  <si>
    <t>SEPTEMBER</t>
  </si>
  <si>
    <t>OCTOBER</t>
  </si>
  <si>
    <t>NOVEMBER</t>
  </si>
  <si>
    <t>DECEMBER</t>
  </si>
  <si>
    <t>http://www.abff.com/</t>
  </si>
  <si>
    <t>Start Date</t>
  </si>
  <si>
    <t>End Date</t>
  </si>
  <si>
    <t>https://filmfreeway.com/AmericanBlackFilmFestival</t>
  </si>
  <si>
    <t>First Submission Deadline</t>
  </si>
  <si>
    <t>Last Submission Deadline</t>
  </si>
  <si>
    <t>New Dates: Oct 21-25</t>
  </si>
  <si>
    <t>COLOR CODING KEY</t>
  </si>
  <si>
    <t>Miami Beach</t>
  </si>
  <si>
    <t>Category Start</t>
  </si>
  <si>
    <t>FL</t>
  </si>
  <si>
    <t>Mammoth Lakes Film Festival</t>
  </si>
  <si>
    <t>General</t>
  </si>
  <si>
    <t>https://www.mammothlakesfilmfestival.com/</t>
  </si>
  <si>
    <t xml:space="preserve"> </t>
  </si>
  <si>
    <t>Documentary</t>
  </si>
  <si>
    <t>Short</t>
  </si>
  <si>
    <t>Women's</t>
  </si>
  <si>
    <t>LGBTQ+</t>
  </si>
  <si>
    <t>Jewish</t>
  </si>
  <si>
    <t>Black, African, Afr. Am. (etc)</t>
  </si>
  <si>
    <t>Asian, As. Am. (etc)</t>
  </si>
  <si>
    <t>https://filmfreeway.com/MammothLakesFilmFestival</t>
  </si>
  <si>
    <t>Latino, Latin American (etc)</t>
  </si>
  <si>
    <t>Native American, Indigenous (etc)</t>
  </si>
  <si>
    <t>Muslim, Arab, Arab Am. (etc)</t>
  </si>
  <si>
    <t>Misc. Ethnic, Cultural, Foreign Focus (etc)</t>
  </si>
  <si>
    <t>Genre - (SciFi, Fantasy, Thriller, Horror, etc.)</t>
  </si>
  <si>
    <t>Horror</t>
  </si>
  <si>
    <t>Underground</t>
  </si>
  <si>
    <t>Animation</t>
  </si>
  <si>
    <t>New Dates: Sept 16-20</t>
  </si>
  <si>
    <t>Mammoth Lakes</t>
  </si>
  <si>
    <t>Comedy</t>
  </si>
  <si>
    <t>Student</t>
  </si>
  <si>
    <t>Misc. Niche</t>
  </si>
  <si>
    <t>CA</t>
  </si>
  <si>
    <t>Nantucket Film Festival</t>
  </si>
  <si>
    <t>http://nantucketfilmfestival.org/</t>
  </si>
  <si>
    <t>Environment, Outdoor, Adventure, Wildlife</t>
  </si>
  <si>
    <t>https://filmfreeway.com/NantucketFilmFestival</t>
  </si>
  <si>
    <t>Social Justice, Peace</t>
  </si>
  <si>
    <t>Postponed</t>
  </si>
  <si>
    <t>Nantucket</t>
  </si>
  <si>
    <t>MA</t>
  </si>
  <si>
    <t>Provincetown Film Festival</t>
  </si>
  <si>
    <t>http://www.ptownfilmfest.org/</t>
  </si>
  <si>
    <t>https://filmfreeway.com/ProvincetownFilmFestival</t>
  </si>
  <si>
    <t>Canceled (exploring alternative programming)</t>
  </si>
  <si>
    <t>Provincetown</t>
  </si>
  <si>
    <t>Orlando International Film Festival</t>
  </si>
  <si>
    <t>https://orlandointernationalfilmfestival.org</t>
  </si>
  <si>
    <t>Children's</t>
  </si>
  <si>
    <t>Dance</t>
  </si>
  <si>
    <t>Christian</t>
  </si>
  <si>
    <t>Experimental, Video Art (etc)</t>
  </si>
  <si>
    <t>1300 North Atlantic Avenue, Cocoa Beach, Florida 32931</t>
  </si>
  <si>
    <t>15 Minutes of Fame Indie Film Festival</t>
  </si>
  <si>
    <t>https://etheridgeproductions.com/</t>
  </si>
  <si>
    <t>https://filmfreeway.com/15MinutesofFame</t>
  </si>
  <si>
    <t>Cocoa Beach</t>
  </si>
  <si>
    <t>x</t>
  </si>
  <si>
    <t>352 Cypress Street, Abilene, Texas 79601 United States</t>
  </si>
  <si>
    <t>24fps International Short Film Festival</t>
  </si>
  <si>
    <t>http://24fpsfest.com</t>
  </si>
  <si>
    <t>Abilene</t>
  </si>
  <si>
    <t>TX</t>
  </si>
  <si>
    <t>567 Colorado Avenue, Carbondale, Colorado 81623</t>
  </si>
  <si>
    <t>Short, Environmental/Outdoor/Adventure/Wildlife</t>
  </si>
  <si>
    <t>5Point Adventure Film Festival</t>
  </si>
  <si>
    <t>https://5pointfilm.org/</t>
  </si>
  <si>
    <t>https://filmfreeway.com/5PointFilmFestival</t>
  </si>
  <si>
    <t xml:space="preserve">Women's </t>
  </si>
  <si>
    <t>Carbondale</t>
  </si>
  <si>
    <t>CO</t>
  </si>
  <si>
    <t>1101 Center Avenue Mall, Fort Collins, Colorado 80521 United States</t>
  </si>
  <si>
    <t>Student, Short</t>
  </si>
  <si>
    <t>ACT Human Rights Film Festival</t>
  </si>
  <si>
    <t>https://actfilmfest.colostate.edu</t>
  </si>
  <si>
    <t>Fort Collins</t>
  </si>
  <si>
    <t>Orlando</t>
  </si>
  <si>
    <t>Hollywood Comedy Shorts</t>
  </si>
  <si>
    <t>http://www.hollywoodcomedyshortsfilmfest.com/</t>
  </si>
  <si>
    <t xml:space="preserve">--- </t>
  </si>
  <si>
    <t>https://filmfreeway.com/HollywoodComedyShorts</t>
  </si>
  <si>
    <t>New Dates: Nov 12-14</t>
  </si>
  <si>
    <t>Sherman Oaks</t>
  </si>
  <si>
    <t>Washington Jewish Film Festival</t>
  </si>
  <si>
    <t>https://www.wjff.org/</t>
  </si>
  <si>
    <t>3545 Lipan Street Denver, CO 80211 United States</t>
  </si>
  <si>
    <t>Action Figure Film Festival</t>
  </si>
  <si>
    <t>http://www.actionfigurefilmfestival.com/</t>
  </si>
  <si>
    <t>https://filmfreeway.com/WJFF</t>
  </si>
  <si>
    <t>Postponed (late summer or fall date TBD)</t>
  </si>
  <si>
    <t>https://filmfreeway.com/afff</t>
  </si>
  <si>
    <t>Washington, D.C</t>
  </si>
  <si>
    <t>DC</t>
  </si>
  <si>
    <t xml:space="preserve">Julien Dubuque International Film Festival </t>
  </si>
  <si>
    <t>http://julienfilmfest.com/</t>
  </si>
  <si>
    <t>https://filmfreeway.com/JulienDubuqueInternationalFilmFestival</t>
  </si>
  <si>
    <t>Denver</t>
  </si>
  <si>
    <t>New Dates: June 17-21</t>
  </si>
  <si>
    <t>Dubuque</t>
  </si>
  <si>
    <t>IA</t>
  </si>
  <si>
    <t>Freep Film Festival</t>
  </si>
  <si>
    <t>https://freepfilmfestival.com/</t>
  </si>
  <si>
    <t>3540 W.Sahara Ave., Las Vegas, Nv 89102</t>
  </si>
  <si>
    <t>Action On Film Festival</t>
  </si>
  <si>
    <t>https://www.actiononfilmfest.com/</t>
  </si>
  <si>
    <t>https://filmfreeway.com/FreepFilmFestival</t>
  </si>
  <si>
    <t>https://filmfreeway.com/aofmegafest</t>
  </si>
  <si>
    <t>Las Vegas</t>
  </si>
  <si>
    <t>NV</t>
  </si>
  <si>
    <t>Postponed (planning to move to first week in Dec.)</t>
  </si>
  <si>
    <t>32123 Boone, NC 28608 United States</t>
  </si>
  <si>
    <t>ADF's Movies by Movers</t>
  </si>
  <si>
    <t>http://www.americandancefestival.org/projects/moviesbymovers/</t>
  </si>
  <si>
    <t>Detroit</t>
  </si>
  <si>
    <t>https://filmfreeway.com/MoviesByMovers</t>
  </si>
  <si>
    <t>MI</t>
  </si>
  <si>
    <t>Austin Comedy Short Film Festival</t>
  </si>
  <si>
    <t>https://info.filmfestivalcircuit.com/austin-comedy-short-film-festival</t>
  </si>
  <si>
    <t>Boone</t>
  </si>
  <si>
    <t>NC</t>
  </si>
  <si>
    <t>https://filmfreeway.com/AustinComedyShortFilmFestival</t>
  </si>
  <si>
    <t>207 Glen Street, Glens Falls, New York 12801</t>
  </si>
  <si>
    <t>Adirondack Film Festival</t>
  </si>
  <si>
    <t>http://www.adkfilmfestival.org/</t>
  </si>
  <si>
    <t>New Date: Sept 13</t>
  </si>
  <si>
    <t>Austin</t>
  </si>
  <si>
    <t>Houston Comedy Film Festival</t>
  </si>
  <si>
    <t>https://info.filmfestivalcircuit.com/houston-comedy-film-festival</t>
  </si>
  <si>
    <t>https://filmfreeway.com/AdirondackFilmFestival</t>
  </si>
  <si>
    <t>https://filmfreeway.com/HoustonComedyFilmFestival</t>
  </si>
  <si>
    <t>Glen Falls</t>
  </si>
  <si>
    <t>New Date: Sept 12</t>
  </si>
  <si>
    <t>Katy</t>
  </si>
  <si>
    <t>Southern Arizona Independent Film Festival</t>
  </si>
  <si>
    <t>http://www.willcoxfilmfest.com/SAIFF/</t>
  </si>
  <si>
    <t>2032 14th Street, Boulder, Colorado 80302</t>
  </si>
  <si>
    <t>https://filmfreeway.com/SouthernArizonaIndependentFilmFestival</t>
  </si>
  <si>
    <t>Postponed (planning on late summer)</t>
  </si>
  <si>
    <t>Wilcox</t>
  </si>
  <si>
    <t>AZ</t>
  </si>
  <si>
    <t>Adventure Film Festival</t>
  </si>
  <si>
    <t>http://www.adv...turefilm.org/</t>
  </si>
  <si>
    <t>Charlotte Black Film Festival</t>
  </si>
  <si>
    <t>http://charlotteblackfilmfestival.com/</t>
  </si>
  <si>
    <t>https://filmfreeway.com/CharlotteBlackFilmFestival</t>
  </si>
  <si>
    <t>Boulder</t>
  </si>
  <si>
    <t>New Dates: June 18-21</t>
  </si>
  <si>
    <t>Charlotte</t>
  </si>
  <si>
    <t>Cedar Rapids Independent Film Festival</t>
  </si>
  <si>
    <t>http://www.crifm.org/</t>
  </si>
  <si>
    <t>Cedar Rapids</t>
  </si>
  <si>
    <t>NYC Short Documentary Film Festival</t>
  </si>
  <si>
    <t>http://nycsdff.com/</t>
  </si>
  <si>
    <t>https://filmfreeway.com/NYCSDFF</t>
  </si>
  <si>
    <t>Events canceled; virtual festival TBA</t>
  </si>
  <si>
    <t>8633 Colesville Road, Silver Spring, MD 20910</t>
  </si>
  <si>
    <t>New York</t>
  </si>
  <si>
    <t>New York City Short Comedy Film Festival</t>
  </si>
  <si>
    <t>http://nycscff.com/</t>
  </si>
  <si>
    <t>AFI Docs</t>
  </si>
  <si>
    <t>https://filmfreeway.com/NYCSCFF</t>
  </si>
  <si>
    <t>Events Canceled; Virtual festival TBA</t>
  </si>
  <si>
    <t>Los Angeles Greek Film Festival</t>
  </si>
  <si>
    <t>http://lagff.org/</t>
  </si>
  <si>
    <t>http://www.afi.com/afidocs/</t>
  </si>
  <si>
    <t>https://filmfreeway.com/LosAngelesGreekFilmFestival</t>
  </si>
  <si>
    <t>New Dates: May 30-Jun 7</t>
  </si>
  <si>
    <t>JFilm Festival</t>
  </si>
  <si>
    <t>https://filmpittsburgh.org/pages/jfilm</t>
  </si>
  <si>
    <t>Washington</t>
  </si>
  <si>
    <t>https://filmfreeway.com/JFilmFestival</t>
  </si>
  <si>
    <t>Pittsburgh</t>
  </si>
  <si>
    <t>PA</t>
  </si>
  <si>
    <t>Detroit International Festival of Animation</t>
  </si>
  <si>
    <t>http://www.difestofanim.com/</t>
  </si>
  <si>
    <t xml:space="preserve">2021 North Western Avenue, Los Angeles, CA 90027 </t>
  </si>
  <si>
    <t>AFI Fest</t>
  </si>
  <si>
    <t>http://www.afi.com/afifest/</t>
  </si>
  <si>
    <t>https://filmfreeway.com/difestofanim</t>
  </si>
  <si>
    <t>https://filmfreeway.com/AFIFEST</t>
  </si>
  <si>
    <t>Switched to Online (free streaming for everyone)</t>
  </si>
  <si>
    <t>Los Angeles</t>
  </si>
  <si>
    <t>X</t>
  </si>
  <si>
    <t>Chicago Underground Film Festival</t>
  </si>
  <si>
    <t>https://cuff.org/</t>
  </si>
  <si>
    <t>https://filmfreeway.com/ChicagoUndergroundFilmFestival</t>
  </si>
  <si>
    <t>525 W 120th St, New York, NY 10027</t>
  </si>
  <si>
    <t>Black/African/African American</t>
  </si>
  <si>
    <t>African Diaspora International Film Festival</t>
  </si>
  <si>
    <t>Postponed (Tentative new dates: Sept 9-13)</t>
  </si>
  <si>
    <t>Chicago</t>
  </si>
  <si>
    <t>IL</t>
  </si>
  <si>
    <t>Mountainfilm</t>
  </si>
  <si>
    <t>https://www.mountainfilm.org/</t>
  </si>
  <si>
    <t>http://nyadiff.org/</t>
  </si>
  <si>
    <t>https://filmfreeway.com/AfricanDiasporaInternationalFilmFestival</t>
  </si>
  <si>
    <t>https://filmfreeway.com/Mountainfilm</t>
  </si>
  <si>
    <t>Moved to fully online</t>
  </si>
  <si>
    <t>Telluride</t>
  </si>
  <si>
    <t>Hill Country Film Festival</t>
  </si>
  <si>
    <t>http://www.hillcountryff.com/</t>
  </si>
  <si>
    <t>https://filmfreeway.com/HillCountryFilmFestival</t>
  </si>
  <si>
    <t>Fredericksburg</t>
  </si>
  <si>
    <t>Seattle Black Film Festival</t>
  </si>
  <si>
    <t>https://www.langstonseattle.org/lhaaff/</t>
  </si>
  <si>
    <t>154 W 18th St Suite 2A New York, New York(NY) 10011 United States</t>
  </si>
  <si>
    <t>https://filmfreeway.com/SeattleBlackFilmFestival</t>
  </si>
  <si>
    <t>African Film Festival New York</t>
  </si>
  <si>
    <t>New Dates: July 9-12</t>
  </si>
  <si>
    <t>https://www.africanfilmny.org</t>
  </si>
  <si>
    <t>Seattle</t>
  </si>
  <si>
    <t>WA</t>
  </si>
  <si>
    <t>Italian Film Festival USA</t>
  </si>
  <si>
    <t>http://www.italianfilmfests.org</t>
  </si>
  <si>
    <t>https://filmfreeway.com/NYAFF26</t>
  </si>
  <si>
    <t>St. Louis</t>
  </si>
  <si>
    <t>MO</t>
  </si>
  <si>
    <t>Motor City Nightmares International Film Festival</t>
  </si>
  <si>
    <t>http://motorcitynightmares.com/</t>
  </si>
  <si>
    <t>3536 Grand Ave, Dallas, TX 75210</t>
  </si>
  <si>
    <t>African Film Festival, The</t>
  </si>
  <si>
    <t>http://www.theafricanfilmfestival.org/</t>
  </si>
  <si>
    <t>https://filmfreeway.com/MCNFF</t>
  </si>
  <si>
    <t>https://filmfreeway.com/taff</t>
  </si>
  <si>
    <t>New Dates: July 24-26</t>
  </si>
  <si>
    <t>Novi</t>
  </si>
  <si>
    <t>Monadnock International Film Festival</t>
  </si>
  <si>
    <t>https://www.moniff.org/</t>
  </si>
  <si>
    <t>Dallas</t>
  </si>
  <si>
    <t>https://filmfreeway.com/MonadnockInternationalFilmFestival</t>
  </si>
  <si>
    <t>1249 Marin Ave. Albany, CA 94706 United States</t>
  </si>
  <si>
    <t>Keene</t>
  </si>
  <si>
    <t>NH</t>
  </si>
  <si>
    <t>Bare Bones International Film &amp; Music Festival</t>
  </si>
  <si>
    <t>Albany Film Fest</t>
  </si>
  <si>
    <t>http://www.barebonesfilmfestival.org/</t>
  </si>
  <si>
    <t>http://www.albanyfilmfest.org/</t>
  </si>
  <si>
    <t>https://filmfreeway.com/AlbanyFilmFest</t>
  </si>
  <si>
    <t>https://filmfreeway.com/BareBonesFilmFestival</t>
  </si>
  <si>
    <t>Albany</t>
  </si>
  <si>
    <t>Postponed until further notice</t>
  </si>
  <si>
    <t>500 East Alexandria Avenue Alexandria, VA 22301 United States</t>
  </si>
  <si>
    <t>Muskogee</t>
  </si>
  <si>
    <t>OK</t>
  </si>
  <si>
    <t>Arizona International Film Festival</t>
  </si>
  <si>
    <t>Alexandria Film Festival</t>
  </si>
  <si>
    <t>http://www.alexfilmfest.com/</t>
  </si>
  <si>
    <t>http://www.filmfestivalarizona.com/</t>
  </si>
  <si>
    <t>https://filmfreeway.com/AlexandriaFilmFestival-523023</t>
  </si>
  <si>
    <t>https://filmfreeway.com/ArizonaInternationalFilmFestival</t>
  </si>
  <si>
    <t xml:space="preserve">Alexandria </t>
  </si>
  <si>
    <t>VA</t>
  </si>
  <si>
    <t>New Dates: Oct 1-12</t>
  </si>
  <si>
    <t>Tucson</t>
  </si>
  <si>
    <t>Laugh or Die Comedy Fest</t>
  </si>
  <si>
    <t>http://www.laughordiecomedyfest.com/</t>
  </si>
  <si>
    <t>234 W 42nd St, New York, NY 10036</t>
  </si>
  <si>
    <t>All American High School Film Festival</t>
  </si>
  <si>
    <t>https://www.hsfilmfest.com/</t>
  </si>
  <si>
    <t>https://filmfreeway.com/LaughorDieComedyFest</t>
  </si>
  <si>
    <t>https://filmfreeway.com/HSFilmFest</t>
  </si>
  <si>
    <t>Canceled (exploring streaming accepted films online)</t>
  </si>
  <si>
    <t>Gatlinburg</t>
  </si>
  <si>
    <t>TN</t>
  </si>
  <si>
    <t>Tiburon International Film Festival</t>
  </si>
  <si>
    <t>http://www.tiburonfilmfestival.com/</t>
  </si>
  <si>
    <t>Asian/Asian American</t>
  </si>
  <si>
    <t>1100 Dexter St, Austin, TX 78704</t>
  </si>
  <si>
    <t>https://filmfreeway.com/TiburonInternationalFilmFestival</t>
  </si>
  <si>
    <t>On hold until further notice</t>
  </si>
  <si>
    <t>Tiburon</t>
  </si>
  <si>
    <t>ME Film Festival</t>
  </si>
  <si>
    <t>https://www.milledgevillefilmfest.com/</t>
  </si>
  <si>
    <t xml:space="preserve">All Genders, Lifestyles, and Identities Film Festival </t>
  </si>
  <si>
    <t>https://www.agliff.org/</t>
  </si>
  <si>
    <t>https://filmfreeway.com/MEFilmFestival</t>
  </si>
  <si>
    <t>New Dates: Nov 2-8</t>
  </si>
  <si>
    <t>Milledgeville</t>
  </si>
  <si>
    <t>Atlanta Film Festival</t>
  </si>
  <si>
    <t>http://atlantafilmfestival.com/</t>
  </si>
  <si>
    <t>https://filmfreeway.com/ATLFF</t>
  </si>
  <si>
    <t>Postponed (new dates TBA)</t>
  </si>
  <si>
    <t>Atlanta</t>
  </si>
  <si>
    <t>Reel Work labor Film Festival</t>
  </si>
  <si>
    <t>http://reelwork.org</t>
  </si>
  <si>
    <t>2820 East 33rd Street, Minneapolis, Minnesota 55406</t>
  </si>
  <si>
    <t>Short, Experimental, Video Art (etc)</t>
  </si>
  <si>
    <t>Altered Esthetics Film Festival</t>
  </si>
  <si>
    <t>https://www.alteredesthetics.org/</t>
  </si>
  <si>
    <t>Live events postponed; some virtual programming being planned</t>
  </si>
  <si>
    <t>Santa Cruz</t>
  </si>
  <si>
    <t>Greenwich International Film Festival</t>
  </si>
  <si>
    <t>https://filmfreeway.com/AeFilmFestival</t>
  </si>
  <si>
    <t>http://www.greenwichfilm.org/</t>
  </si>
  <si>
    <t>https://filmfreeway.com/GreenwichInternationalFilmFestival</t>
  </si>
  <si>
    <t>Minneapolis</t>
  </si>
  <si>
    <t>MN</t>
  </si>
  <si>
    <t>Switched to Virtual only fest: May 1-3</t>
  </si>
  <si>
    <t>Greenwich</t>
  </si>
  <si>
    <t>CT</t>
  </si>
  <si>
    <t>Milwaukee Underground Film Festival</t>
  </si>
  <si>
    <t>1601 Collins Avenue, Miami Beach, FL 33139</t>
  </si>
  <si>
    <t>https://milwaukeeundergroundfilm.org/</t>
  </si>
  <si>
    <t>https://filmfreeway.com/MilwaukeeUndergroundFilmFestival</t>
  </si>
  <si>
    <t>Shepherdstown, WV 25443</t>
  </si>
  <si>
    <t>Environmental/Outdoor/Adventure/Wildlife</t>
  </si>
  <si>
    <t>American Conservation Film Festival</t>
  </si>
  <si>
    <t>http://conservationfilmfest.org/</t>
  </si>
  <si>
    <t>Postponed (Sept. dates TBD)</t>
  </si>
  <si>
    <t>Milwaukee</t>
  </si>
  <si>
    <t>WI</t>
  </si>
  <si>
    <t>Manhattan Film Festival</t>
  </si>
  <si>
    <t>Latino/Latin American</t>
  </si>
  <si>
    <t>http://manhattanff.com/</t>
  </si>
  <si>
    <t>https://filmfreeway.com/ACFF</t>
  </si>
  <si>
    <t>https://filmfreeway.com/ManhattanFF</t>
  </si>
  <si>
    <t>Shepherdstown</t>
  </si>
  <si>
    <t>WV</t>
  </si>
  <si>
    <t>1833 S. Araby Drive #2 Palm Springs, CA 92264 United States</t>
  </si>
  <si>
    <t>New Dates: Jun 19-Jul 2</t>
  </si>
  <si>
    <t>Las Vegas Black Film Festival</t>
  </si>
  <si>
    <t>http://www.lasvegasblackfilmfestival.com/</t>
  </si>
  <si>
    <t>Documentary, Animation</t>
  </si>
  <si>
    <t>American Documentary and Animation Film Festival</t>
  </si>
  <si>
    <t>https://www.americandocumentaryfilmfestival.com/</t>
  </si>
  <si>
    <t>https://filmfreeway.com/LasVegasBlackFilmFestival</t>
  </si>
  <si>
    <t>https://filmfreeway.com/AmericanDocumentaryFilmFestivalandFilmFund</t>
  </si>
  <si>
    <t>New Dates: Aug 6-9</t>
  </si>
  <si>
    <t>Las Vagas</t>
  </si>
  <si>
    <t xml:space="preserve">Soul 4 Reel Film Festival, The </t>
  </si>
  <si>
    <t>http://rockabyemedia.com/soul-4-reel</t>
  </si>
  <si>
    <t>New Dates: Sept 25-29</t>
  </si>
  <si>
    <t>Palm Springs</t>
  </si>
  <si>
    <t>https://filmfreeway.com/soul4reel</t>
  </si>
  <si>
    <t>1140 E Baseline Rd, Tempe, Arizona 85283</t>
  </si>
  <si>
    <t>American Horror Film Festival</t>
  </si>
  <si>
    <t>http://www.americanhorrorfilmfestival.com/</t>
  </si>
  <si>
    <t>New Date: Aug 16 (opening night)</t>
  </si>
  <si>
    <t>District Heights</t>
  </si>
  <si>
    <t>MD</t>
  </si>
  <si>
    <t>Worldfest-Houston International Film &amp; Video Festival</t>
  </si>
  <si>
    <t>https://worldfest.org/</t>
  </si>
  <si>
    <t>https://filmfreeway.com/AmericanHorrorFilmFestival</t>
  </si>
  <si>
    <t>Tempe</t>
  </si>
  <si>
    <t>https://filmfreeway.com/worldfest</t>
  </si>
  <si>
    <t>2940 - 16th Street, Suite 304 San Francisco, CA 94103 United States</t>
  </si>
  <si>
    <t>Rescheduling (summer dates TBD)</t>
  </si>
  <si>
    <t>Houston</t>
  </si>
  <si>
    <t>Harvard College Film Festival</t>
  </si>
  <si>
    <t>http://www.harvardfilmfestival.org/</t>
  </si>
  <si>
    <t>Native American/Indigenous</t>
  </si>
  <si>
    <t>https://filmfreeway.com/HarvardFilmFestival</t>
  </si>
  <si>
    <t>American Indian Film Festival</t>
  </si>
  <si>
    <t>https://www.aifisf.com/</t>
  </si>
  <si>
    <t>New Dates: Nov 6-7</t>
  </si>
  <si>
    <t>Cambridge</t>
  </si>
  <si>
    <t>Tupelo Film Festival</t>
  </si>
  <si>
    <t>https://filmfreeway.com/AIFF</t>
  </si>
  <si>
    <t>http://www.tupelofilmfestival.net/</t>
  </si>
  <si>
    <t>San Francisco</t>
  </si>
  <si>
    <t>https://filmfreeway.com/TupeloFilmFestival</t>
  </si>
  <si>
    <t>210 Peachtree St NW, Atlanta, GA 30303</t>
  </si>
  <si>
    <t>American Youth Film Festival</t>
  </si>
  <si>
    <t>https://www.americanyouthfilmfest.org/</t>
  </si>
  <si>
    <t>Tupelo</t>
  </si>
  <si>
    <t>MS</t>
  </si>
  <si>
    <t>Princeton Environmental Film Festival</t>
  </si>
  <si>
    <t>https://princetonlibrary.org/peff/</t>
  </si>
  <si>
    <t>https://princetonlibrary.org/peff/entry/</t>
  </si>
  <si>
    <t>https://filmfreeway.com/AmericanYouthFilmFestival</t>
  </si>
  <si>
    <t>Postponed (planning on fall dates TBD)</t>
  </si>
  <si>
    <t>Princeton</t>
  </si>
  <si>
    <t>NJ</t>
  </si>
  <si>
    <t>Deaf Rochester Film Festival</t>
  </si>
  <si>
    <t>http://deafrocfilmfest.com</t>
  </si>
  <si>
    <t>200 W 34th Ave, PMB #136 Anchorage, AK 99503 United States</t>
  </si>
  <si>
    <t>Anchorage International Film Festival</t>
  </si>
  <si>
    <t>http://anchoragefilmfestival.org/</t>
  </si>
  <si>
    <t>https://filmfreeway.com/AnchorageInternationalFilmFestival</t>
  </si>
  <si>
    <t>Rochester</t>
  </si>
  <si>
    <t>Experiments in Cinema</t>
  </si>
  <si>
    <t>https://www.experimentsincinema.org/</t>
  </si>
  <si>
    <t>Anchorage</t>
  </si>
  <si>
    <t>AK</t>
  </si>
  <si>
    <t>https://www.experimentsincinema.org/submissions</t>
  </si>
  <si>
    <t>5021 Highland Avenue, Downers Grove, Illinois 60515</t>
  </si>
  <si>
    <t>Student, Animation</t>
  </si>
  <si>
    <t>Anim8 Student Film Festival</t>
  </si>
  <si>
    <t>http://www.afterhoursfilmsociety.com/</t>
  </si>
  <si>
    <t>Albequerque</t>
  </si>
  <si>
    <t>NM</t>
  </si>
  <si>
    <t>Reality Bytes Independent Student Film Festival</t>
  </si>
  <si>
    <t>http://realitybytes.niu.edu/</t>
  </si>
  <si>
    <t>https://filmfreeway.com/Anim8</t>
  </si>
  <si>
    <t>https://filmfreeway.com/RealityBytesIndependentStudentFilmFestival</t>
  </si>
  <si>
    <t>Downers Grove</t>
  </si>
  <si>
    <t>401 Broad Street, Nevada City, California 95959</t>
  </si>
  <si>
    <t>Animal Film Festival</t>
  </si>
  <si>
    <t>http://www.animalfilmfestival.org/</t>
  </si>
  <si>
    <t>Postponed until fall</t>
  </si>
  <si>
    <t>Dekalb</t>
  </si>
  <si>
    <t>Boston International Film Festival</t>
  </si>
  <si>
    <t>https://filmfreeway.com/AnimalFilmFestival</t>
  </si>
  <si>
    <t>http://www.bifilmfestival.com/</t>
  </si>
  <si>
    <t>Nevada City</t>
  </si>
  <si>
    <t>https://filmfreeway.com/BostonInternationalFilmFestival</t>
  </si>
  <si>
    <t>1505 W Saint Mary's Road # 172 Tucson, AZ 85745 United States</t>
  </si>
  <si>
    <t>Boston</t>
  </si>
  <si>
    <t>Chattanooga Film Festival</t>
  </si>
  <si>
    <t>https://www.chattfilmfest.org/</t>
  </si>
  <si>
    <t>https://filmfreeway.com/ChattanoogaFilmFest</t>
  </si>
  <si>
    <t>Short, Animation</t>
  </si>
  <si>
    <t>Animated Arizona Film Festival</t>
  </si>
  <si>
    <t>http://animatedarizona.wixsite.com/aaff</t>
  </si>
  <si>
    <t>Rescheduling (Dates TBD)</t>
  </si>
  <si>
    <t>Chattanooga</t>
  </si>
  <si>
    <t>https://filmfreeway.com/AnimatedArizonaFilmFestival</t>
  </si>
  <si>
    <t>Dallas International Film Festival</t>
  </si>
  <si>
    <t>30 Lafayette Ave, Brooklyn, NY 11217</t>
  </si>
  <si>
    <t>Animation Block Party</t>
  </si>
  <si>
    <t>http://www.ani...ionblock.com/</t>
  </si>
  <si>
    <t>https://www.dallasfilm.org</t>
  </si>
  <si>
    <t>https://filmfreeway.com/AnimationBlockParty</t>
  </si>
  <si>
    <t>https://filmfreeway.com/DallasInternationalFilmFestival</t>
  </si>
  <si>
    <t>Postponed (intend to reschedule for later in 2020)</t>
  </si>
  <si>
    <t xml:space="preserve">Earth Day Film Festival, The </t>
  </si>
  <si>
    <t>http://www.earthdayfilmfest.org/</t>
  </si>
  <si>
    <t>https://filmfreeway.com/TheEarthDayFilmFestival</t>
  </si>
  <si>
    <t>200 North 14th Street, Brooklyn, New York 11211</t>
  </si>
  <si>
    <t>Animation, Short</t>
  </si>
  <si>
    <t>Ended fest early; limited screenings to 10 people partway through; presented virtual version of all screenings after the fact</t>
  </si>
  <si>
    <t>Chico</t>
  </si>
  <si>
    <t>Seattle International Film Festival</t>
  </si>
  <si>
    <t xml:space="preserve">Animation Nights New York </t>
  </si>
  <si>
    <t>https://www.siff.net/</t>
  </si>
  <si>
    <t>Http://www.animationnights.com</t>
  </si>
  <si>
    <t>https://filmfreeway.com/SIFF</t>
  </si>
  <si>
    <t>Muslim/Arab/Arab American</t>
  </si>
  <si>
    <t>Azalea Film Festival</t>
  </si>
  <si>
    <t>http://www.azaleafilmfestival.com</t>
  </si>
  <si>
    <t>https://filmfreeway.com/AnimationNights</t>
  </si>
  <si>
    <t>https://filmfreeway.com/AzaleaFilmFestival</t>
  </si>
  <si>
    <t>Postponed (working on summer dates)</t>
  </si>
  <si>
    <t>Mobile</t>
  </si>
  <si>
    <t>AL</t>
  </si>
  <si>
    <t xml:space="preserve">Indie Grits </t>
  </si>
  <si>
    <t>http://indiegrits.org/</t>
  </si>
  <si>
    <t>https://filmfreeway.com/IndieGrits</t>
  </si>
  <si>
    <t>Columbia</t>
  </si>
  <si>
    <t>SC</t>
  </si>
  <si>
    <t>Post Alley Film Festival</t>
  </si>
  <si>
    <t>http://www.postalleyfilmfestival.com/</t>
  </si>
  <si>
    <t>https://filmfreeway.com/PostAlleyFilmFestival</t>
  </si>
  <si>
    <t>New Date: Nov 7</t>
  </si>
  <si>
    <t>Bethesda Film Festival</t>
  </si>
  <si>
    <t>https://www.bethesda.org/bethesda/bethesda-film-fest</t>
  </si>
  <si>
    <t>230 Collingwood Dr, Suite 160B, Ann Arbor, Michigan 48103</t>
  </si>
  <si>
    <t xml:space="preserve">Ann Arbor Film Festival </t>
  </si>
  <si>
    <t>https://www.aafilmfest.org/</t>
  </si>
  <si>
    <t>https://filmfreeway.com/BethesdaFilmFest</t>
  </si>
  <si>
    <t xml:space="preserve">Postponed </t>
  </si>
  <si>
    <t>https://filmfreeway.com/AAFilmFest</t>
  </si>
  <si>
    <t>Bethesda</t>
  </si>
  <si>
    <t>Rainier Independent Film Festival</t>
  </si>
  <si>
    <t>http://rainier.film/</t>
  </si>
  <si>
    <t xml:space="preserve">Events canceled </t>
  </si>
  <si>
    <t>Ann Arbor</t>
  </si>
  <si>
    <t>https://filmfreeway.com/RainierIndependentFilmFestival</t>
  </si>
  <si>
    <t>Canceled; Announced hiatus for 2020</t>
  </si>
  <si>
    <t>Rainier</t>
  </si>
  <si>
    <t>New York City Independent Film Festival</t>
  </si>
  <si>
    <t>107 Annapolis Street Suite J Annapolis, MD 21401 United States</t>
  </si>
  <si>
    <t>https://www.nycindieff.com/</t>
  </si>
  <si>
    <t>https://filmfreeway.com/NYCIndieFF</t>
  </si>
  <si>
    <t>Annapolis Film Festival</t>
  </si>
  <si>
    <t>http://www.ann...festival.net/</t>
  </si>
  <si>
    <t>New Dates: May 31-Jun7</t>
  </si>
  <si>
    <t>Berkshire International Film Festival</t>
  </si>
  <si>
    <t>https://www.biffma.org/</t>
  </si>
  <si>
    <t>https://filmfreeway.com/AnnapolisFilmFestival</t>
  </si>
  <si>
    <t>https://filmfreeway.com/berkshireinternationalfilmfestival</t>
  </si>
  <si>
    <t>Events canceled; considering creative alternatives</t>
  </si>
  <si>
    <t>Annapolis</t>
  </si>
  <si>
    <t>Misc. Ethnic/Cultural/Foreign Focus</t>
  </si>
  <si>
    <t>1746 Post St, San Francisco, CA 94115</t>
  </si>
  <si>
    <t>Another Hole in the Head Film Festival</t>
  </si>
  <si>
    <t>https://www.ahith.com/</t>
  </si>
  <si>
    <t>New Dates: Sept 10-13</t>
  </si>
  <si>
    <t>Great Barrington</t>
  </si>
  <si>
    <t>Big Easy International Film Festival</t>
  </si>
  <si>
    <t>http://bigeasyinternationalfilmfestival.com</t>
  </si>
  <si>
    <t>https://filmfreeway.com/SanFranciscoAnotherHoleintheHead</t>
  </si>
  <si>
    <t>https://filmfreeway.com/BigEasyInternationalFilmFestival</t>
  </si>
  <si>
    <t>Irvington, NY 10533</t>
  </si>
  <si>
    <t>New Dates: April 17-19</t>
  </si>
  <si>
    <t>Antham Libertarian Film Festival</t>
  </si>
  <si>
    <t>New Orleans</t>
  </si>
  <si>
    <t>LA</t>
  </si>
  <si>
    <t>https://anthemfilmfestival.com/</t>
  </si>
  <si>
    <t>Pasadena International Film Festival</t>
  </si>
  <si>
    <t>https://www.pasadenafilmfestival.org/</t>
  </si>
  <si>
    <t>https://filmfreeway.com/AnthemLibertarianFilmFestival-1536539</t>
  </si>
  <si>
    <t>https://filmfreeway.com/PasadenaFilmFestival</t>
  </si>
  <si>
    <t>Irvington</t>
  </si>
  <si>
    <t>Fest suspended on 3/16</t>
  </si>
  <si>
    <t>Pasadena</t>
  </si>
  <si>
    <t>DTLA Film Festival</t>
  </si>
  <si>
    <t>http://www.dtlaff.com/</t>
  </si>
  <si>
    <t>1616 N 56th Ln Phoenix, AZ 85035 United States</t>
  </si>
  <si>
    <t>https://filmfreeway.com/DTLAFF</t>
  </si>
  <si>
    <t>Short, Genre</t>
  </si>
  <si>
    <t>Apocalypse Later International Fantastic Film Festival</t>
  </si>
  <si>
    <t>http://www.alfilmfest.com/</t>
  </si>
  <si>
    <t>https://filmfreeway.com/ALIFFF</t>
  </si>
  <si>
    <t>Indy Film Fest</t>
  </si>
  <si>
    <t>https://indyfilmfest.org/</t>
  </si>
  <si>
    <t>Phoenix</t>
  </si>
  <si>
    <t>https://filmfreeway.com/IndyFilmFest</t>
  </si>
  <si>
    <t>3739 Balboa Street #125 San Francisco, California 94121 United States</t>
  </si>
  <si>
    <t>New Dates: Aug 13-23</t>
  </si>
  <si>
    <t>Indianapolis</t>
  </si>
  <si>
    <t>IN</t>
  </si>
  <si>
    <t xml:space="preserve">Florida Film Festival </t>
  </si>
  <si>
    <t>www.floridafilmfestival.com</t>
  </si>
  <si>
    <t>Arab Film Festival</t>
  </si>
  <si>
    <t>http://www.arabfilmfestival.org/</t>
  </si>
  <si>
    <t>https://filmfreeway.com/FloridaFilmFestival</t>
  </si>
  <si>
    <t>https://filmfreeway.com/AFF</t>
  </si>
  <si>
    <t>Maitland</t>
  </si>
  <si>
    <t>Newport Beach Film Festival</t>
  </si>
  <si>
    <t>https://newportbeachfilmfest.com/</t>
  </si>
  <si>
    <t>13624 Michigan Avenue Dearborn, Michigan 48126 United States</t>
  </si>
  <si>
    <t>Arab Film Festival @ Arab National Museum</t>
  </si>
  <si>
    <t>http://www.arabamericanmuseum.org/</t>
  </si>
  <si>
    <t>https://filmfreeway.com/NewportBeachFilmFestival</t>
  </si>
  <si>
    <t>https://filmfreeway.com/ArabFilmFestivalatAANM</t>
  </si>
  <si>
    <t>Dearborn</t>
  </si>
  <si>
    <t>New Dates: Aug 6-13</t>
  </si>
  <si>
    <t>Newport Beach</t>
  </si>
  <si>
    <t>Milwaukee Twisted Dreams Film Festival</t>
  </si>
  <si>
    <t>http://www.twisteddreamsff.com</t>
  </si>
  <si>
    <t>5300 Wisconsin Avenue Northwest, Washington, District of Columbia 20015 United States</t>
  </si>
  <si>
    <t>Arabian Sights Film Festival</t>
  </si>
  <si>
    <t>http://filmfestdc.org/arabiansights</t>
  </si>
  <si>
    <t>https://filmfreeway.com/MilwaukeeTwistedDreamsFilmFestival</t>
  </si>
  <si>
    <t>Washington, DC</t>
  </si>
  <si>
    <t>Genre - SciFi/Fantasy/Horror</t>
  </si>
  <si>
    <t>4147 E Amazon Dr Eugene, OR 97405 United States</t>
  </si>
  <si>
    <t>Archaeology Channel International Film Festival, The</t>
  </si>
  <si>
    <t>https://www.archaeologychannel.org/events-guide/tac-international-film-festival/international-film-festival</t>
  </si>
  <si>
    <t>New York Indian Film Festival</t>
  </si>
  <si>
    <t>https://filmfreeway.com/thearchaeologychannelfilmfestival</t>
  </si>
  <si>
    <t>http://www.iaac.us/</t>
  </si>
  <si>
    <t>Eugene</t>
  </si>
  <si>
    <t>OR</t>
  </si>
  <si>
    <t>Tucson, AZ 85702</t>
  </si>
  <si>
    <t>https://filmfreeway.com/NYIFF20</t>
  </si>
  <si>
    <t>Bosnian-Herzegovinian Film Festival</t>
  </si>
  <si>
    <t>https://www.bhffnyc.org/</t>
  </si>
  <si>
    <t>New Dates: Oct 28-31</t>
  </si>
  <si>
    <t>Tallahassee Film Festival</t>
  </si>
  <si>
    <t>https://tallahasseefilmfestival.com/</t>
  </si>
  <si>
    <t>127 E. Congress, Tucson, AZ 85701</t>
  </si>
  <si>
    <t>Arizona Underground Film Festival</t>
  </si>
  <si>
    <t>http://www.azundergroundfilmfest.com/</t>
  </si>
  <si>
    <t>https://filmfreeway.com/TallahasseeFilmFestival</t>
  </si>
  <si>
    <t>https://filmfreeway.com/ArizonaUndergroundFilmFestival</t>
  </si>
  <si>
    <t>Postponed (until summer)</t>
  </si>
  <si>
    <t>Tallahassee</t>
  </si>
  <si>
    <t>Scout Film Festival</t>
  </si>
  <si>
    <t>http://scoutfilmfestival.org</t>
  </si>
  <si>
    <t xml:space="preserve">Tucson </t>
  </si>
  <si>
    <t>https://filmfreeway.com/ScoutFilmFestival/</t>
  </si>
  <si>
    <t>817 Central Avenue, Hot Springs, Arkansas 71901 United States</t>
  </si>
  <si>
    <t>Postponed until fall (with some online programming during original dates)</t>
  </si>
  <si>
    <t>HorrorHound Weekend Film Festival</t>
  </si>
  <si>
    <t>http://www.horrorhound.com/FilmFest</t>
  </si>
  <si>
    <t>Arkansas Shorts</t>
  </si>
  <si>
    <t>http://www.lowkeyarts.org</t>
  </si>
  <si>
    <t>https://filmfreeway.com/HorrorHoundWeekendFilmFestival</t>
  </si>
  <si>
    <t>New Dates: May 22-24</t>
  </si>
  <si>
    <t>Cincinnati</t>
  </si>
  <si>
    <t>OH</t>
  </si>
  <si>
    <t>Houston Jewish Film Festival</t>
  </si>
  <si>
    <t>https://www.erjcchouston.org/arts/houston-jewish-film-festival/</t>
  </si>
  <si>
    <t>Hot Springs</t>
  </si>
  <si>
    <t>AR</t>
  </si>
  <si>
    <t>21 Kimball Rd #1, Watertown, Massachusetts 02472</t>
  </si>
  <si>
    <t>Arlington International Film Festival</t>
  </si>
  <si>
    <t>https://www.aiffest.org/</t>
  </si>
  <si>
    <t>https://filmfreeway.com/arlingtoninternationalfilmfestival</t>
  </si>
  <si>
    <t>International Horror &amp; Sci-Fi Film Festival</t>
  </si>
  <si>
    <t>Watertown</t>
  </si>
  <si>
    <t>http://www.horrorscifi.com/</t>
  </si>
  <si>
    <t>2919 Maxwell St., 90027 Los Angeles, California</t>
  </si>
  <si>
    <t>Arpa International Film Festival</t>
  </si>
  <si>
    <t>http://www.arpafilmfestival.com/</t>
  </si>
  <si>
    <t>https://filmfreeway.com/InternationalHorrorSciFiFilmFestival</t>
  </si>
  <si>
    <t>https://filmfreeway.com/ArpaFilmFestival</t>
  </si>
  <si>
    <t>Phoenix Film Festival</t>
  </si>
  <si>
    <t>http://www.phoenixfilmfestival.com/</t>
  </si>
  <si>
    <t>180 Remsen Street, Brooklyn, New York 11201</t>
  </si>
  <si>
    <t xml:space="preserve">Art of Brooklyn Film Festival, The </t>
  </si>
  <si>
    <t>https://www.theartofbrooklyn.org/</t>
  </si>
  <si>
    <t>https://filmfreeway.com/PhoenixFilmFestival</t>
  </si>
  <si>
    <t>https://filmfreeway.com/ArtofBrooklynFilmFestival</t>
  </si>
  <si>
    <t>Pheonix</t>
  </si>
  <si>
    <t>Rockland Jewish Film Festival</t>
  </si>
  <si>
    <t>https://jccrockland.org/film-festival/</t>
  </si>
  <si>
    <t>Postponed until July</t>
  </si>
  <si>
    <t>West Nyack</t>
  </si>
  <si>
    <t>Richmond International Film Festival</t>
  </si>
  <si>
    <t>https://www.rvafilmfestival.com/</t>
  </si>
  <si>
    <t>2633 Lincoln Blvd. #254 Santa Monica, CA 90405 United States</t>
  </si>
  <si>
    <t>https://filmfreeway.com/RICHMONDINTERNATIONALFILMFESTIVAL</t>
  </si>
  <si>
    <t xml:space="preserve">Artemis Women in Action Film Festival </t>
  </si>
  <si>
    <t>http://www.artemisfilmfestival.com/</t>
  </si>
  <si>
    <t>Postponed (until summer or fall)</t>
  </si>
  <si>
    <t>Richmond</t>
  </si>
  <si>
    <t>International Wildlife Film Festival</t>
  </si>
  <si>
    <t>https://filmfreeway.com/ArtemisWomenInActionFilmFestival</t>
  </si>
  <si>
    <t>http://wildlifefilms.org/</t>
  </si>
  <si>
    <t>Santa Monica</t>
  </si>
  <si>
    <t>https://filmfreeway.com/InternationalWildlifeFilmFestival</t>
  </si>
  <si>
    <t>New York, NY 10026</t>
  </si>
  <si>
    <t>Artists Forum Festival of the Moving Image, The</t>
  </si>
  <si>
    <t>http://theartistsforum.org/</t>
  </si>
  <si>
    <t>https://filmfreeway.com/affestnyc</t>
  </si>
  <si>
    <t>Switched to online fest</t>
  </si>
  <si>
    <t>Missoula</t>
  </si>
  <si>
    <t>MT</t>
  </si>
  <si>
    <t>Chicago Latino Film Festival</t>
  </si>
  <si>
    <t>https://chicagolatinofilmfestival.org/</t>
  </si>
  <si>
    <t>https://filmfreeway.com/ChicagoLatinoFilmFestival</t>
  </si>
  <si>
    <t>36 Biltmore Ave, Asheville, NC 28801</t>
  </si>
  <si>
    <t>FilmOut San Diego LGBTQ+ Film Festival</t>
  </si>
  <si>
    <t>Asheville Jewish Film Festival</t>
  </si>
  <si>
    <t>http://ajff.fineartstheatre.com/</t>
  </si>
  <si>
    <t>http://www.filmoutsandiego.com</t>
  </si>
  <si>
    <t>Asheville</t>
  </si>
  <si>
    <t>166 E Main St, Ashland, OR 97520</t>
  </si>
  <si>
    <t>Ashland Independent Film Festival</t>
  </si>
  <si>
    <t>http://www.ashlandfilm.org/</t>
  </si>
  <si>
    <t>https://filmfreeway.com/ashlandfilm</t>
  </si>
  <si>
    <t>San Diego</t>
  </si>
  <si>
    <t xml:space="preserve">FilmFest DC </t>
  </si>
  <si>
    <t>Canceled, working on new plan</t>
  </si>
  <si>
    <t>Ashland</t>
  </si>
  <si>
    <t>Made In NY Media Center 30 John Street Brooklyn, NY 11201 United States</t>
  </si>
  <si>
    <t>http://www.filmfestdc.org/</t>
  </si>
  <si>
    <t>https://filmfreeway.com/FilmfestDC</t>
  </si>
  <si>
    <t>Asian American International Film Festival</t>
  </si>
  <si>
    <t>http://www.asiancinevision.org/</t>
  </si>
  <si>
    <t>164 North State Street, Chicago, Illinois 60601 United States</t>
  </si>
  <si>
    <t>Ivy Film Festival</t>
  </si>
  <si>
    <t>http://ivyfilmfestival.org/index.html</t>
  </si>
  <si>
    <t>https://filmfreeway.com/IvyFilmFestival</t>
  </si>
  <si>
    <t>Asian American Showcase, The</t>
  </si>
  <si>
    <t>http://www.faaim.org</t>
  </si>
  <si>
    <t xml:space="preserve">Events not going forward as conceived; Reworking structure </t>
  </si>
  <si>
    <t>Providence</t>
  </si>
  <si>
    <t>RI</t>
  </si>
  <si>
    <t>Los Angeles International Children’s Film Festival</t>
  </si>
  <si>
    <t>3630 Harry Hines Boulevard, Dallas, TX 75219 United States</t>
  </si>
  <si>
    <t>Asian Film Festival of Dallas</t>
  </si>
  <si>
    <t>http://asianfilmdallas.com/</t>
  </si>
  <si>
    <t>https://filmfreeway.com/affd</t>
  </si>
  <si>
    <t>https://www.childrensfilmla.org/</t>
  </si>
  <si>
    <t>https://filmfreeway.com/LosAngelesInternationalChildrensFilmFestival</t>
  </si>
  <si>
    <t>1049 Ponce De Leon Avenue Northeast, Atlanta, Georgia 30306 United States</t>
  </si>
  <si>
    <t>ASIFA-South Animation Conference and Festival</t>
  </si>
  <si>
    <t>http://www.asifa-south.com</t>
  </si>
  <si>
    <t>Kansas City Film Fest</t>
  </si>
  <si>
    <t>110 East Hallam, Suite 103, Aspen, CO  81611</t>
  </si>
  <si>
    <t>Aspen Filmfest</t>
  </si>
  <si>
    <t>http://www.aspenfilm.org/</t>
  </si>
  <si>
    <t>https://kcfilmfest.org/</t>
  </si>
  <si>
    <t>https://filmfreeway.com/KansasCityFilmFest</t>
  </si>
  <si>
    <t>Aspen</t>
  </si>
  <si>
    <t>Postponed (summer dates TBD)</t>
  </si>
  <si>
    <t>Aspen Shortsfest</t>
  </si>
  <si>
    <t>Kansas City</t>
  </si>
  <si>
    <t>Capital City Film Festival</t>
  </si>
  <si>
    <t>https://capitalcityfilmfest.com/</t>
  </si>
  <si>
    <t>https://filmfreeway.com/AspenShortsfest</t>
  </si>
  <si>
    <t>Canceled, considering virtual</t>
  </si>
  <si>
    <t>https://filmfreeway.com/CapitalCityFilmFestival</t>
  </si>
  <si>
    <t>Barnard College 3009 Broadway New York, NY 10027 United States</t>
  </si>
  <si>
    <t>Lansing</t>
  </si>
  <si>
    <t>Bonebat "Comedy of Horrors" Film Festival</t>
  </si>
  <si>
    <t>http://www.bonehand.com/bonebatff.html</t>
  </si>
  <si>
    <t xml:space="preserve">Athena Film Festival </t>
  </si>
  <si>
    <t>https://athenafilmfestival.com/</t>
  </si>
  <si>
    <t>https://filmfreeway.com/BoneBatComedyofHorrorsFilmFest</t>
  </si>
  <si>
    <t>https://filmfreeway.com/AthenaFilmFestival</t>
  </si>
  <si>
    <t>Postponed (most likely)</t>
  </si>
  <si>
    <t>20 S Court St, Athens, Ohio 45701</t>
  </si>
  <si>
    <t xml:space="preserve">Athens International Film + Video Festival </t>
  </si>
  <si>
    <t>Sleeping Giant Fest</t>
  </si>
  <si>
    <t>http://athensfilmfest.org/</t>
  </si>
  <si>
    <t>www.sleepinggiantfest.com</t>
  </si>
  <si>
    <t>https://filmfreeway.com/AthensInternationalFilmandVideoFestival</t>
  </si>
  <si>
    <t xml:space="preserve">Jacksonville </t>
  </si>
  <si>
    <t>New Dates: Oct 12-18</t>
  </si>
  <si>
    <t>Athens</t>
  </si>
  <si>
    <t>Indian Film Festival of Los Angeles</t>
  </si>
  <si>
    <t>http://www.indianfilmfestival.org/</t>
  </si>
  <si>
    <t>https://filmfreeway.com/iffla</t>
  </si>
  <si>
    <t>931 Monroe Dr NE, Atlanta, GA 30308 United States</t>
  </si>
  <si>
    <t>Media Film Festival</t>
  </si>
  <si>
    <t>Atlanta Comedy Film Festival</t>
  </si>
  <si>
    <t>https://info.filmfestivalcircuit.com/atlanta-comedy-film-festival</t>
  </si>
  <si>
    <t>http://www.mediafilmfestival.org/</t>
  </si>
  <si>
    <t>https://filmfreeway.com/AtlantaComedyFilmFestival</t>
  </si>
  <si>
    <t>https://filmfreeway.com/MediaFilmFestival</t>
  </si>
  <si>
    <t>Media</t>
  </si>
  <si>
    <t>Green Mountain Film Festival</t>
  </si>
  <si>
    <t xml:space="preserve">https://www.gmffestival.org/ </t>
  </si>
  <si>
    <t>1545 Peachtree Street Northeast, Atlanta, Georgia 30309</t>
  </si>
  <si>
    <t>Atlanta DocuFest</t>
  </si>
  <si>
    <t>http://www.docufest.com/</t>
  </si>
  <si>
    <t>Montpelier</t>
  </si>
  <si>
    <t>VT</t>
  </si>
  <si>
    <t>https://filmfreeway.com/docufest</t>
  </si>
  <si>
    <t>25 Park Place NE, Suite 800, Atlanta, GA 30302-5060 United States</t>
  </si>
  <si>
    <t>1180 Briarcliff CT NE Unit 1 Atlanta, GA 30306 United States</t>
  </si>
  <si>
    <t xml:space="preserve">Women's Film Festival, The </t>
  </si>
  <si>
    <t>https://thewomensfilmfestival.org/</t>
  </si>
  <si>
    <t>Atlanta Horror Film Fest</t>
  </si>
  <si>
    <t>https://filmfreeway.com/TheWomensFilmFestival</t>
  </si>
  <si>
    <t>http://atlantahorrorfilmfest.com/</t>
  </si>
  <si>
    <t>New Dates: June 19-28</t>
  </si>
  <si>
    <t>Philadelphia</t>
  </si>
  <si>
    <t>Vail Film Festival</t>
  </si>
  <si>
    <t>http://www.vailfilmfestival.com/</t>
  </si>
  <si>
    <t>https://filmfreeway.com/atlantahorrorfest</t>
  </si>
  <si>
    <t>https://filmfreeway.com/VailFilmFestival</t>
  </si>
  <si>
    <t>1800 Peachtree Street NE, Suite 830 Atlanta, GA 30309 United States</t>
  </si>
  <si>
    <t>Vail</t>
  </si>
  <si>
    <t>Queens World Film Festival</t>
  </si>
  <si>
    <t>Atlanta Jewish Film Festival</t>
  </si>
  <si>
    <t>https://www.ajff.org/</t>
  </si>
  <si>
    <t>https://www.queensworldfilmfestival.com/</t>
  </si>
  <si>
    <t>https://filmfreeway.com/AtlJewishFIlm</t>
  </si>
  <si>
    <t>https://filmfreeway.com/QueensWorldFilmFestival</t>
  </si>
  <si>
    <t>New Hampshire Jewish Film Festival</t>
  </si>
  <si>
    <t>http://www.nhjewishfilmfestival.org/</t>
  </si>
  <si>
    <t>1180 Briarcliff CT NE, Atlanta, Georgia 30306</t>
  </si>
  <si>
    <t>Atlanta Shortsfest</t>
  </si>
  <si>
    <t>http://www.atlantashortsfest.com/</t>
  </si>
  <si>
    <t>Manchester</t>
  </si>
  <si>
    <t>Global Cinema Film Festival of Boston</t>
  </si>
  <si>
    <t>https://www.worldwidecinemaframes.com/global-cinema-film-festival</t>
  </si>
  <si>
    <t>https://filmfreeway.com/atlantashortsfest</t>
  </si>
  <si>
    <t>https://filmfreeway.com/GlobalCinemaFilmFestivalofBoston</t>
  </si>
  <si>
    <t>New Dates: May 1-3</t>
  </si>
  <si>
    <t>1180 Briarcliff Ct. Ne #1 Atlanta, Georgia 30306 United States</t>
  </si>
  <si>
    <t>Belmont</t>
  </si>
  <si>
    <t>Garden State Film Festival</t>
  </si>
  <si>
    <t>http://www.gsff.org/</t>
  </si>
  <si>
    <t>Atlanta Underground Film Festival</t>
  </si>
  <si>
    <t>http://www.auff.org/</t>
  </si>
  <si>
    <t>https://filmfreeway.com/GardenStateFilmFestival</t>
  </si>
  <si>
    <t>https://filmfreeway.com/auff</t>
  </si>
  <si>
    <t>Events canceled; going virtual</t>
  </si>
  <si>
    <t>Asbury Park</t>
  </si>
  <si>
    <t xml:space="preserve">Method Fest Independent Film Festival, The </t>
  </si>
  <si>
    <t>http://www.methodfest.com/</t>
  </si>
  <si>
    <t>https://filmfreeway.com/TheMethodFestIndependentFilmFestival</t>
  </si>
  <si>
    <t>218 N. Huntington Avenue Margate, NJ 08402 United States</t>
  </si>
  <si>
    <t>Atlantic City Cinefest</t>
  </si>
  <si>
    <t>Treasure Coast International Film Festival</t>
  </si>
  <si>
    <t>http://atlanticcitycinefest.org/</t>
  </si>
  <si>
    <t>https://www.tcifilmfest.org/</t>
  </si>
  <si>
    <t>https://filmfreeway.com/TREASURECOASTINTERNATIONALFILMFESTIVAL-1</t>
  </si>
  <si>
    <t>https://filmfreeway.com/DownbeachFilmFestivalAtlanticCityCinefest</t>
  </si>
  <si>
    <t>New Dates: June 25-28</t>
  </si>
  <si>
    <t>Fort Pierce</t>
  </si>
  <si>
    <t>Houston Latino Film Festival</t>
  </si>
  <si>
    <t>https://houstonlatinofilmfestival.org/</t>
  </si>
  <si>
    <t>Atlantic City</t>
  </si>
  <si>
    <t>https://filmfreeway.com/houstonlatinofilmfestival</t>
  </si>
  <si>
    <t>6226 Middle Fiskville Road, Austin, Texas 78752</t>
  </si>
  <si>
    <t>Austin Asian American Film Festival</t>
  </si>
  <si>
    <t>https://www.aaafilmfest.org/</t>
  </si>
  <si>
    <t>Postponed until late 2020</t>
  </si>
  <si>
    <t>By Design Film Festival</t>
  </si>
  <si>
    <t>https://filmfreeway.com/AAAFF</t>
  </si>
  <si>
    <t>https://nwfilmforum.org/festivals/bydesign-art-design-architecture-festival</t>
  </si>
  <si>
    <t>Events canceled; digital programming TBD</t>
  </si>
  <si>
    <t>Underexposed Film Festival yc</t>
  </si>
  <si>
    <t>https://www.underexposedfilmfestivalyc.org/</t>
  </si>
  <si>
    <t>8600 FM 620 N Austin, TX 78726 United States</t>
  </si>
  <si>
    <t>https://filmfreeway.com/UnderexposedFilmFestivalyc</t>
  </si>
  <si>
    <t>Short, Comedy</t>
  </si>
  <si>
    <t>Rock Hill</t>
  </si>
  <si>
    <t>Do It Your Damn Self National Youth Film Festival</t>
  </si>
  <si>
    <t>http://www.diyds.org</t>
  </si>
  <si>
    <t>Canceled; Premier screening new date: June 6</t>
  </si>
  <si>
    <t>Environ./OutdoorAdventure/Wildlife</t>
  </si>
  <si>
    <t>New York International Children’s Film Festival</t>
  </si>
  <si>
    <t>https://nyicff.org/</t>
  </si>
  <si>
    <t>1801 Salina St. Austin, Texas 78702 United States</t>
  </si>
  <si>
    <t>https://filmfreeway.com/NYICFF</t>
  </si>
  <si>
    <t xml:space="preserve">Austin Film Festival </t>
  </si>
  <si>
    <t>https://austin...festival.com/</t>
  </si>
  <si>
    <t>Canceled final weekend</t>
  </si>
  <si>
    <t>Maine Jewish Film Festival</t>
  </si>
  <si>
    <t>https://filmfreeway.com/AustinFilmFestival</t>
  </si>
  <si>
    <t>http://www.mjff.org/</t>
  </si>
  <si>
    <t>Portland</t>
  </si>
  <si>
    <t>ME</t>
  </si>
  <si>
    <t>Portland Oregon Women's Film Festival</t>
  </si>
  <si>
    <t>https://powfilmfest.com/</t>
  </si>
  <si>
    <t>Dell Jewish Community Campus, 7300 Hart Ln, Austin, TX 78731</t>
  </si>
  <si>
    <t>Austin Jewish Film Festival</t>
  </si>
  <si>
    <t>https://austinjff.org/</t>
  </si>
  <si>
    <t>https://filmfreeway.com/ThePortlandOregonWomensFilmFestivalPOWFilmFest</t>
  </si>
  <si>
    <t>Los Angeles Jewish Film Festival</t>
  </si>
  <si>
    <t>1911 Aldrich Street, Austin, Texas 78723</t>
  </si>
  <si>
    <t>Austin Revolution Film Festival</t>
  </si>
  <si>
    <t>https://www.austinrevolution.com/</t>
  </si>
  <si>
    <t>http://lajfilmfest.org/</t>
  </si>
  <si>
    <t>https://filmfreeway.com/austinrevolutionfilmfest</t>
  </si>
  <si>
    <t>https://filmfreeway.com/LosAngelesJewishFilmFestival</t>
  </si>
  <si>
    <t>3503 W. Pico Blvd Los Angeles, California 90019 United States</t>
  </si>
  <si>
    <t>Minneapolis-St. Paul International Film Festival</t>
  </si>
  <si>
    <t>https://mspfilm.org/festivals/mspiff/</t>
  </si>
  <si>
    <t>https://filmfreeway.com/mspiff</t>
  </si>
  <si>
    <t>Social Justice/Peace</t>
  </si>
  <si>
    <t>Awareness Festival</t>
  </si>
  <si>
    <t>https://awarenessfestival.org/</t>
  </si>
  <si>
    <t>Independent Film Festival of Boston</t>
  </si>
  <si>
    <t>https://filmfreeway.com/AwarenessFestival</t>
  </si>
  <si>
    <t>http://iffboston.org/</t>
  </si>
  <si>
    <t>https://filmfreeway.com/IFFBoston</t>
  </si>
  <si>
    <t>OUTshine LGBTQ+ Film Festival - Miami</t>
  </si>
  <si>
    <t>https://mifofilm.com/</t>
  </si>
  <si>
    <t>https://filmfreeway.com/OUTshine-Miami</t>
  </si>
  <si>
    <t>6404 Hillcrest Park Ct Mobile, AL 36695 United States</t>
  </si>
  <si>
    <t>Miami</t>
  </si>
  <si>
    <t>San Francisco International Film Festival</t>
  </si>
  <si>
    <t>https://www.sffilm.org</t>
  </si>
  <si>
    <t>https://filmfreeway.com/SFFILMFestival</t>
  </si>
  <si>
    <t>North Hollywood CineFest</t>
  </si>
  <si>
    <t>https://www.nohocinefest.com/</t>
  </si>
  <si>
    <t>https://filmfreeway.com/NorthHollywoodCineFest</t>
  </si>
  <si>
    <t>Everett Film Festival</t>
  </si>
  <si>
    <t>https://everettfilmfestival.org</t>
  </si>
  <si>
    <t>Everett</t>
  </si>
  <si>
    <t>Wisconsin Film Festival</t>
  </si>
  <si>
    <t>http://www.wifilmfest.org/</t>
  </si>
  <si>
    <t>202 East Pratt Street, Baltimore, Maryland 21202</t>
  </si>
  <si>
    <t>Balticon Short Film Festival</t>
  </si>
  <si>
    <t>https://www.balticon.org/wp53/</t>
  </si>
  <si>
    <t>https://filmfreeway.com/WisconsinFilmFestival</t>
  </si>
  <si>
    <t>https://filmfreeway.com/BalticonShortFilmFestival</t>
  </si>
  <si>
    <t>Madison</t>
  </si>
  <si>
    <t>Poppy Jasper International Film Festival</t>
  </si>
  <si>
    <t>https://pjiff.org/</t>
  </si>
  <si>
    <t>Baltimore</t>
  </si>
  <si>
    <t>1711 North Charles Street, Baltimore, Maryland 21201</t>
  </si>
  <si>
    <t>https://filmfreeway.com/ThePoppyJasperInternationalFilmFestival</t>
  </si>
  <si>
    <t>Baltimore International Black Film Festival</t>
  </si>
  <si>
    <t>http://www.bibff.com/</t>
  </si>
  <si>
    <t>https://filmfreeway.com/BaltimoreInternationalBlackFilmFestival</t>
  </si>
  <si>
    <t>Morgan Hill</t>
  </si>
  <si>
    <t>Sarasota Film Festival</t>
  </si>
  <si>
    <t>https://www.sarasotafilmfestival.com/</t>
  </si>
  <si>
    <t>https://filmfreeway.com/SarasotaFilmFestival</t>
  </si>
  <si>
    <t>525 W. Okmulgee Ave Muskogee, OK 74401</t>
  </si>
  <si>
    <t>Sarasota</t>
  </si>
  <si>
    <t>RiverRun International Film Festival</t>
  </si>
  <si>
    <t>https://riverrunfilm.com/</t>
  </si>
  <si>
    <t>https://filmfreeway.com/RiverRun</t>
  </si>
  <si>
    <t>100 Lafayette St., 70801 Baton Rouge, Louisiana</t>
  </si>
  <si>
    <t>Baton Rouge Jewish Film Festival</t>
  </si>
  <si>
    <t>https://brjff.com/</t>
  </si>
  <si>
    <t>Canceled, hope to schedule mini-fests later in year</t>
  </si>
  <si>
    <t>Winston-Salem</t>
  </si>
  <si>
    <t>Baton Rouge</t>
  </si>
  <si>
    <t>6114 La Salle Ave. #648 Oakland, CA 94611</t>
  </si>
  <si>
    <t>Bay Area International Childrens Film Festival</t>
  </si>
  <si>
    <t>http://baicff.com/</t>
  </si>
  <si>
    <t>SONscreen Film Festival</t>
  </si>
  <si>
    <t>https://filmfreeway.com/BAICFF</t>
  </si>
  <si>
    <t>http://www.sonscreen.com/</t>
  </si>
  <si>
    <t>Oakland</t>
  </si>
  <si>
    <t>Beaufort, SC 29901</t>
  </si>
  <si>
    <t>qFLIX Philadelphia</t>
  </si>
  <si>
    <t>http://www.qflixphilly.com/</t>
  </si>
  <si>
    <t>Beaufort International Film Festival</t>
  </si>
  <si>
    <t>https://filmfreeway.com/qFLIXphiladelphia2019</t>
  </si>
  <si>
    <t>https://www.beaufortfilmfestival.com/</t>
  </si>
  <si>
    <t>New Dates: July 12-19</t>
  </si>
  <si>
    <t>Maryland International Film Festival</t>
  </si>
  <si>
    <t>https://www.marylandiff.com/</t>
  </si>
  <si>
    <t>https://filmfreeway.com/BeaufortInternationalFilmFestival</t>
  </si>
  <si>
    <t>https://filmfreeway.com/MarylandInternationalFilmFestival</t>
  </si>
  <si>
    <t>Beaufort</t>
  </si>
  <si>
    <t>114 W. Magnolia St., Bellingham, Washington 98225 United States</t>
  </si>
  <si>
    <t>Social Justice/Peace, Documentary</t>
  </si>
  <si>
    <t>Bellingham Human Rights Film Festival</t>
  </si>
  <si>
    <t>Hagerstown</t>
  </si>
  <si>
    <t>https://bhrff.webs.com</t>
  </si>
  <si>
    <t>Bellingham</t>
  </si>
  <si>
    <t>444 E. Grand Ave. Suite 100 Beloit, WI 53511</t>
  </si>
  <si>
    <t>Boston Underground Film Festival</t>
  </si>
  <si>
    <t>Beloit International Film Festival</t>
  </si>
  <si>
    <t>https://beloitfilmfest.org/</t>
  </si>
  <si>
    <t>http://bostonunderground.org/</t>
  </si>
  <si>
    <t>https://filmfreeway.com/BeloitInternationalFilmFestival</t>
  </si>
  <si>
    <t>https://filmfreeway.com/BostonUndergroundFilmFestival</t>
  </si>
  <si>
    <t>Beloit</t>
  </si>
  <si>
    <t>1000 NW Wall Street Suite 240 Bend, Oregon 97703 United States</t>
  </si>
  <si>
    <t>BendFilm Festival</t>
  </si>
  <si>
    <t>Wasatch Mountain Film Festival</t>
  </si>
  <si>
    <t>http://www.wasatchfilmfestival.org/</t>
  </si>
  <si>
    <t>http://www.bendfilm.org/</t>
  </si>
  <si>
    <t>https://filmfreeway.com/BendFilm</t>
  </si>
  <si>
    <t>https://filmfreeway.com/WasatchMountainFilmFestival</t>
  </si>
  <si>
    <t>Bend</t>
  </si>
  <si>
    <t>1017 L Street #379, Sacramento CA 95814</t>
  </si>
  <si>
    <t>BENT: Sacramento LGBTQ Film Festival</t>
  </si>
  <si>
    <t>New Dates: Sept 21-26</t>
  </si>
  <si>
    <t>https://bentfilmfest.org/</t>
  </si>
  <si>
    <t>Salt Lake City</t>
  </si>
  <si>
    <t>UT</t>
  </si>
  <si>
    <t>Science Fiction and Fantasy Short Film Festival</t>
  </si>
  <si>
    <t xml:space="preserve">https://www.mopop.org/sffsff </t>
  </si>
  <si>
    <t>https://bentfilmfest.org/submityourfilm/</t>
  </si>
  <si>
    <t>Sacramento</t>
  </si>
  <si>
    <t>New Dates: Aug 1-2</t>
  </si>
  <si>
    <t>Nevada Women's Film Festival</t>
  </si>
  <si>
    <t>https://www.nwffest.com/</t>
  </si>
  <si>
    <t>640 B Street Bentonville, AR 72712 United States</t>
  </si>
  <si>
    <t>https://filmfreeway.com/NevadaWomensFilmFestival</t>
  </si>
  <si>
    <t>Bentonville Film Festival</t>
  </si>
  <si>
    <t xml:space="preserve">Taos Shortz Film Fest </t>
  </si>
  <si>
    <t>http://bentonv...festival.com/</t>
  </si>
  <si>
    <t>http://www.taosshortz.com/2016/</t>
  </si>
  <si>
    <t>https://filmfreeway.com/BentonvilleFilmFestival</t>
  </si>
  <si>
    <t>https://filmfreeway.com/TaosShortz</t>
  </si>
  <si>
    <t>New Dates: Aug 5-8</t>
  </si>
  <si>
    <t>Bentonville</t>
  </si>
  <si>
    <t>Canceled; Considering later dates in 2020</t>
  </si>
  <si>
    <t>Taos</t>
  </si>
  <si>
    <t>Gasparilla International Film Festival</t>
  </si>
  <si>
    <t>1939 Addison St, Berkeley, CA 94704</t>
  </si>
  <si>
    <t>Berkeley Video Film Festival</t>
  </si>
  <si>
    <t>http://www.gasparillafilmfestival.com/</t>
  </si>
  <si>
    <t>http://www.berkeleyvideofilmfest.org/</t>
  </si>
  <si>
    <t>https://filmfreeway.com/GasparillaInternationalFilmFestival</t>
  </si>
  <si>
    <t>Berkeley</t>
  </si>
  <si>
    <t>Tampa</t>
  </si>
  <si>
    <t>Great Barrington, MA 01230</t>
  </si>
  <si>
    <t>CineKink NYC</t>
  </si>
  <si>
    <t>http://www.cinekink.com/</t>
  </si>
  <si>
    <t>https://filmfreeway.com/CineKink</t>
  </si>
  <si>
    <t>Portland International Film Festival</t>
  </si>
  <si>
    <t>http://www.nwfilm.org/festivals/piff</t>
  </si>
  <si>
    <t>https://filmfreeway.com/PIFF</t>
  </si>
  <si>
    <t>588 Sutter Street Suite 325 San Francisco, California 94102</t>
  </si>
  <si>
    <t>Canceled final four days</t>
  </si>
  <si>
    <t>Watsonville Film Festival</t>
  </si>
  <si>
    <t>Best Actors Film Festival</t>
  </si>
  <si>
    <t>http://www.actorsfestival.com/</t>
  </si>
  <si>
    <t>http://watsonvillefilmfest.org</t>
  </si>
  <si>
    <t>https://filmfreeway.com/BestActorsFilmFestival</t>
  </si>
  <si>
    <t>7700 Old Georgetown Road Lobby Level Bethesda, MD 20814</t>
  </si>
  <si>
    <t>Short, Documentary</t>
  </si>
  <si>
    <t>Watsonville</t>
  </si>
  <si>
    <t>Montclair Film Festival</t>
  </si>
  <si>
    <t>https://montclairfilm.org/</t>
  </si>
  <si>
    <t>9663 Santa Monica Blvd. #777 Beverly Hills, CA 90210 United States</t>
  </si>
  <si>
    <t>https://filmfreeway.com/MontclairFilm</t>
  </si>
  <si>
    <t>Beverly Hills Film Festival</t>
  </si>
  <si>
    <t>http://www.bev...festival.com/</t>
  </si>
  <si>
    <t>Montclair</t>
  </si>
  <si>
    <t>https://filmfreeway.com/BeverlyHillsFilmFestival</t>
  </si>
  <si>
    <t>Blackbird Film Festival</t>
  </si>
  <si>
    <t>https://www.blackbirdfilmfest.com/</t>
  </si>
  <si>
    <t>Beverly Hills</t>
  </si>
  <si>
    <t>70A Greenwich Ave., New York, New York 10011 United States</t>
  </si>
  <si>
    <t>Bicycle Film Festival</t>
  </si>
  <si>
    <t>http://www.bicyclefilmfestival.com</t>
  </si>
  <si>
    <t>https://filmfreeway.com/BlackbirdFilmFest</t>
  </si>
  <si>
    <t>New Dates: Oct 1-4</t>
  </si>
  <si>
    <t>333 West 23rd Street, New York, New York 10011</t>
  </si>
  <si>
    <t>Big Apple Film Festival</t>
  </si>
  <si>
    <t>https://www.bigapplefilmfestival.com/</t>
  </si>
  <si>
    <t>Cortland</t>
  </si>
  <si>
    <t>https://filmfreeway.com/BigAppleFilmFestival</t>
  </si>
  <si>
    <t>1000 Bourbon St., New Orleans, LA 70116</t>
  </si>
  <si>
    <t>1100 Lincoln Drive, Room 1101 Carbondale, IL 62901</t>
  </si>
  <si>
    <t>Big Muddy Film Festival</t>
  </si>
  <si>
    <t>http://bigmuddyfilm.com/</t>
  </si>
  <si>
    <t>https://filmfreeway.com/BigMuddyFilmFestival</t>
  </si>
  <si>
    <t>Tribeca Film Festival</t>
  </si>
  <si>
    <t>https://tribecafilm.com/</t>
  </si>
  <si>
    <t>113 W. Front Street, Suite 105 Missoula, Montana 59802 United States</t>
  </si>
  <si>
    <t>https://filmfreeway.com/TribecaFilmFestival</t>
  </si>
  <si>
    <t>Big Sky Documentary Film Festival</t>
  </si>
  <si>
    <t>http://www.big...filmfest.org/</t>
  </si>
  <si>
    <t>CASCADIA International Women's Film Festival</t>
  </si>
  <si>
    <t>http://www.cascadiafilmfest.org/</t>
  </si>
  <si>
    <t>https://filmfreeway.com/BigSkyDocumentaryFilmFestival</t>
  </si>
  <si>
    <t>ClexaCon Film Festival</t>
  </si>
  <si>
    <t>http://www.clexacon.com</t>
  </si>
  <si>
    <t>420 Main Street West, Ashland, Wisconsin 54806</t>
  </si>
  <si>
    <t>Big Water Film Festival</t>
  </si>
  <si>
    <t>http://www.bigwaterfilmfestival.org/</t>
  </si>
  <si>
    <t>https://filmfreeway.com/ClexaConFilmFestival</t>
  </si>
  <si>
    <t>https://filmfreeway.com/BigWaterFilmFestival</t>
  </si>
  <si>
    <t>Postponed (late summer)</t>
  </si>
  <si>
    <t>Ebert Fest</t>
  </si>
  <si>
    <t>http://www.ebertfest.com/</t>
  </si>
  <si>
    <t>20 West Ridge Road, Gary, Indiana 46408</t>
  </si>
  <si>
    <t>Bill Johnson Black Film Festival</t>
  </si>
  <si>
    <t>http://glentheater.wixsite.com/billjohnsonfilm</t>
  </si>
  <si>
    <t>Champaign</t>
  </si>
  <si>
    <t>Wicked Queer: The Boston LGBT Film Festival</t>
  </si>
  <si>
    <t>http://www.bos...filmfest.net/</t>
  </si>
  <si>
    <t>https://filmfreeway.com/BillJohnsonBlackFilmFestival</t>
  </si>
  <si>
    <t>Gary</t>
  </si>
  <si>
    <t>Hico, Texas 76457 United States</t>
  </si>
  <si>
    <t>Billy The Kid Film Festival</t>
  </si>
  <si>
    <t>https://www.billythekidfilmfestival.com</t>
  </si>
  <si>
    <t>https://filmfreeway.com/WickedQueer</t>
  </si>
  <si>
    <t>Hico</t>
  </si>
  <si>
    <t>114 East Catherine Street, Milford, Pennsylvania 18337 United States</t>
  </si>
  <si>
    <t>Black Bear Film Festival</t>
  </si>
  <si>
    <t>http://blackbearfilmfestival.squarespace.com</t>
  </si>
  <si>
    <t>Milford</t>
  </si>
  <si>
    <t>304 8th Street Augusta, Georgia 30901 United States</t>
  </si>
  <si>
    <t>Black Cat Picture Show</t>
  </si>
  <si>
    <t>http://www.lcnaugusta.com/black-cat-picture-show/</t>
  </si>
  <si>
    <t>Seattle Jewish Film Festival</t>
  </si>
  <si>
    <t>https://filmfreeway.com/BlackCatPictureShow</t>
  </si>
  <si>
    <t>http://www.seattlejewishfilmfestival.org/</t>
  </si>
  <si>
    <t xml:space="preserve">Augusta </t>
  </si>
  <si>
    <t>Gene Siskel Film Center 164 N State Street Chicago, IL 60601 United States</t>
  </si>
  <si>
    <t>https://filmfreeway.com/SeattleJewishFilmFestival</t>
  </si>
  <si>
    <t>Mercer Island</t>
  </si>
  <si>
    <t>Black Harvest Film Festival</t>
  </si>
  <si>
    <t>http://www.siskelfilmcenter.org/blackharvest</t>
  </si>
  <si>
    <t>Cleveland International Film Festival</t>
  </si>
  <si>
    <t>https://www.clevelandfilm.org/</t>
  </si>
  <si>
    <t>https://filmfreeway.com/BlackHarvestFilmFestival</t>
  </si>
  <si>
    <t>https://filmfreeway.com/ClevelandInternationalFilmFestival</t>
  </si>
  <si>
    <t>Cleveland</t>
  </si>
  <si>
    <t>New Directors/New Films</t>
  </si>
  <si>
    <t>http://www.newdirectors.org/</t>
  </si>
  <si>
    <t>280 Main St. #15, Hill City SD 57745</t>
  </si>
  <si>
    <t>Black Hills Film Festival</t>
  </si>
  <si>
    <t>https://www.blackhillsfilmfestival.org/</t>
  </si>
  <si>
    <t>Pioneer Valley Jewish Film Festival</t>
  </si>
  <si>
    <t>http://pvjff.org/contact</t>
  </si>
  <si>
    <t>Springfield</t>
  </si>
  <si>
    <t>https://filmfreeway.com/BlackHillsFilmFestival</t>
  </si>
  <si>
    <t>Hill City</t>
  </si>
  <si>
    <t>SD</t>
  </si>
  <si>
    <t>474 24th Street, Oakland, California 94612 United States</t>
  </si>
  <si>
    <t>Philadelphia Environmental Film Festival</t>
  </si>
  <si>
    <t>http://philaenvirofilmfest.org</t>
  </si>
  <si>
    <t>Black/African/African American, Women's</t>
  </si>
  <si>
    <t>Black Laurel Films</t>
  </si>
  <si>
    <t>https://www.blacklaurelfilms.com</t>
  </si>
  <si>
    <t>New Dates: Sept 23-27</t>
  </si>
  <si>
    <t>Full Frame Documentary Film Festival</t>
  </si>
  <si>
    <t>https://www.fullframefest.org/</t>
  </si>
  <si>
    <t>https://filmfreeway.com/FullFrameDocumentaryFilmFestival</t>
  </si>
  <si>
    <t>Raleigh-Durham</t>
  </si>
  <si>
    <t>21 Graham Ave, Cortland, NY 13045</t>
  </si>
  <si>
    <t>Universe Multicultural Film Festival</t>
  </si>
  <si>
    <t>http://www.umfilms.org</t>
  </si>
  <si>
    <t>New Dates: May 29-31</t>
  </si>
  <si>
    <t>Palos Verdes Peninsula</t>
  </si>
  <si>
    <t>San Diego Arab Film Festival</t>
  </si>
  <si>
    <t>http://sandiegoaff.org/</t>
  </si>
  <si>
    <t>https://filmfreeway.com/SanDiegoArabFilmFestival</t>
  </si>
  <si>
    <t>3701 Chestnut Street, Philadelphia, Pennsylvania 19104 United States</t>
  </si>
  <si>
    <t>New Jersey Jewish Film Festival</t>
  </si>
  <si>
    <t>BlackStar Film Festival</t>
  </si>
  <si>
    <t>https://www.blackstarfest.org</t>
  </si>
  <si>
    <t>https://jccmetrowest.org/programs/njjff/</t>
  </si>
  <si>
    <t>https://filmfreeway.com/njjff</t>
  </si>
  <si>
    <t>West Orange</t>
  </si>
  <si>
    <t>Salem Film Fest</t>
  </si>
  <si>
    <t>https://salemfilmfest.com/2019/</t>
  </si>
  <si>
    <t>1318 Bay Street, Bellingham, Washington 98225</t>
  </si>
  <si>
    <t>Bleedingham Film Festival</t>
  </si>
  <si>
    <t>https://bleedingham.com/</t>
  </si>
  <si>
    <t>https://filmfreeway.com/BleedinghamFilmFestival</t>
  </si>
  <si>
    <t>Postponed Indefinitely</t>
  </si>
  <si>
    <t>Salem</t>
  </si>
  <si>
    <t>Women's Film Festival</t>
  </si>
  <si>
    <t>http://womensfilmfestival.org</t>
  </si>
  <si>
    <t>4255 West Colfax Avenue, Denver, Colorado 80204</t>
  </si>
  <si>
    <t>Short, Misc. Niche</t>
  </si>
  <si>
    <t>Blisfest 333</t>
  </si>
  <si>
    <t>https://www.blissfest333.com/</t>
  </si>
  <si>
    <t>https://filmfreeway.com/Blissfest333</t>
  </si>
  <si>
    <t>New Dates: Sept 18-20</t>
  </si>
  <si>
    <t>Brattleboro</t>
  </si>
  <si>
    <t>18 W Center St Logan, UT 84321 United States</t>
  </si>
  <si>
    <t xml:space="preserve">Block Festival, The </t>
  </si>
  <si>
    <t>http://theblockfestival.org/</t>
  </si>
  <si>
    <t>Sonoma International Film Festival</t>
  </si>
  <si>
    <t>https://filmfreeway.com/theblock</t>
  </si>
  <si>
    <t>http://www.sonomafilmfest.org/</t>
  </si>
  <si>
    <t>Logan</t>
  </si>
  <si>
    <t>1401 N. Sandburg Chicago, Illinois 60610</t>
  </si>
  <si>
    <t>https://filmfreeway.com/SonomaInternationalFilmFestival</t>
  </si>
  <si>
    <t>Blow-Up Arthouse Film Festival</t>
  </si>
  <si>
    <t>http://www.blowupfilmfest.com/</t>
  </si>
  <si>
    <t>Postponed indefinitely</t>
  </si>
  <si>
    <t>Sonoma</t>
  </si>
  <si>
    <t>Trenton Film Festival</t>
  </si>
  <si>
    <t>https://filmfreeway.com/blowupfilmfest</t>
  </si>
  <si>
    <t>http://trentonfilmsociety.org/trenton-film-festival/</t>
  </si>
  <si>
    <t>117 E Palatine Rd, 60067 Palatine, Illinois</t>
  </si>
  <si>
    <t>Blue Whiskey Independent Film Festival</t>
  </si>
  <si>
    <t>https://www.bwiff.com/</t>
  </si>
  <si>
    <t>https://filmfreeway.com/TrentonFilmFestival</t>
  </si>
  <si>
    <t>https://filmfreeway.com/bluewhiskeyff</t>
  </si>
  <si>
    <t>Trenton</t>
  </si>
  <si>
    <t>Sebastopol Documentary Film Festival</t>
  </si>
  <si>
    <t>https://sebastopolfilmfestival.org/</t>
  </si>
  <si>
    <t>Palatine</t>
  </si>
  <si>
    <t>16910 NE 107th St Redmond, WA 98052</t>
  </si>
  <si>
    <t>https://filmfreeway.com/SebastopolDocumentaryFilmFestival</t>
  </si>
  <si>
    <t>Horror, Comedy</t>
  </si>
  <si>
    <t>Sebastopol</t>
  </si>
  <si>
    <t>10150 Bonita Beach Road, Bonita Springs, FL 34135</t>
  </si>
  <si>
    <t>Bonita Springs International Film Festival</t>
  </si>
  <si>
    <t>http://www.artcenterbonita.org/biff/</t>
  </si>
  <si>
    <t>https://filmfreeway.com/BonitaSpringsInternationalFilmFestival</t>
  </si>
  <si>
    <t>Bonita Springs</t>
  </si>
  <si>
    <t>FilmFort</t>
  </si>
  <si>
    <t>https://www.treefortmusicfest.com/fort/filmfort/</t>
  </si>
  <si>
    <t>345 Fannin Street, Beaumont, Texas 77701 United States</t>
  </si>
  <si>
    <t>Boomtown Film &amp; Music Festival</t>
  </si>
  <si>
    <t>http://www.boomtownfestival.com/wordpress</t>
  </si>
  <si>
    <t>https://filmfreeway.com/filmfortfest</t>
  </si>
  <si>
    <t>Boise</t>
  </si>
  <si>
    <t>ID</t>
  </si>
  <si>
    <t>Speechless Film Festival</t>
  </si>
  <si>
    <t>http://speechlessfilmfestival.com/</t>
  </si>
  <si>
    <t>Beaumont</t>
  </si>
  <si>
    <t>https://filmfreeway.com/SpeechlessFilmFestival</t>
  </si>
  <si>
    <t>Borrego Springs, CA 92004</t>
  </si>
  <si>
    <t>Changed to online only</t>
  </si>
  <si>
    <t>Mankato</t>
  </si>
  <si>
    <t>New York City International Film Festival</t>
  </si>
  <si>
    <t>http://www.nyciff.com/</t>
  </si>
  <si>
    <t>Borrego Springs Film Festival</t>
  </si>
  <si>
    <t>https://filmfreeway.com/NEWYORKCITYINTERNATIONALFILMFESTIVALNYCIFF</t>
  </si>
  <si>
    <t>http://www.borregospringsfilmfestival.org/</t>
  </si>
  <si>
    <t>Environmental Film Festival in the Nation's Capital</t>
  </si>
  <si>
    <t>https://dceff.org/</t>
  </si>
  <si>
    <t>https://filmfreeway.com/BorregoSpringsFilmFestival</t>
  </si>
  <si>
    <t>https://filmfreeway.com/EnvironmentalFilmFestivalInTheNationsCapital</t>
  </si>
  <si>
    <t>Borrego Springs</t>
  </si>
  <si>
    <t>Events canceled; some virtual, some fall screenings TBD</t>
  </si>
  <si>
    <t>San Diego Latino Film Festival</t>
  </si>
  <si>
    <t>http://sdlatinofilm.com/</t>
  </si>
  <si>
    <t xml:space="preserve">333 W. 23rd Street, New York, NY 10011 </t>
  </si>
  <si>
    <t>https://filmfreeway.com/SanDiegoLatinoFilmFestival</t>
  </si>
  <si>
    <t>San Luis Obispo International Film Festival</t>
  </si>
  <si>
    <t>https://slofilmfest.org/</t>
  </si>
  <si>
    <t>https://filmfreeway.com/slofilmfest</t>
  </si>
  <si>
    <t>San Luis Obispo</t>
  </si>
  <si>
    <t xml:space="preserve">Oxford Film Festival </t>
  </si>
  <si>
    <t>http://oxfordfilmfest.com/</t>
  </si>
  <si>
    <t>2 Boylston St. Ste. G-3 Boston, MA 02116 United States</t>
  </si>
  <si>
    <t>https://filmfreeway.com/OxfordFilmFestival</t>
  </si>
  <si>
    <t>Boston Asian American Film Festival</t>
  </si>
  <si>
    <t>Oxford</t>
  </si>
  <si>
    <t>http://www.baaff.org/</t>
  </si>
  <si>
    <t>SOMA Film Festival</t>
  </si>
  <si>
    <t>https://www.somafilmfestival.com/</t>
  </si>
  <si>
    <t>https://filmfreeway.com/baaff</t>
  </si>
  <si>
    <t>https://filmfreeway.com/SOMAFilmFestival</t>
  </si>
  <si>
    <t>Maplewood</t>
  </si>
  <si>
    <t>SR Socially Relevant Film Festival</t>
  </si>
  <si>
    <t>https://www.ratedsrfilms.org/</t>
  </si>
  <si>
    <t>235 Highland Avenue, Somerville, MA 02143</t>
  </si>
  <si>
    <t>Boston Comedy Festival</t>
  </si>
  <si>
    <t>https://filmfreeway.com/SRFF20</t>
  </si>
  <si>
    <t>http://www.bos...festival.com/</t>
  </si>
  <si>
    <t>Sun Valley Film Festival</t>
  </si>
  <si>
    <t>12 Marbee Rd., Rockport, MA 01966</t>
  </si>
  <si>
    <t>https://sunvalleyfilmfestival.org/</t>
  </si>
  <si>
    <t>Boston Film Festival</t>
  </si>
  <si>
    <t>http://www.bos...festival.org/</t>
  </si>
  <si>
    <t>https://filmfreeway.com/SunValleyFilmFestival</t>
  </si>
  <si>
    <t>https://filmfreeway.com/BostonFilmFestival</t>
  </si>
  <si>
    <t>Sun Valley</t>
  </si>
  <si>
    <t>GLAS Animation Film Festival</t>
  </si>
  <si>
    <t>http://www.glasanimation.com/</t>
  </si>
  <si>
    <t>9A Hamilton Place Boston, MA 02108 United States</t>
  </si>
  <si>
    <t>https://filmfreeway.com/GLASAnimationFestival</t>
  </si>
  <si>
    <t>Irish Film Festival Boston</t>
  </si>
  <si>
    <t>http://www.irishfilmfestival.com/</t>
  </si>
  <si>
    <t>https://filmfreeway.com/IrishFilmFestivalBoston2020</t>
  </si>
  <si>
    <t>New Dates: Nov 19-22</t>
  </si>
  <si>
    <t>6 Eastman Place, Suite 202 Melrose, MA 02176 United States</t>
  </si>
  <si>
    <t>Martha's Vinyard Film Festival</t>
  </si>
  <si>
    <t>http://tmvff.org/</t>
  </si>
  <si>
    <t>https://filmfreeway.com/MarthasVineyardFilmFestival</t>
  </si>
  <si>
    <t>Boston International Kids Film Festival</t>
  </si>
  <si>
    <t>http://bikff.org/</t>
  </si>
  <si>
    <t>Chillmark</t>
  </si>
  <si>
    <t>Chicago Comedy Film Festival</t>
  </si>
  <si>
    <t>https://www.chicagocomedyfilmfestival.com/</t>
  </si>
  <si>
    <t>https://filmfreeway.com/BostonInternationalKidsFilmFestival</t>
  </si>
  <si>
    <t>https://filmfreeway.com/ChicagoComedyFilmFestival</t>
  </si>
  <si>
    <t>Melrose</t>
  </si>
  <si>
    <t>1001 Watertown Street West Newton, MA 02465 United States</t>
  </si>
  <si>
    <t>South by Southwest Film Festival</t>
  </si>
  <si>
    <t>https://www.sxsw.com/festivals/film/</t>
  </si>
  <si>
    <t>Boston Jewish Film Festival</t>
  </si>
  <si>
    <t>https://www.sxsw.com/apply-to-participate/film-submissions/</t>
  </si>
  <si>
    <t>http://www.bjff.org/</t>
  </si>
  <si>
    <t>https://filmfreeway.com/TheBostonJewishFilmFestival</t>
  </si>
  <si>
    <t xml:space="preserve">Fargo Film Festival </t>
  </si>
  <si>
    <t>www.fargofilmfestival.com</t>
  </si>
  <si>
    <t>https://filmfreeway.com/FargoFilmFestival</t>
  </si>
  <si>
    <t>Canceled; planning limited summer event</t>
  </si>
  <si>
    <t>Fargo</t>
  </si>
  <si>
    <t>ND</t>
  </si>
  <si>
    <t>Tiny Dance Film Festival</t>
  </si>
  <si>
    <t>http://www.detourdance.com/tdff/</t>
  </si>
  <si>
    <t>1510 Centre St Newton Boston, MA 02131 United States</t>
  </si>
  <si>
    <t>https://filmfreeway.com/TinyDanceFilmFestival</t>
  </si>
  <si>
    <t>Light Field</t>
  </si>
  <si>
    <t>http://www.lightfieldfilm.org/</t>
  </si>
  <si>
    <t>Boston Latino International Film Festival</t>
  </si>
  <si>
    <t>http://www.bliff.org/</t>
  </si>
  <si>
    <t>http://www.lightfieldfilm.org/2020-call-for-submissions</t>
  </si>
  <si>
    <t>https://filmfreeway.com/BostonLatinoInternationalFilmFestival</t>
  </si>
  <si>
    <t>Cinequest</t>
  </si>
  <si>
    <t>https://www.cinequest.org/</t>
  </si>
  <si>
    <t>955 Massachusetts Ave., Cambridge, MA 02139 United States</t>
  </si>
  <si>
    <t>Boston Palestine Film Festival</t>
  </si>
  <si>
    <t>http://www.bostonpalestinefilmfest.org</t>
  </si>
  <si>
    <t>https://filmfreeway.com/Cinequest</t>
  </si>
  <si>
    <t>2nd week of fest postponed until August</t>
  </si>
  <si>
    <t>San Jose</t>
  </si>
  <si>
    <t>Miami Film Festival</t>
  </si>
  <si>
    <t>https://miamifilmfestival.com/</t>
  </si>
  <si>
    <t>https://filmfreeway.com/MiamiFilmFestival</t>
  </si>
  <si>
    <t>21 Ballard Rd Derry, NH 03038 United States</t>
  </si>
  <si>
    <t>Ended festival early</t>
  </si>
  <si>
    <t>Santa Barbara Jewish Film Festival</t>
  </si>
  <si>
    <t>https://www.sbjewishfilmfestival.org/</t>
  </si>
  <si>
    <t>Genre</t>
  </si>
  <si>
    <t>Boston Sci-Fi Film Festival</t>
  </si>
  <si>
    <t>http://www.bos...onsci-fi.com/</t>
  </si>
  <si>
    <t>https://filmfreeway.com/SBJFF</t>
  </si>
  <si>
    <t>New Dates: Aug 19-23</t>
  </si>
  <si>
    <t>https://filmfreeway.com/BostonScienceFictionFilmFestival</t>
  </si>
  <si>
    <t>Santa Barbara</t>
  </si>
  <si>
    <t>International Oceean Film Festival</t>
  </si>
  <si>
    <t>http://intloceanfilmfest.org/</t>
  </si>
  <si>
    <t>https://filmfreeway.com/IOFF2020</t>
  </si>
  <si>
    <t>55 Davis Square, Somerville, Massachusetts 02144</t>
  </si>
  <si>
    <t>Boston Short Film Festival</t>
  </si>
  <si>
    <t>http://www.bostonshortfilmfestival.com/</t>
  </si>
  <si>
    <t>Onion City Experimental Film + Video Festival</t>
  </si>
  <si>
    <t>http://www.onioncityfilmfest.org/</t>
  </si>
  <si>
    <t>https://filmfreeway.com/BostonShortFilmFestival</t>
  </si>
  <si>
    <t>https://filmfreeway.com/OnionCityFF</t>
  </si>
  <si>
    <t>465 Huntington Ave, Boston, MA 02115</t>
  </si>
  <si>
    <t>Boston Turkish Film Festival</t>
  </si>
  <si>
    <t>http://www.bostonturkishfilmfestival.org/</t>
  </si>
  <si>
    <t>Six Liberty Square Unit 287 Boston, MA 02109 United States</t>
  </si>
  <si>
    <t>GA (code below)</t>
  </si>
  <si>
    <t>Welcome!</t>
  </si>
  <si>
    <t>2020 Sponsors</t>
  </si>
  <si>
    <t>2338 Broadway Street Boulder, CO 80304 United States</t>
  </si>
  <si>
    <t>Boulder International Film Festival</t>
  </si>
  <si>
    <t>http://www.biff1.com/</t>
  </si>
  <si>
    <t>https://filmfreeway.com/BoulderInternationalFIlmFestival</t>
  </si>
  <si>
    <t>1910 W University Dr, Boise, ID 83725</t>
  </si>
  <si>
    <t>Short, Student</t>
  </si>
  <si>
    <t>BoVi Film Festival</t>
  </si>
  <si>
    <t xml:space="preserve">For more film festival resources visit: </t>
  </si>
  <si>
    <t>https://bovifilm.tk/</t>
  </si>
  <si>
    <t>PREMIER SPONSORS</t>
  </si>
  <si>
    <t>https://filmfreeway.com/bovifilmfest</t>
  </si>
  <si>
    <t>www.filmfestivaldatabase.com</t>
  </si>
  <si>
    <t>1675 7th Street, #23302 Oakland, CA 94623-6009 United States</t>
  </si>
  <si>
    <t>Brainwash Movie Festival</t>
  </si>
  <si>
    <t>Multi-event ticketing for the modern world</t>
  </si>
  <si>
    <t>http://www.brainwashm.com/</t>
  </si>
  <si>
    <t>Guidelines For Inclusion</t>
  </si>
  <si>
    <t>https://filmfreeway.com/BrainwashMovies</t>
  </si>
  <si>
    <t>103 S. Harris Street, Suite 205 Breckenridge, CO 80424 United States</t>
  </si>
  <si>
    <t>Festivals must be:</t>
  </si>
  <si>
    <t>A collaborative global community for mission-driven film festivals</t>
  </si>
  <si>
    <t>Breckenridge Film Festival</t>
  </si>
  <si>
    <t>https://www.breckfilmfest.org/</t>
  </si>
  <si>
    <t>- Primarily a brick and mortar festival (can have online component)</t>
  </si>
  <si>
    <t>https://filmfreeway.com/breckfilmfest</t>
  </si>
  <si>
    <t xml:space="preserve">- Primarily an annual film festival; can have other components (VR, music, year-round programming, etc.) </t>
  </si>
  <si>
    <t>Breckenridge</t>
  </si>
  <si>
    <t>141 Bright St, Jersey City, NJ 07302</t>
  </si>
  <si>
    <t xml:space="preserve">Brightside Film Festival, The </t>
  </si>
  <si>
    <t>http://www.brightsidetavernfilmfestival.com/</t>
  </si>
  <si>
    <t>Unlimited royalty-free music for filmmakers. Use FFD20 to receive 10% off!</t>
  </si>
  <si>
    <t xml:space="preserve">- In operation for at least 3 years prior to 2019 (festivals coming back from an extended hiatus may not </t>
  </si>
  <si>
    <t>https://filmfreeway.com/TheBrightsideTavernShortsFest</t>
  </si>
  <si>
    <t>SPONSORS</t>
  </si>
  <si>
    <t>Jersey City</t>
  </si>
  <si>
    <t xml:space="preserve">  be included)</t>
  </si>
  <si>
    <t>9854 National Blvd. #166 Los Angeles, CA 90034</t>
  </si>
  <si>
    <t>Women's, Comedy</t>
  </si>
  <si>
    <t xml:space="preserve">Broad Humor Film Festival, The </t>
  </si>
  <si>
    <t>https://www.broadhumorfilmfest.com/</t>
  </si>
  <si>
    <t>https://filmfreeway.com/TheBroadHumorFilmFestival</t>
  </si>
  <si>
    <t>Festivals must have:</t>
  </si>
  <si>
    <t>4801 Fulton Industrial Blvd., Atlanta, Georgia 30336</t>
  </si>
  <si>
    <t>BronzeLens Film Festival</t>
  </si>
  <si>
    <t>https://bronzelens.com/</t>
  </si>
  <si>
    <t>Smarter ticketing for film festivals, designed by festival organizers</t>
  </si>
  <si>
    <t>https://filmfreeway.com/BronzeLensFilmFestival</t>
  </si>
  <si>
    <t>- Active website (festivals whose websites look to be more than a year out of date may not be included)</t>
  </si>
  <si>
    <t>180 S. 4 Street Ste 2 S. Brooklyn, NY 11211 United States</t>
  </si>
  <si>
    <t>Minnesota based film production company</t>
  </si>
  <si>
    <t>Festivals must not be:</t>
  </si>
  <si>
    <t>Brooklyn Film Festival</t>
  </si>
  <si>
    <t>http://www.brooklynfilmfestival.org/</t>
  </si>
  <si>
    <t>- Touring festival or conglomerate that produces live events in multiple cities</t>
  </si>
  <si>
    <t>SUPPORTERS</t>
  </si>
  <si>
    <t>https://filmfreeway.com/BrooklynFilmFestival</t>
  </si>
  <si>
    <r>
      <t xml:space="preserve">- Primarily a filmmaking or screenwriting </t>
    </r>
    <r>
      <rPr>
        <u/>
      </rPr>
      <t>contest</t>
    </r>
    <r>
      <t xml:space="preserve"> (can have contest component to festival)</t>
    </r>
  </si>
  <si>
    <t>265 Court Street, New York 11231</t>
  </si>
  <si>
    <t>Brooklyn Horror Fest</t>
  </si>
  <si>
    <t>http://brooklynhorrorfest.com/</t>
  </si>
  <si>
    <t>- Timed or prompt-based filmmaking competition or challenge</t>
  </si>
  <si>
    <t>https://filmfreeway.com/BrooklynHorrorFest</t>
  </si>
  <si>
    <t>- Biannual, monthly, or recurring screening series or showcase</t>
  </si>
  <si>
    <t>1109 Nostrand Ave, Brooklyn, NY 11225</t>
  </si>
  <si>
    <t>Brooklyn Short Film Festival</t>
  </si>
  <si>
    <t>https://www.brooklynshortfilmfestival.com/</t>
  </si>
  <si>
    <t>- Exclusively or primarily an awards giving event or competition (can have awards component to festival)</t>
  </si>
  <si>
    <t>- Restricted to filmmakers from a specific state or school</t>
  </si>
  <si>
    <t>Support</t>
  </si>
  <si>
    <t>https://filmfreeway.com/BrooklynShorts</t>
  </si>
  <si>
    <t>80 Wythe Avenue, New York 11249</t>
  </si>
  <si>
    <t>Brooklyn Women's Film Festival</t>
  </si>
  <si>
    <t>http://www.brooklynwomensfilmfestival.com/</t>
  </si>
  <si>
    <t>- Primarily a web series, music video, or television festival</t>
  </si>
  <si>
    <t>Donate below to support the ongoing maintenance of the Film Festival Database. Your support is greatly appreciated!</t>
  </si>
  <si>
    <t>https://filmfreeway.com/BrooklynWomensFilmFestival</t>
  </si>
  <si>
    <t>4901 Transit Road, Depew, New York 14043</t>
  </si>
  <si>
    <t>Buffalo Dreams Fantastic Film Festival</t>
  </si>
  <si>
    <t>http://buffalodreamsfilmfest.com/</t>
  </si>
  <si>
    <t>Categories &amp; Tagging</t>
  </si>
  <si>
    <t>https://filmfreeway.com/BuffaloDreamsFantasticFilmFestival</t>
  </si>
  <si>
    <t xml:space="preserve">Festivals are tagged in a given category (see columns S - AP on "2019 DATABASE" tab) only if they </t>
  </si>
  <si>
    <t>Depew</t>
  </si>
  <si>
    <t>3131 Sheridan Dr # 7 Amherst, NY, Amherst, NY 14226</t>
  </si>
  <si>
    <t>exclusively specialize in that category. For example, festivals that only screen short documentaries are</t>
  </si>
  <si>
    <t>Buffalo International Film Festival</t>
  </si>
  <si>
    <t>https://www.buffalofilm.org/</t>
  </si>
  <si>
    <t>Contact</t>
  </si>
  <si>
    <t>https://filmfreeway.com/buffalofilm</t>
  </si>
  <si>
    <t>Buffalo</t>
  </si>
  <si>
    <t>tagged "short" and "documentary" while fests that screen shorts and documentaries but also</t>
  </si>
  <si>
    <t>3840 E. Robinson Rd. Ste 166 Amherst, NY 14228 United States</t>
  </si>
  <si>
    <t>features and narratives are tagged "General"; Fests that only screen horror are tagged "Horror", while</t>
  </si>
  <si>
    <t>Buffalo Niagra Film Festival</t>
  </si>
  <si>
    <t>thebnff.com</t>
  </si>
  <si>
    <t>https://filmfreeway.com/BuffaloNiagaraInternationalFilmFestival</t>
  </si>
  <si>
    <t>genre fests that screen horror, sci-fi, and fantasy, are tagged "Genre", and fests that screen genre films</t>
  </si>
  <si>
    <t xml:space="preserve">Please read Guidelines For Inclusion above before submitting </t>
  </si>
  <si>
    <t>Buffalo/Niagra</t>
  </si>
  <si>
    <t>as well as narratives, docs, etc., are tagged "General".</t>
  </si>
  <si>
    <t>2600 W. Olive Avenue, Burbank, CA 91505</t>
  </si>
  <si>
    <t>Burbank International Film Festival</t>
  </si>
  <si>
    <t>https://www.burbankfilmfest.org/</t>
  </si>
  <si>
    <t>https://filmfreeway.com/BurbankInternationalFilmFestival</t>
  </si>
  <si>
    <t>Burbank</t>
  </si>
  <si>
    <t>A Note From the Maker</t>
  </si>
  <si>
    <t>1105 Euclid Avenue Northeast, Atlanta, Georgia 30307</t>
  </si>
  <si>
    <t>Buried Alive Film Festival</t>
  </si>
  <si>
    <t>http://buriedalivefilmfest.com/</t>
  </si>
  <si>
    <t>https://filmfreeway.com/BuriedAliveFIlmFestival</t>
  </si>
  <si>
    <t>100 Bogart St Brooklyn, NY 11206</t>
  </si>
  <si>
    <t>Bushwick Film Festival</t>
  </si>
  <si>
    <t>https://www.bushwickfilmfestival.com/</t>
  </si>
  <si>
    <t>https://filmfreeway.com/BUSHWICKFILMFESTIVAL</t>
  </si>
  <si>
    <t>210 S. Main Street, Helper, UT 84526</t>
  </si>
  <si>
    <t>Butch Cassidy Film Festival</t>
  </si>
  <si>
    <t>http://helperartsfest.com/</t>
  </si>
  <si>
    <t>https://filmfreeway.com/ButchCassidyFilmFestival</t>
  </si>
  <si>
    <t>I made the Film Festival Database last year as a resource for filmmakers and festival organizers. Thanks</t>
  </si>
  <si>
    <t>For all other inquiries, please email</t>
  </si>
  <si>
    <t>Helper</t>
  </si>
  <si>
    <t>1515 12th Avenue, Seattle, Washington 98122 United States</t>
  </si>
  <si>
    <t>to everyone who donated throughout the year and the partnership of some wonderful new sponsors,</t>
  </si>
  <si>
    <t>129 East Main Street Bozeman, MT 59715</t>
  </si>
  <si>
    <t xml:space="preserve">I've been able to replicate it for 2020. I hope this new edition, and the other resources available at </t>
  </si>
  <si>
    <t>BZN Internatioanl Film Festival</t>
  </si>
  <si>
    <t>http://bozemanfilmcelebration.com/</t>
  </si>
  <si>
    <t>https://filmfreeway.com/WomenBIFF</t>
  </si>
  <si>
    <t xml:space="preserve">filmfestivaldatabase.com, prove useful to you throughout the year. </t>
  </si>
  <si>
    <t>Contributors</t>
  </si>
  <si>
    <t xml:space="preserve">Bozeman </t>
  </si>
  <si>
    <t>145 Ninth St #350 San Francisco, California 94103 United States</t>
  </si>
  <si>
    <t xml:space="preserve">Big thanks to the folks who helped make it happen, especially Nick Baldwin for his coding wizardry, and </t>
  </si>
  <si>
    <t>Michael Forstein</t>
  </si>
  <si>
    <t>Paul Fischer for his creative guidance, technical mastery, and collaboration.</t>
  </si>
  <si>
    <t>Paul Fischer</t>
  </si>
  <si>
    <t>CAAM Fest</t>
  </si>
  <si>
    <t>https://caamfest.com/</t>
  </si>
  <si>
    <t>https://filmfreeway.com/CAAMFest</t>
  </si>
  <si>
    <t>Nick Baldwin</t>
  </si>
  <si>
    <t>Feel free to reach out with thoughts and questions about the database. Thanks, and best of luck with your</t>
  </si>
  <si>
    <t>Lance Karasti</t>
  </si>
  <si>
    <t>Bay Area</t>
  </si>
  <si>
    <t>23548 Calabasas Road, Calabasas, CA 91302</t>
  </si>
  <si>
    <t>Calabasas Film Festival</t>
  </si>
  <si>
    <t>http://www.calabasasfilmfestival.com/</t>
  </si>
  <si>
    <t>films and festivals!</t>
  </si>
  <si>
    <t>https://filmfreeway.com/CalabasasFilmFestival</t>
  </si>
  <si>
    <t>- Michael Forstein</t>
  </si>
  <si>
    <t>Calabasas</t>
  </si>
  <si>
    <t>Danville, CA 94526</t>
  </si>
  <si>
    <t>California Independent Film Festival</t>
  </si>
  <si>
    <t>https://www.caiff.org/</t>
  </si>
  <si>
    <t>https://filmfreeway.com/CaliforniaIndependentFilmFestival</t>
  </si>
  <si>
    <t>Danville</t>
  </si>
  <si>
    <t>1350 Main Street, Cambria, CA 93428 United States</t>
  </si>
  <si>
    <t>Cambria Film Festival</t>
  </si>
  <si>
    <t>http://www.cambriafilmfestival.com</t>
  </si>
  <si>
    <t xml:space="preserve">LOG </t>
  </si>
  <si>
    <t>OBJ ID #</t>
  </si>
  <si>
    <t>Cambria</t>
  </si>
  <si>
    <t>DATE</t>
  </si>
  <si>
    <t>5 elm street, camden, me 04843</t>
  </si>
  <si>
    <t>FESTIVAL</t>
  </si>
  <si>
    <t>Camden International Film Festival</t>
  </si>
  <si>
    <t>https://pointsnorthinstitute.org/ciff/</t>
  </si>
  <si>
    <t>UPDATE TO DATABASE</t>
  </si>
  <si>
    <t>MASTER CALENDAR</t>
  </si>
  <si>
    <t>INDIVIDUAL CALENDARS</t>
  </si>
  <si>
    <t>https://filmfreeway.com/CamdenIFF</t>
  </si>
  <si>
    <t>GOOGLE MAP</t>
  </si>
  <si>
    <t>NOTES</t>
  </si>
  <si>
    <t>Camden</t>
  </si>
  <si>
    <t>605 Market Avenue North, Canton, OH 44702 United States</t>
  </si>
  <si>
    <t>Free State FF</t>
  </si>
  <si>
    <t>deleted duplicate entry</t>
  </si>
  <si>
    <t>Canton Film Festival</t>
  </si>
  <si>
    <t>https://www.cantonfilm.com/</t>
  </si>
  <si>
    <t>Rocky Mountain Women's FF</t>
  </si>
  <si>
    <t>Added festival dates</t>
  </si>
  <si>
    <t>Added submission deadlines</t>
  </si>
  <si>
    <t>N/A</t>
  </si>
  <si>
    <t>https://filmfreeway.com/CantonFilmFestival2019</t>
  </si>
  <si>
    <t>Hamptons Int'l FF</t>
  </si>
  <si>
    <t>Updated submissin deadlines</t>
  </si>
  <si>
    <t>Harvard College Film Fest</t>
  </si>
  <si>
    <t xml:space="preserve">Changed Last Submission Deadline </t>
  </si>
  <si>
    <t>extended to due rescheduling</t>
  </si>
  <si>
    <t>NYC Independent Film Festival</t>
  </si>
  <si>
    <t>Deleted duplicate entry</t>
  </si>
  <si>
    <t>Downtown LA FF (DTLAFF)</t>
  </si>
  <si>
    <t>Changed website</t>
  </si>
  <si>
    <t>Canton</t>
  </si>
  <si>
    <t>Victoria TX Ind FF</t>
  </si>
  <si>
    <t>Updated Festival Dates</t>
  </si>
  <si>
    <t>FilmFest DC</t>
  </si>
  <si>
    <t>637 Main Street, Chatham, Cape Cod 02633</t>
  </si>
  <si>
    <t>Philip K Dick FF</t>
  </si>
  <si>
    <t>Cape Cod International Film Festival</t>
  </si>
  <si>
    <t>https://capecodfilmfest.squarespace.com</t>
  </si>
  <si>
    <t>North Hollywood Cinefest</t>
  </si>
  <si>
    <t>Miscellaneous Festivals</t>
  </si>
  <si>
    <t>https://filmfreeway.com/CapeCodIFF</t>
  </si>
  <si>
    <t>Added a new tab, and a column within the "2020 Database" tab, to note date changes, postponements, and cancellations due to COVID-19</t>
  </si>
  <si>
    <t xml:space="preserve">The calendars and map will reflect festivals' original intended dates; changes due to COVID-19 will be made in afformentioned column and tab </t>
  </si>
  <si>
    <t>NY Shorts Int'l</t>
  </si>
  <si>
    <t>Updated website</t>
  </si>
  <si>
    <t>Cape Cod</t>
  </si>
  <si>
    <t>341 S. College Rd Ste. 11 PMB 3006 Wilmington, NC 28403 United States</t>
  </si>
  <si>
    <t>Changed Festival Dates</t>
  </si>
  <si>
    <t>Cape Fear Independent Film Festival</t>
  </si>
  <si>
    <t>http://www.cfifn.org/</t>
  </si>
  <si>
    <t>Duluth Superior FF</t>
  </si>
  <si>
    <t>https://filmfreeway.com/CapeFearIndependentFilmFestival</t>
  </si>
  <si>
    <t>Portland EcoFilm Festival</t>
  </si>
  <si>
    <t>Portland Horror FF</t>
  </si>
  <si>
    <t>Wilmington</t>
  </si>
  <si>
    <t>Portland Jewish FF</t>
  </si>
  <si>
    <t>Portland Unknown FF</t>
  </si>
  <si>
    <t>Prescott FF</t>
  </si>
  <si>
    <t>Providence Latin American FF</t>
  </si>
  <si>
    <t>Queen City FF</t>
  </si>
  <si>
    <t>815 Brazos Street, Austin, Tx 78701 United States</t>
  </si>
  <si>
    <t>Capital City Black Film Festival</t>
  </si>
  <si>
    <t>http://www.capcitybff.com/</t>
  </si>
  <si>
    <t>Red Nation Intl FF</t>
  </si>
  <si>
    <t>Reel Affirmations: Washington DC's Intl LGBTQ FF</t>
  </si>
  <si>
    <t>REEL recovery FF</t>
  </si>
  <si>
    <t>https://filmfreeway.com/CapitalCityBlackFilmFestival</t>
  </si>
  <si>
    <t>Reeling: The Chicago LGBTQ+ Intl FF</t>
  </si>
  <si>
    <t>Revolution Me FF</t>
  </si>
  <si>
    <t>Ridgefield Ind FF</t>
  </si>
  <si>
    <t>Ridgewood Guild Intl FF</t>
  </si>
  <si>
    <t>2500 S. Washington Lansing, MI 48910 United States</t>
  </si>
  <si>
    <t>Philadelphia Asian American FF</t>
  </si>
  <si>
    <t>Philadelphia FF</t>
  </si>
  <si>
    <t>Philadelphia Jewish FF</t>
  </si>
  <si>
    <t>Reel Q: Pittsburgh LGBTQ+ FF</t>
  </si>
  <si>
    <t>Pittsburgh Shorts FF</t>
  </si>
  <si>
    <t>Snake Alley Festival of Film</t>
  </si>
  <si>
    <t>Social Justice FF</t>
  </si>
  <si>
    <t>Society for Visual Anthropology Film &amp; Media Festival</t>
  </si>
  <si>
    <t>Sonscreen FF</t>
  </si>
  <si>
    <t>Southern Screen FF</t>
  </si>
  <si>
    <t>Spooky Movie Intl Horror FF</t>
  </si>
  <si>
    <t>St. Cloud FF</t>
  </si>
  <si>
    <t>St. Louis Intl FF</t>
  </si>
  <si>
    <t>8633 Colesville Road, Silver Spring, Maryland 20910 United States</t>
  </si>
  <si>
    <t>Studio City Intl Film &amp; TV fest</t>
  </si>
  <si>
    <t>Salute Your Shorts festival</t>
  </si>
  <si>
    <t>Capital Irish Film Festival</t>
  </si>
  <si>
    <t xml:space="preserve">http://www.solasnua.org/ciff </t>
  </si>
  <si>
    <t>San Diego Asian FF</t>
  </si>
  <si>
    <t>San Diego Intl FF</t>
  </si>
  <si>
    <t>San Diego Intl Kids FF</t>
  </si>
  <si>
    <t>San francisco Greek FF</t>
  </si>
  <si>
    <t>San Fran Intl New Concept FF</t>
  </si>
  <si>
    <t>San Fran Transgender FF</t>
  </si>
  <si>
    <t>San Jose Intl Short FF</t>
  </si>
  <si>
    <t>Sans Souci Festival of Dance Cinema</t>
  </si>
  <si>
    <t>Santa Cruz FF</t>
  </si>
  <si>
    <t>Scottsdale Inl FF</t>
  </si>
  <si>
    <t>Silver Spring</t>
  </si>
  <si>
    <t>Screamfest Horror FF</t>
  </si>
  <si>
    <t>STIFF: Seattle True Ind FF</t>
  </si>
  <si>
    <t>Sherman Oaks FF</t>
  </si>
  <si>
    <t>Shortcut 100</t>
  </si>
  <si>
    <t>300-G East Main Street, Carrboro, North Carolina 27510 United States</t>
  </si>
  <si>
    <t>Carrboro Film Fest</t>
  </si>
  <si>
    <t>https://www.carrborofilm.org</t>
  </si>
  <si>
    <t>Shriekfest Horror/Sci-Fi FF</t>
  </si>
  <si>
    <t>Silicon Valley Intl FF</t>
  </si>
  <si>
    <t>Sioux City Intl FF</t>
  </si>
  <si>
    <t>Slash &amp; Bash horror/SciFi FF</t>
  </si>
  <si>
    <t>Carrboro</t>
  </si>
  <si>
    <t>Sunnyside Shorts Intl FF</t>
  </si>
  <si>
    <t>3000 NE 151st St, North Miami, Florida 33181</t>
  </si>
  <si>
    <t>Carribean Movies Festival</t>
  </si>
  <si>
    <t>http://www.caribbeanmoviesfestival.org/</t>
  </si>
  <si>
    <t>Sunscreen FF West</t>
  </si>
  <si>
    <t>Tahoe Adventure FF</t>
  </si>
  <si>
    <t>Tallgrass FF</t>
  </si>
  <si>
    <t>Tampa Bay Und GG</t>
  </si>
  <si>
    <t>https://filmfreeway.com/CaribbeanMoviesFestival</t>
  </si>
  <si>
    <t>Tasveer South Asian FF</t>
  </si>
  <si>
    <t>Teaneck Intl FF</t>
  </si>
  <si>
    <t>Telluride Horror Show</t>
  </si>
  <si>
    <t>18543 Devenoshire St. #285 Northridge, CA 91324 United States</t>
  </si>
  <si>
    <t>Topaz FF</t>
  </si>
  <si>
    <t>Translations: Seattle Transgender FF</t>
  </si>
  <si>
    <t>Tucson Intl Jewish FF</t>
  </si>
  <si>
    <t>Twin Cities Black FF</t>
  </si>
  <si>
    <t>CarribeanLens International Film Festival</t>
  </si>
  <si>
    <t>Twin Cities FF</t>
  </si>
  <si>
    <t>http://www.caribbeanlens.com/</t>
  </si>
  <si>
    <t>Twin Cities Jewish FF</t>
  </si>
  <si>
    <t>Twin Falls SANDWHICHES FF</t>
  </si>
  <si>
    <t>United Nations Association FF</t>
  </si>
  <si>
    <t>Urbanworld FF</t>
  </si>
  <si>
    <t>https://filmfreeway.com/CaribbeanLensInternationalFilmFestival</t>
  </si>
  <si>
    <t>Virginia FF</t>
  </si>
  <si>
    <t>VOB FF</t>
  </si>
  <si>
    <t>Way OUT West FF</t>
  </si>
  <si>
    <t>Weyauwega Intl FF</t>
  </si>
  <si>
    <t>Northridge</t>
  </si>
  <si>
    <t>Williamsburg Ind FF</t>
  </si>
  <si>
    <t>Women of African Descent FF</t>
  </si>
  <si>
    <t>4122 Northeast Sandy Boulevard, Portland, Oregon 97212</t>
  </si>
  <si>
    <t>Cascade Festival of African Films</t>
  </si>
  <si>
    <t>Woddstock Museum FF</t>
  </si>
  <si>
    <t>https://www.africanfilmfestival.org/</t>
  </si>
  <si>
    <t>Yonkers FF (YOFI Fest)</t>
  </si>
  <si>
    <t xml:space="preserve">Zed Fest FF </t>
  </si>
  <si>
    <t>Soul 4 Reel FF</t>
  </si>
  <si>
    <t>https://filmfreeway.com/CascadeFestivalofAfricanFilms</t>
  </si>
  <si>
    <t>1318 Bay Street, Bellingham, Washington 98225 United States</t>
  </si>
  <si>
    <t>Short, Women's</t>
  </si>
  <si>
    <t>13547 Ventura Blvd # 200 Los Angeles, CA 91423 United States</t>
  </si>
  <si>
    <t>Catalina Film Festival</t>
  </si>
  <si>
    <t>https://catalinafilm.org/</t>
  </si>
  <si>
    <t>https://filmfreeway.com/CatalinaFilm</t>
  </si>
  <si>
    <t>Marion, Iowa 52402</t>
  </si>
  <si>
    <t>4005 South Avenue, Springfield, Missouri 65807</t>
  </si>
  <si>
    <t>Central Film Festival</t>
  </si>
  <si>
    <t>https://centralfilmfest.org/</t>
  </si>
  <si>
    <t>https://filmfreeway.com/CentralFilmFestival</t>
  </si>
  <si>
    <t>2300 Spring Harbor Blvd., Mount Dora, Florida 32757 United States</t>
  </si>
  <si>
    <t>Central Florida Film Festival</t>
  </si>
  <si>
    <t>https://www.centralfloridafilmfestival.com</t>
  </si>
  <si>
    <t>Mount Dora</t>
  </si>
  <si>
    <t>Added FilmFreeway Link</t>
  </si>
  <si>
    <t>Seattle True Independent FF</t>
  </si>
  <si>
    <t>Changed name from "Transmedia and Independent..."</t>
  </si>
  <si>
    <t>1300 South Orlando Avenue, Maitland, FL 32751</t>
  </si>
  <si>
    <t>Central Florida Jewish Film Festival</t>
  </si>
  <si>
    <t>https://enzian.org/films/festivals/central-florida-jewish-film-festival/</t>
  </si>
  <si>
    <t>Corrected name (from Southern Screens)</t>
  </si>
  <si>
    <t>New Hampshire FF</t>
  </si>
  <si>
    <t>New York City Horror FF</t>
  </si>
  <si>
    <t>NYC Mental Health FF</t>
  </si>
  <si>
    <t>New York Latino FF</t>
  </si>
  <si>
    <t>Newark Black FF</t>
  </si>
  <si>
    <t>Newburyport Doc FF</t>
  </si>
  <si>
    <t>1200 S. Franklin St, Mount Pleasant, Michigan 48859</t>
  </si>
  <si>
    <t>Central Michigan International Film Festival</t>
  </si>
  <si>
    <t>Newfest: New York's LGBTQ FF</t>
  </si>
  <si>
    <t>http://www.cmiff.com/</t>
  </si>
  <si>
    <t>National Film Festival for Talented Youth (NFFTY)</t>
  </si>
  <si>
    <t>NIFF Houston (Next Intl FF of Houston)</t>
  </si>
  <si>
    <t>Nightmares FF</t>
  </si>
  <si>
    <t>Nihilist FF</t>
  </si>
  <si>
    <t>Nordic Itl FF</t>
  </si>
  <si>
    <t>https://filmfreeway.com/CentralMichiganInternationalFilmFestival</t>
  </si>
  <si>
    <t>NC Black FF</t>
  </si>
  <si>
    <t>NY Portugese Short FF</t>
  </si>
  <si>
    <t>Jersey Shore FF</t>
  </si>
  <si>
    <t>LA Shorts Intl FF</t>
  </si>
  <si>
    <t>Lake Charles FF</t>
  </si>
  <si>
    <t>Lancaster Intl Short FF</t>
  </si>
  <si>
    <t>Mount Pleasant</t>
  </si>
  <si>
    <t>Las Vegas FF</t>
  </si>
  <si>
    <t>Lone Star FF</t>
  </si>
  <si>
    <t>Los Angeles Animation Festival</t>
  </si>
  <si>
    <t>40 River Street, Chagrin Falls, Ohio 44022</t>
  </si>
  <si>
    <t>Chagrin Documentary Film Festival</t>
  </si>
  <si>
    <t>Los Angeles International Underground FF</t>
  </si>
  <si>
    <t>https://www.chagrinfilmfest.org/</t>
  </si>
  <si>
    <t>Los Angeles Jewish FF</t>
  </si>
  <si>
    <t>LALIFF</t>
  </si>
  <si>
    <t>Macabre Faire FF</t>
  </si>
  <si>
    <t>https://filmfreeway.com/ChagrinDocumentaryFilmFest</t>
  </si>
  <si>
    <t>Middleburg FF</t>
  </si>
  <si>
    <t>Mill Valley FF</t>
  </si>
  <si>
    <t>Monarch FF</t>
  </si>
  <si>
    <t>Montgomery FF</t>
  </si>
  <si>
    <t>Chagrin Falls</t>
  </si>
  <si>
    <t>Moviate Underground FF</t>
  </si>
  <si>
    <t>My Hero Intl Short FF</t>
  </si>
  <si>
    <t>312 W 36th Street, 10018 New York, New York</t>
  </si>
  <si>
    <t>Chain NYC Film Festival</t>
  </si>
  <si>
    <t>http://www.chainfilmfestival.com/</t>
  </si>
  <si>
    <t>Napa Valley FF</t>
  </si>
  <si>
    <t>Naples Intl FF</t>
  </si>
  <si>
    <t>NC South and East Intl Asian FF</t>
  </si>
  <si>
    <t>https://filmfreeway.com/ChainFilmFestival</t>
  </si>
  <si>
    <t>New Directors New Films</t>
  </si>
  <si>
    <t>Louisiana Jewish FF</t>
  </si>
  <si>
    <t>Louisville Intl Festival of Film</t>
  </si>
  <si>
    <t>Nashville Jewish FF</t>
  </si>
  <si>
    <t>San Francisco Green FF</t>
  </si>
  <si>
    <t>Updated name from Green FF to San Fran Green FF</t>
  </si>
  <si>
    <t>3185 S Price Rd, Chandler, AZ 85248 United States</t>
  </si>
  <si>
    <t>Chandler International Film Festival</t>
  </si>
  <si>
    <t>https://www.chandlerfilmfestival.com/</t>
  </si>
  <si>
    <t>https://filmfreeway.com/ChandlerFilmFestival</t>
  </si>
  <si>
    <t>Chandler</t>
  </si>
  <si>
    <t>501 South College Street, Charlotte, North Carolina 28202</t>
  </si>
  <si>
    <t>921 N. Wendover Rd Unit 221982 Charlotte, NC 28211-9798 United States</t>
  </si>
  <si>
    <t>International Black FF</t>
  </si>
  <si>
    <t>International Exhibition of Super Short Films</t>
  </si>
  <si>
    <t>Irish American Movie Hooley</t>
  </si>
  <si>
    <t>International Puerto Rican Heritage FF</t>
  </si>
  <si>
    <t>Indie Street FF</t>
  </si>
  <si>
    <t>Indigo Moon FF</t>
  </si>
  <si>
    <t>Charlotte Film Festival</t>
  </si>
  <si>
    <t>http://www.charlottefilmfestival.org/</t>
  </si>
  <si>
    <t>Interfaith Film  Music fest</t>
  </si>
  <si>
    <t>Hobnobben FF</t>
  </si>
  <si>
    <t>Hollywood Horror Fest</t>
  </si>
  <si>
    <t>Honolulu Rainbow FF</t>
  </si>
  <si>
    <t>Hot Springs Doc FF</t>
  </si>
  <si>
    <t>Imagine This Womens Intl FF</t>
  </si>
  <si>
    <t>Glendale Intl FF</t>
  </si>
  <si>
    <t>Global Peace FF</t>
  </si>
  <si>
    <t>Gold Coast Intl</t>
  </si>
  <si>
    <t>https://filmfreeway.com/CharlotteFilmFestival</t>
  </si>
  <si>
    <t>San Fran Green</t>
  </si>
  <si>
    <t>Greenwich Village</t>
  </si>
  <si>
    <t>Haiti Intl</t>
  </si>
  <si>
    <t>Hamptons Doc Fest</t>
  </si>
  <si>
    <t>Hawaii Int FF</t>
  </si>
  <si>
    <t xml:space="preserve">Charlotte </t>
  </si>
  <si>
    <t>4901 Providence Road, Charlotte, NC 28226</t>
  </si>
  <si>
    <t>Charlotte Jewish Film Festival</t>
  </si>
  <si>
    <t>https://charlottejewishfilm.com/</t>
  </si>
  <si>
    <t>818 Georgia Ave. Unit 224 Chattanooga, TN 37402 United States</t>
  </si>
  <si>
    <t>110 West 3rd Street, Jamestown, New York 14701</t>
  </si>
  <si>
    <t>Chautauqua International Film Festival</t>
  </si>
  <si>
    <t>http://www.ciff.us/</t>
  </si>
  <si>
    <t>Key West FF</t>
  </si>
  <si>
    <t>Kansas Intl FF</t>
  </si>
  <si>
    <t>https://filmfreeway.com/ChautauquaInternationalFilmFestivalCIFF</t>
  </si>
  <si>
    <t>KAFFNY Infinite Cinema</t>
  </si>
  <si>
    <t>Jamestown</t>
  </si>
  <si>
    <t>Josiah Media FF</t>
  </si>
  <si>
    <t>208 W 23rd St, New York, NY 10011</t>
  </si>
  <si>
    <t>Chelsea Film Festival</t>
  </si>
  <si>
    <t>https://www.chelseafilm.org/</t>
  </si>
  <si>
    <t>La Femme Intl FF</t>
  </si>
  <si>
    <t>Calabasis FF</t>
  </si>
  <si>
    <t>https://filmfreeway.com/ChelseaFilmFestival</t>
  </si>
  <si>
    <t>California Ind FF</t>
  </si>
  <si>
    <t>Carrboro FF</t>
  </si>
  <si>
    <t>Central FF</t>
  </si>
  <si>
    <t>1846 W Lunt Ave. Chicago, IL 60660 United States</t>
  </si>
  <si>
    <t>Charlotte FF</t>
  </si>
  <si>
    <t>Charlotte Jewish FF</t>
  </si>
  <si>
    <t>Chicago Int'l Childrens FF</t>
  </si>
  <si>
    <t>Chicago Int'l FF</t>
  </si>
  <si>
    <t>Chicago Reel Shorts FF</t>
  </si>
  <si>
    <t>Cine Sol FF</t>
  </si>
  <si>
    <t>Cine Youth FF</t>
  </si>
  <si>
    <t>Anim8</t>
  </si>
  <si>
    <t>Cedar Rapids Ind FF</t>
  </si>
  <si>
    <t>Crossroads</t>
  </si>
  <si>
    <t>American Conservation FF</t>
  </si>
  <si>
    <t>1212 W Lincoln Hwy, Dekalb, IL 60115</t>
  </si>
  <si>
    <t>Cinema Touching Disability</t>
  </si>
  <si>
    <t>Chicago Horror Film Festival</t>
  </si>
  <si>
    <t>http://www.chicagohorrorfest.com/</t>
  </si>
  <si>
    <t>Cine-World FF</t>
  </si>
  <si>
    <t>Cine las American Int'l FF</t>
  </si>
  <si>
    <t>https://filmfreeway.com/ChicagoHorrorFest</t>
  </si>
  <si>
    <t>Cine Las Americas Int'l FF</t>
  </si>
  <si>
    <t>Entered as "Cine Las American..."</t>
  </si>
  <si>
    <t>Crested Butte FF</t>
  </si>
  <si>
    <t>Bend FF</t>
  </si>
  <si>
    <t>American Documentary and Animation FF</t>
  </si>
  <si>
    <t>Added Animation category</t>
  </si>
  <si>
    <t>Changed name</t>
  </si>
  <si>
    <t>Previously didn't have animation in name</t>
  </si>
  <si>
    <t>Berkeley Video Fest</t>
  </si>
  <si>
    <t>Boston Latino FF</t>
  </si>
  <si>
    <t>1517 W. Fullerton Avenue Chicago, Illinois 60614 United States</t>
  </si>
  <si>
    <t>Breckenridge FF</t>
  </si>
  <si>
    <t>Brainwash Drive in/etc FF</t>
  </si>
  <si>
    <t>Chicago International Children's Film Festival</t>
  </si>
  <si>
    <t>https://festival.facets.org/</t>
  </si>
  <si>
    <t>Boston Palestine FF</t>
  </si>
  <si>
    <t>Boston Int'l Kids FF</t>
  </si>
  <si>
    <t>Bleedingham FF</t>
  </si>
  <si>
    <t>https://filmfreeway.com/ChicagoInternationalChildrensFilmFestival</t>
  </si>
  <si>
    <t>Black Star Fest</t>
  </si>
  <si>
    <t>212 W. Van Buren St. Ste. 400 Chicago, IL 60607 United States</t>
  </si>
  <si>
    <t>Big Water FF</t>
  </si>
  <si>
    <t>Bicycle FF</t>
  </si>
  <si>
    <t>Chicago International Film Festival</t>
  </si>
  <si>
    <t>https://www.chicagofilmfestival.com/</t>
  </si>
  <si>
    <t>Broad Humor FF</t>
  </si>
  <si>
    <t>https://filmfreeway.com/ChicagoInternationalFilmFestival</t>
  </si>
  <si>
    <t xml:space="preserve">Buffalo Dreams Fantastic </t>
  </si>
  <si>
    <t>Buffao Int'l F</t>
  </si>
  <si>
    <t>Buried Alive FF</t>
  </si>
  <si>
    <t>Bushwick FF</t>
  </si>
  <si>
    <t>2700 W Grand Ave Chicago, IL 60612 United States</t>
  </si>
  <si>
    <t>Fort Lauderdale Int'l FF</t>
  </si>
  <si>
    <t>Flyway FF</t>
  </si>
  <si>
    <t>Flatland F</t>
  </si>
  <si>
    <t>Chicago International REEL Shorts Film Festival</t>
  </si>
  <si>
    <t>http://www.projectchicago.com/</t>
  </si>
  <si>
    <t>First Glance FF Philadelphia</t>
  </si>
  <si>
    <t>https://filmfreeway.com/ChicagoREELSHORTSFilmFetival</t>
  </si>
  <si>
    <t>Fayetteville FF</t>
  </si>
  <si>
    <t>Fantastic Fest</t>
  </si>
  <si>
    <t>Epic AG Fest</t>
  </si>
  <si>
    <t>1112 N. Milwaukee Avenue Chicago, IL 60642 United States</t>
  </si>
  <si>
    <t>Ellensburg FF</t>
  </si>
  <si>
    <t>Eastern Oregon FF</t>
  </si>
  <si>
    <t>Chicago Irish Film Festival</t>
  </si>
  <si>
    <t>http://www.chicagoirishfilmfestival.com/</t>
  </si>
  <si>
    <t>DocuWest Documentary FF</t>
  </si>
  <si>
    <t>DOC NYC</t>
  </si>
  <si>
    <t>Desmond District Demons FF</t>
  </si>
  <si>
    <t>https://filmfreeway.com/ChicagoIrishFilmFestival</t>
  </si>
  <si>
    <t>Denver Underground FF</t>
  </si>
  <si>
    <t>Denver FF</t>
  </si>
  <si>
    <t>840 Vernon Ave, Glencoe, IL 60022</t>
  </si>
  <si>
    <t>Chicago Jewish Film Festival</t>
  </si>
  <si>
    <t>https://jccfilmfest.jccchicago.org/</t>
  </si>
  <si>
    <t>DC Black FF</t>
  </si>
  <si>
    <t>DC Asian Pacific American FF</t>
  </si>
  <si>
    <t>https://filmfreeway.com/JCCChicagoJewishFilmFestival</t>
  </si>
  <si>
    <t>Added FilmFreeway link</t>
  </si>
  <si>
    <t>55 W. Van Buren St., Suite 310 Chicago, Illinois 60605 United States</t>
  </si>
  <si>
    <t>Dayton Jewish FF</t>
  </si>
  <si>
    <t>Double Exposure FF</t>
  </si>
  <si>
    <t>Frame of Mind</t>
  </si>
  <si>
    <t>Removed festival from database</t>
  </si>
  <si>
    <t>Doesn't meet guidelines for inclusion: only for Texass films/filmmakers (also seems to be TV series, not brick and mortar fest)</t>
  </si>
  <si>
    <t>Nashville FF</t>
  </si>
  <si>
    <t>Lake Travis FF</t>
  </si>
  <si>
    <t>Changed fest end date to 3/1</t>
  </si>
  <si>
    <t>Austin FF</t>
  </si>
  <si>
    <t>1011 South Delano Court, Chicago, Illinois 60605</t>
  </si>
  <si>
    <t xml:space="preserve">Chicago South Asian Film Festival </t>
  </si>
  <si>
    <t>http://www.csaff.org/</t>
  </si>
  <si>
    <t>https://filmfreeway.com/CSAFFestival</t>
  </si>
  <si>
    <t>Atlanta Comedy FF</t>
  </si>
  <si>
    <t>Aspen FilmFest</t>
  </si>
  <si>
    <t>2558 W 16th Street Stage 18 Chicago, IL 60608 United States</t>
  </si>
  <si>
    <t>Artists Forum Festival of the Moving Image</t>
  </si>
  <si>
    <t>Arlington Int'l FF</t>
  </si>
  <si>
    <t>Anchorage Int'l FF</t>
  </si>
  <si>
    <t>American Indian FF</t>
  </si>
  <si>
    <t>Chico, CA 95928</t>
  </si>
  <si>
    <t>Chico Independent Film Festival, The</t>
  </si>
  <si>
    <t>https://www.chicoindie.com/</t>
  </si>
  <si>
    <t>New York African FF</t>
  </si>
  <si>
    <t>https://filmfreeway.com/CIFFCalifornia</t>
  </si>
  <si>
    <t>Children's Film Festival Seattle</t>
  </si>
  <si>
    <t>http://www.childrensfilmfestivalseattle.org</t>
  </si>
  <si>
    <t>24FPS Int'l Short FF</t>
  </si>
  <si>
    <t>2001 H Street, Bakersfield, California 93301</t>
  </si>
  <si>
    <t>Corrected FilmFreeway link for 2020</t>
  </si>
  <si>
    <t>Christian, Student</t>
  </si>
  <si>
    <t>Chistian Youth Film Festival</t>
  </si>
  <si>
    <t>http://www.christianyouthfilmfestival.org/</t>
  </si>
  <si>
    <t>AGLIFF</t>
  </si>
  <si>
    <t>Sound Unseen</t>
  </si>
  <si>
    <t>https://filmfreeway.com/ChristianYouthFilmFestival</t>
  </si>
  <si>
    <t>Bakersfield</t>
  </si>
  <si>
    <t>6406 North Interstate 35 Frontage Road, Austin, Texas 78752 United States</t>
  </si>
  <si>
    <t>Native American/Indigenous, Latino/Latin American</t>
  </si>
  <si>
    <t>Cine Las Americas International Film Festival</t>
  </si>
  <si>
    <t>http://www.cinelasamericas.org</t>
  </si>
  <si>
    <t xml:space="preserve">Bulk Google Map Update </t>
  </si>
  <si>
    <t>Palm Springs Int'l FF</t>
  </si>
  <si>
    <t>Corrected Submission Dates</t>
  </si>
  <si>
    <t>Palm Springs Int'l ShortsFest</t>
  </si>
  <si>
    <t>Corrected Festival Dates</t>
  </si>
  <si>
    <t>Indie Memphis FF</t>
  </si>
  <si>
    <t>506 Burns Lane, Sarasota, FL 34236</t>
  </si>
  <si>
    <t>New Orleans FF</t>
  </si>
  <si>
    <t>Cine-World Film Festival</t>
  </si>
  <si>
    <t>Rome Int'l FF</t>
  </si>
  <si>
    <t>Red Rock FF</t>
  </si>
  <si>
    <t>Milwaukee FF</t>
  </si>
  <si>
    <t>https://filmsociety.org/events/event.cfm?eveID=2</t>
  </si>
  <si>
    <t>Deleted duplicarte entry</t>
  </si>
  <si>
    <t>Arkansas Shorts FF</t>
  </si>
  <si>
    <t>Fixed last submisson deadline</t>
  </si>
  <si>
    <t>Animation Nights New York</t>
  </si>
  <si>
    <t>Added to Database</t>
  </si>
  <si>
    <t>short, animation</t>
  </si>
  <si>
    <t xml:space="preserve">New York Kurdish Film and Cultural Festival </t>
  </si>
  <si>
    <t>misc. ethnic</t>
  </si>
  <si>
    <t>student</t>
  </si>
  <si>
    <t>Happenstance Horror Fest</t>
  </si>
  <si>
    <t>1092 St. Georges Ave., #190 Rahway, NJ 07065</t>
  </si>
  <si>
    <t>horror</t>
  </si>
  <si>
    <t>Hobnobben Film Festival</t>
  </si>
  <si>
    <t>general</t>
  </si>
  <si>
    <t xml:space="preserve">Whistleblower Summit &amp; Film Festival </t>
  </si>
  <si>
    <t>misc. niche, social just</t>
  </si>
  <si>
    <t>Southern City Film Festival</t>
  </si>
  <si>
    <t>Corrected location</t>
  </si>
  <si>
    <t>Removed "Documentary from name"</t>
  </si>
  <si>
    <t>Removed "soul of southern" from title</t>
  </si>
  <si>
    <t>Winter Film Awards Int'l FF</t>
  </si>
  <si>
    <t>Added FFA member distinction</t>
  </si>
  <si>
    <t>Added "Int'l Film Festival" to name</t>
  </si>
  <si>
    <t>Miami Independent FF</t>
  </si>
  <si>
    <t>Added festival dates &amp; submission deadlines</t>
  </si>
  <si>
    <t>2437 Main Street Santa Monica, California 90405</t>
  </si>
  <si>
    <t>Outfest Los Angeles LGBTQ FF</t>
  </si>
  <si>
    <t>Tagged as member of Film Festival Alliance</t>
  </si>
  <si>
    <t>Sick n Wrong FF</t>
  </si>
  <si>
    <t>Changed category to Underground</t>
  </si>
  <si>
    <t>Post Alley FF</t>
  </si>
  <si>
    <t>Changed category from General to Women's, Short</t>
  </si>
  <si>
    <t>Winter Film Awards</t>
  </si>
  <si>
    <t>Cinema at the Edge Independent Film Festival (CATE)</t>
  </si>
  <si>
    <t>FearNYC Horror Film Festival</t>
  </si>
  <si>
    <t>West Sound Film Festival</t>
  </si>
  <si>
    <t>http://www.cinemaattheedge.com/</t>
  </si>
  <si>
    <t>Miami Independent Film Festival</t>
  </si>
  <si>
    <t>Dallas VideoFest DocuFest</t>
  </si>
  <si>
    <t>https://filmfreeway.com/CinemaattheEdge</t>
  </si>
  <si>
    <t>doc</t>
  </si>
  <si>
    <t>Pittsburgh Shorts Film Festival</t>
  </si>
  <si>
    <t>short</t>
  </si>
  <si>
    <t>Doclands Documentary Film Festival</t>
  </si>
  <si>
    <t>South Georgia Film Festival</t>
  </si>
  <si>
    <t>Free State Film Festival</t>
  </si>
  <si>
    <t>2300 East Baristo Road, Palm Springs, California 92262</t>
  </si>
  <si>
    <t>Cinema Diverse: The Palm Springs LGBTQ Film Festival</t>
  </si>
  <si>
    <t>https://palmspringsculturalcenter.org/programs/the-palm-springs-cinema-diverse-lgbtq-film-festival/</t>
  </si>
  <si>
    <t>https://filmfreeway.com/CinemaDiverseThePalmSpringsLGBTQFilmFestival</t>
  </si>
  <si>
    <t>2020 Film Festival Database Launch</t>
  </si>
  <si>
    <t>Transitioned Maintenance from 2019 Database to 2020 Database</t>
  </si>
  <si>
    <t>101 Duclos Street Lafayette, LA 70506</t>
  </si>
  <si>
    <t>Cinema on the Bayou</t>
  </si>
  <si>
    <t>http://cinemaonthebayou.com/</t>
  </si>
  <si>
    <t>ReelAbilities Pittsburgh</t>
  </si>
  <si>
    <t>https://filmfreeway.com/CinemaontheBayouFilmFestival</t>
  </si>
  <si>
    <t>Flatland FF</t>
  </si>
  <si>
    <t>Florida FF</t>
  </si>
  <si>
    <t>Full Frame Documentary FF</t>
  </si>
  <si>
    <t>Lafayette</t>
  </si>
  <si>
    <t>Long Beach QFF</t>
  </si>
  <si>
    <t>Montclair FF</t>
  </si>
  <si>
    <t>515 Fisher Road Paducah, Kentucky 42001-9434 United States</t>
  </si>
  <si>
    <t>Red Wasp FF</t>
  </si>
  <si>
    <t>San Diego Black FF</t>
  </si>
  <si>
    <t>Sun Valley FF</t>
  </si>
  <si>
    <t>American Black FF</t>
  </si>
  <si>
    <t>Greenpoint FF</t>
  </si>
  <si>
    <t>Colorado Environmental FF</t>
  </si>
  <si>
    <t>Boston FF</t>
  </si>
  <si>
    <t>Black Hills FF</t>
  </si>
  <si>
    <t>Seattle Jewish FF</t>
  </si>
  <si>
    <t>Ashland Independent FF</t>
  </si>
  <si>
    <t>Cinema Systers Film Festival</t>
  </si>
  <si>
    <t>https://www.cinemasysters.com/</t>
  </si>
  <si>
    <t>ArcGIS Map Update</t>
  </si>
  <si>
    <t>https://filmfreeway.com/CinemaSystersFilmFestival</t>
  </si>
  <si>
    <t>Paducah</t>
  </si>
  <si>
    <t>KY</t>
  </si>
  <si>
    <t>1716 San Antonio St. Austin, Texas 78701 United States</t>
  </si>
  <si>
    <t xml:space="preserve">Google Map Update </t>
  </si>
  <si>
    <t>https://www.txdisabilities.org/news-events/film-festival/filmfestival-2018/about6</t>
  </si>
  <si>
    <t>Calendars Update</t>
  </si>
  <si>
    <t>https://filmfreeway.com/ctdfilmfest</t>
  </si>
  <si>
    <t>Fixed broken FilmFreeway Link</t>
  </si>
  <si>
    <t>25 SE 2nd Pl, Gainesville, FL 32601</t>
  </si>
  <si>
    <t>East Lansing FF</t>
  </si>
  <si>
    <t>Cinema Verde Environmental Film &amp; Arts Festival</t>
  </si>
  <si>
    <t>Added 2019 dates and sub. deadlines</t>
  </si>
  <si>
    <t>http://www.cinemaverde.org</t>
  </si>
  <si>
    <t>Mill Valley Film Festival</t>
  </si>
  <si>
    <t>Added Submission Deadlines</t>
  </si>
  <si>
    <t>https://filmfreeway.com/CinemaVerdeEnvironmentalFilmandArtsFestival-556303</t>
  </si>
  <si>
    <t>Aspen ShortsFest</t>
  </si>
  <si>
    <t>Sundance Film Festival</t>
  </si>
  <si>
    <t>Gainsville</t>
  </si>
  <si>
    <t>Ann Arbor Film Festival</t>
  </si>
  <si>
    <t>Marfa, Texas 79843</t>
  </si>
  <si>
    <t>Salem Film Festival</t>
  </si>
  <si>
    <t>Added "International" to name</t>
  </si>
  <si>
    <t>Nitehawk Shorts Fest</t>
  </si>
  <si>
    <t>Added Submission Deadline</t>
  </si>
  <si>
    <t>Added Festival Dates</t>
  </si>
  <si>
    <t>CineMarfa Film Festival</t>
  </si>
  <si>
    <t>https://www.cinemarfa.org/</t>
  </si>
  <si>
    <t>Corrected festival dates</t>
  </si>
  <si>
    <t>Slamdance Film Festival</t>
  </si>
  <si>
    <t>San Francisco Veterans Film Festival</t>
  </si>
  <si>
    <t>Added FilmFreeway link &amp; Submission Deadlines</t>
  </si>
  <si>
    <t>Marfa</t>
  </si>
  <si>
    <t>Hamptons International Film Festival</t>
  </si>
  <si>
    <t>3733 N Southport Ave Chicago, Illinois 60613 United States</t>
  </si>
  <si>
    <t>Providence Latin American Film Festival</t>
  </si>
  <si>
    <t>Added FilmFreeway link, changed last submission deadlines</t>
  </si>
  <si>
    <t>Changed name from "Providence Festival of New Latin American Cinema"</t>
  </si>
  <si>
    <t>Cinepocalypse</t>
  </si>
  <si>
    <t>https://www.musicboxtheatre.com/</t>
  </si>
  <si>
    <t>https://filmfreeway.com/Cinepocalypse</t>
  </si>
  <si>
    <t>Local Sightings Film Festival</t>
  </si>
  <si>
    <t>Added FilmFreeway link, submission deadlines</t>
  </si>
  <si>
    <t>Tucson International Jewish Film Festival</t>
  </si>
  <si>
    <t>Replaced website with active link</t>
  </si>
  <si>
    <t>ImageOut Rochester LGBT Film Festival</t>
  </si>
  <si>
    <t>Dallas VideoFest Alternative Fiction</t>
  </si>
  <si>
    <t>Changed name from "Dallas Video Fest"</t>
  </si>
  <si>
    <t>410 South First St. San Jose, CA 95113 United States</t>
  </si>
  <si>
    <t>United Latino International Film Festival</t>
  </si>
  <si>
    <t>Corrected FilmFreeway link</t>
  </si>
  <si>
    <t>Rearranged tabs so "2019 Database" and "2019 Master Calendar" are first two on sheet</t>
  </si>
  <si>
    <t>00058</t>
  </si>
  <si>
    <t>Added FilmFreeway Link, Added event &amp; Submission dates</t>
  </si>
  <si>
    <t>00057</t>
  </si>
  <si>
    <t>Added FilmFreeway Link, Updated event &amp; submission dates</t>
  </si>
  <si>
    <t>Google Map Update</t>
  </si>
  <si>
    <t>00056</t>
  </si>
  <si>
    <t>Gi Film Festival</t>
  </si>
  <si>
    <t>Changed category tag text columns (Internal Use) from General to Misc Niche</t>
  </si>
  <si>
    <t>00055</t>
  </si>
  <si>
    <t>3700 N. 6th St. #A McAllen, TX 78501 United States</t>
  </si>
  <si>
    <t>Montgomery Film Festival</t>
  </si>
  <si>
    <t xml:space="preserve">Added to Database </t>
  </si>
  <si>
    <t>00054</t>
  </si>
  <si>
    <t>NewFest: New York's LGBTQ Film Festival</t>
  </si>
  <si>
    <t>CineSol Film Festival</t>
  </si>
  <si>
    <t>00053</t>
  </si>
  <si>
    <t>00052</t>
  </si>
  <si>
    <t>Montana Film Festival</t>
  </si>
  <si>
    <t>http://cinesol.com/film-festival/</t>
  </si>
  <si>
    <t>00051</t>
  </si>
  <si>
    <t>St. Louis International Film Festival</t>
  </si>
  <si>
    <t>Added 2019 dates</t>
  </si>
  <si>
    <t>00050</t>
  </si>
  <si>
    <t>Milwaukee Film Festival</t>
  </si>
  <si>
    <t>00049</t>
  </si>
  <si>
    <t>Changed City/State to Washington, DC</t>
  </si>
  <si>
    <t>00048</t>
  </si>
  <si>
    <t>Margaret Mead Film Festival</t>
  </si>
  <si>
    <t>https://filmfreeway.com/CineSolFilmFestival</t>
  </si>
  <si>
    <t>00047</t>
  </si>
  <si>
    <t>Changed category from GENRE to GENERAL</t>
  </si>
  <si>
    <t>Harlingen</t>
  </si>
  <si>
    <t>212 W. Van Buren Street Suite 400 Chicago, IL 60607 United States</t>
  </si>
  <si>
    <t>CineYouth Film Festival</t>
  </si>
  <si>
    <t>https://www.chicagofilmfestival.com/cineyouth/</t>
  </si>
  <si>
    <t>https://filmfreeway.com/CineYouthFestival</t>
  </si>
  <si>
    <t>4601 N. Choctaw Road Choctaw, Oklahoma 73020 United States</t>
  </si>
  <si>
    <t>00046</t>
  </si>
  <si>
    <t>Added start/end and submissions dates</t>
  </si>
  <si>
    <t>Clean Shorts Film Festival</t>
  </si>
  <si>
    <t>http://www.cleanshorts.org/</t>
  </si>
  <si>
    <t>00045</t>
  </si>
  <si>
    <t>Hawaii International Film Festival</t>
  </si>
  <si>
    <t>Updated fest dates &amp; added submission dates</t>
  </si>
  <si>
    <t>00044</t>
  </si>
  <si>
    <t>00043</t>
  </si>
  <si>
    <t>939</t>
  </si>
  <si>
    <t>https://filmfreeway.com/CleanShorts</t>
  </si>
  <si>
    <t>00042</t>
  </si>
  <si>
    <t>940</t>
  </si>
  <si>
    <t>Human Rights Watch Film Festival</t>
  </si>
  <si>
    <t>00041</t>
  </si>
  <si>
    <t>941</t>
  </si>
  <si>
    <t>Choctaw</t>
  </si>
  <si>
    <t>Martha's Vinyard International Film Festival</t>
  </si>
  <si>
    <t>00040</t>
  </si>
  <si>
    <t>2510 Market Ave Cleveland, Ohio 44113-3434 United States</t>
  </si>
  <si>
    <t>Changed first submission deadline to 2/28/2019</t>
  </si>
  <si>
    <t>00039</t>
  </si>
  <si>
    <t>Lighthouse International Film Festival</t>
  </si>
  <si>
    <t>Changed Location (address + city/state) to NJ address per email</t>
  </si>
  <si>
    <t>00038</t>
  </si>
  <si>
    <t>938</t>
  </si>
  <si>
    <t>00037</t>
  </si>
  <si>
    <t>932</t>
  </si>
  <si>
    <t>00036</t>
  </si>
  <si>
    <t>933</t>
  </si>
  <si>
    <t>00035</t>
  </si>
  <si>
    <t>934</t>
  </si>
  <si>
    <t>GI Film Festival San Diego</t>
  </si>
  <si>
    <t>00034</t>
  </si>
  <si>
    <t>935</t>
  </si>
  <si>
    <t>Indie Fest USA International Film Festival (ID 935)</t>
  </si>
  <si>
    <t>00033</t>
  </si>
  <si>
    <t>936</t>
  </si>
  <si>
    <t>Colonial Beach, Virginia 22443</t>
  </si>
  <si>
    <t>00032</t>
  </si>
  <si>
    <t>LGBTQ+, Women's</t>
  </si>
  <si>
    <t>937</t>
  </si>
  <si>
    <t>Sick 'n' Wrong Film Festival</t>
  </si>
  <si>
    <t>00031</t>
  </si>
  <si>
    <t>GI Film Festival</t>
  </si>
  <si>
    <t>Changed tag from "General" to "Misc. Niche"</t>
  </si>
  <si>
    <t>00030</t>
  </si>
  <si>
    <t>Added links to Oscar qualifying column headings</t>
  </si>
  <si>
    <t>"Short Subject" sometimes means animation, sometimes narrative, sometimes both. Linked directly to source for clarity.</t>
  </si>
  <si>
    <t>00029</t>
  </si>
  <si>
    <t>All Genders, Lifestyles, and Identites Film Festivals (aGLIFF)</t>
  </si>
  <si>
    <t>Updated title from old "Austin Gay and Lesbian Film Festival"</t>
  </si>
  <si>
    <t>00028</t>
  </si>
  <si>
    <t>San Francisco Jewish Film Festival</t>
  </si>
  <si>
    <t>00027</t>
  </si>
  <si>
    <t>222 Putnam St. Marietta, Ohio 45750 United States</t>
  </si>
  <si>
    <t>Fort Worth Gay &amp; Lesbian Film Festival</t>
  </si>
  <si>
    <t>00026</t>
  </si>
  <si>
    <t>FOG Movie Fest</t>
  </si>
  <si>
    <t>00025</t>
  </si>
  <si>
    <t>YES Film Festival</t>
  </si>
  <si>
    <t>00024</t>
  </si>
  <si>
    <t>Reel Q: Pittsburgh LGBTQ Film Festival</t>
  </si>
  <si>
    <t>00023</t>
  </si>
  <si>
    <t>Tucson Film Festival</t>
  </si>
  <si>
    <t>00022</t>
  </si>
  <si>
    <t>Dallas Black Film Festival</t>
  </si>
  <si>
    <t>Colony Short Film Festival</t>
  </si>
  <si>
    <t>http://colonyfilmfestival.com/</t>
  </si>
  <si>
    <t>00021</t>
  </si>
  <si>
    <t>Cape Cod Int'l Film Festival</t>
  </si>
  <si>
    <t>00020</t>
  </si>
  <si>
    <t>African Diaspora Int'l Film Festival</t>
  </si>
  <si>
    <t>00019</t>
  </si>
  <si>
    <t>Traverse City Film Festival</t>
  </si>
  <si>
    <t>00018</t>
  </si>
  <si>
    <t>Frameline: San Francisco Int'l LBGTQ Film Fest</t>
  </si>
  <si>
    <t>00017</t>
  </si>
  <si>
    <t>https://filmfreeway.com/ColonyShortFilmFestival</t>
  </si>
  <si>
    <t>Philadelphia Jewish Film Festival</t>
  </si>
  <si>
    <t>00016</t>
  </si>
  <si>
    <t>Napa Valley Film Festival</t>
  </si>
  <si>
    <t>00015</t>
  </si>
  <si>
    <t>Twin Falls SANDWICHES Film Festival</t>
  </si>
  <si>
    <t>00014</t>
  </si>
  <si>
    <t>Middleburg Film Festival</t>
  </si>
  <si>
    <t>Marietta</t>
  </si>
  <si>
    <t>00013</t>
  </si>
  <si>
    <t>TWIST: Seattle Queer Film Festival</t>
  </si>
  <si>
    <t>00012</t>
  </si>
  <si>
    <t>4385 Wadsworth Blvd, Suite 151 Wheat Ridge, Colorado 80033 United States</t>
  </si>
  <si>
    <t>Maui Film Festival</t>
  </si>
  <si>
    <t>00011</t>
  </si>
  <si>
    <t>NiFF Houston International Film Festival</t>
  </si>
  <si>
    <t>00010</t>
  </si>
  <si>
    <t>Spooky Movie International Horror Festival</t>
  </si>
  <si>
    <t>00009</t>
  </si>
  <si>
    <t>Brooklyn Shorts Film Festival</t>
  </si>
  <si>
    <t>00008</t>
  </si>
  <si>
    <t>Charleston International Film Festival</t>
  </si>
  <si>
    <t>Colorado Environmental Film Festival</t>
  </si>
  <si>
    <t>00007</t>
  </si>
  <si>
    <t>Changed Oscar Qualifying "Narrative Short" column heading to "Short Subject"</t>
  </si>
  <si>
    <t>https://www.ceff.net/</t>
  </si>
  <si>
    <t>00006</t>
  </si>
  <si>
    <t>Loft Film Festival, The (Tucson)</t>
  </si>
  <si>
    <t>Added 2019 Dates</t>
  </si>
  <si>
    <t>https://filmfreeway.com/ColoradoEnvironmentalFilmFestival</t>
  </si>
  <si>
    <t>00005</t>
  </si>
  <si>
    <t>Bonebat Comedy of Horrors Film Festival</t>
  </si>
  <si>
    <t>Changed city from Redmond to Seattle</t>
  </si>
  <si>
    <t>Golden</t>
  </si>
  <si>
    <t>00004</t>
  </si>
  <si>
    <t>Etheria Film Festival</t>
  </si>
  <si>
    <t>Changed date to 6/29/2019</t>
  </si>
  <si>
    <t>00003</t>
  </si>
  <si>
    <t>Tucson festivals (misc)</t>
  </si>
  <si>
    <t>271 E Jenkines Ave Columbus, OH 43207 United States</t>
  </si>
  <si>
    <t>Corrected all mispellings of Tucson</t>
  </si>
  <si>
    <t>Columbus International Film &amp; Video Festival</t>
  </si>
  <si>
    <t>00002</t>
  </si>
  <si>
    <t>https://columbusfilmfestival.wordpress.com/</t>
  </si>
  <si>
    <t>Palm Beaches Student Showcase of Films, The</t>
  </si>
  <si>
    <t>Removed - does not meet guidelines</t>
  </si>
  <si>
    <t>https://filmfreeway.com/ColumbusFilmFestival</t>
  </si>
  <si>
    <t>00001</t>
  </si>
  <si>
    <t>931</t>
  </si>
  <si>
    <t>Urban World Film Festival</t>
  </si>
  <si>
    <t>Columbus</t>
  </si>
  <si>
    <t>PROJECT LAUNCH</t>
  </si>
  <si>
    <t>1125 College Ave., Columbus, OH 43209</t>
  </si>
  <si>
    <t>Columbus Jewish Film Festival</t>
  </si>
  <si>
    <t>https://columbusjcc.org/cultural-arts/film-festival/</t>
  </si>
  <si>
    <t>P01</t>
  </si>
  <si>
    <t>ID 146 - Chicago Latino FF</t>
  </si>
  <si>
    <t>Deleted duplicate</t>
  </si>
  <si>
    <t>1001 Avenida De Las Americas, Houston, Texas 77010</t>
  </si>
  <si>
    <t>Comicpalooza</t>
  </si>
  <si>
    <t>https://www.comicpalooza.com/</t>
  </si>
  <si>
    <t>https://filmfreeway.com/Comicpalooza</t>
  </si>
  <si>
    <t>P02</t>
  </si>
  <si>
    <t>ID 388 - LDS FF</t>
  </si>
  <si>
    <t>P03</t>
  </si>
  <si>
    <t xml:space="preserve">ID 438 - Miami Film Festival </t>
  </si>
  <si>
    <t>P04</t>
  </si>
  <si>
    <t xml:space="preserve">ID 814 - Women’s Fest </t>
  </si>
  <si>
    <t>1325 N. College Ave Claremont, CA 91711</t>
  </si>
  <si>
    <t>P05</t>
  </si>
  <si>
    <t>ID 353 - Iowa City Doc Fest</t>
  </si>
  <si>
    <t>P06</t>
  </si>
  <si>
    <t xml:space="preserve">ID 325 - Humboldt film fest </t>
  </si>
  <si>
    <t>Common Good International Film Festival</t>
  </si>
  <si>
    <t>http://whiteheadfilmfestival.org/</t>
  </si>
  <si>
    <t>P07</t>
  </si>
  <si>
    <t>ID 805 - Worker’s Unite film fest</t>
  </si>
  <si>
    <t>P08</t>
  </si>
  <si>
    <t xml:space="preserve">ID 365 - Juggernaut </t>
  </si>
  <si>
    <t>P09</t>
  </si>
  <si>
    <t>509</t>
  </si>
  <si>
    <t>https://filmfreeway.com/CommonGoodInternationalFilmFestival</t>
  </si>
  <si>
    <t>ID 509 - NY Shorts intl</t>
  </si>
  <si>
    <t>P10</t>
  </si>
  <si>
    <t>722</t>
  </si>
  <si>
    <t>ID 722 - South Side Film Fest</t>
  </si>
  <si>
    <t>Claremont</t>
  </si>
  <si>
    <t>P11</t>
  </si>
  <si>
    <t>539</t>
  </si>
  <si>
    <t>ID 539 - Outfest LA</t>
  </si>
  <si>
    <t>1201 Broad Street, Chattanooga, TN 37402 United States</t>
  </si>
  <si>
    <t>Con Nooga Film Festival</t>
  </si>
  <si>
    <t>http://www.connooga.com</t>
  </si>
  <si>
    <t>P12</t>
  </si>
  <si>
    <t>46</t>
  </si>
  <si>
    <t xml:space="preserve">ID  46 - Atlanta Docufest </t>
  </si>
  <si>
    <t>P13</t>
  </si>
  <si>
    <t>351</t>
  </si>
  <si>
    <t xml:space="preserve">ID 351 - Int’l Wildlife Fest </t>
  </si>
  <si>
    <t>P14</t>
  </si>
  <si>
    <t>606</t>
  </si>
  <si>
    <t>ID 606 - Reel Sisters of the Diaspora</t>
  </si>
  <si>
    <t>P15</t>
  </si>
  <si>
    <t>12</t>
  </si>
  <si>
    <t>ID  12</t>
  </si>
  <si>
    <t>P16</t>
  </si>
  <si>
    <t>8629 J M Keynes Drive, Charlotte, North Carolina 28262</t>
  </si>
  <si>
    <t>71</t>
  </si>
  <si>
    <t>ConCarolinas Short Film Festival</t>
  </si>
  <si>
    <t>ID  71</t>
  </si>
  <si>
    <t>http://www.concarolinas.org/events/concarolinas-short-film-festival/</t>
  </si>
  <si>
    <t>P17</t>
  </si>
  <si>
    <t>102</t>
  </si>
  <si>
    <t>ID 102</t>
  </si>
  <si>
    <t>P18</t>
  </si>
  <si>
    <t>168</t>
  </si>
  <si>
    <t>ID 168</t>
  </si>
  <si>
    <t>https://filmfreeway.com/2019ConCarolinasShortFilmFestival</t>
  </si>
  <si>
    <t>P19</t>
  </si>
  <si>
    <t>192</t>
  </si>
  <si>
    <t>ID 192</t>
  </si>
  <si>
    <t>P20</t>
  </si>
  <si>
    <t>303</t>
  </si>
  <si>
    <t>ID 303</t>
  </si>
  <si>
    <t>P21</t>
  </si>
  <si>
    <t>314</t>
  </si>
  <si>
    <t>ID 314</t>
  </si>
  <si>
    <t>P22</t>
  </si>
  <si>
    <t>348</t>
  </si>
  <si>
    <t>ID 348</t>
  </si>
  <si>
    <t>P23</t>
  </si>
  <si>
    <t>379</t>
  </si>
  <si>
    <t>ID 379</t>
  </si>
  <si>
    <t>1208 Surf Avenue Brooklyn, NY 11224 United States</t>
  </si>
  <si>
    <t>Coney Island Film Festival</t>
  </si>
  <si>
    <t>http://www.coneyislandfilmfestival.com/</t>
  </si>
  <si>
    <t>https://filmfreeway.com/ConeyIslandFilmFestival</t>
  </si>
  <si>
    <t>300 Summit Street, Hartford, Connecticut 06106</t>
  </si>
  <si>
    <t>Connecticut LGBT Film Festival</t>
  </si>
  <si>
    <t>https://outfilmct.org/</t>
  </si>
  <si>
    <t>https://filmfreeway.com/ConnecticutLGBTQFilmFestival</t>
  </si>
  <si>
    <t>Hartford</t>
  </si>
  <si>
    <t>45012 West Honeycutt Avenue, Maricopa, Arizona 85139</t>
  </si>
  <si>
    <t>Copa Short Film Fest</t>
  </si>
  <si>
    <t>http://copashortsfilmfest.org</t>
  </si>
  <si>
    <t>https://filmfreeway.com/CopaShortsFilmFest</t>
  </si>
  <si>
    <t>Maricopa</t>
  </si>
  <si>
    <t>615 N Riverside Drive, Reno, Nevada 89501</t>
  </si>
  <si>
    <t>Cordillera International Film Festival</t>
  </si>
  <si>
    <t>https://www.ciffnv.org/</t>
  </si>
  <si>
    <t>https://filmfreeway.com/CordilleraInternationalFilmFestival</t>
  </si>
  <si>
    <t>Reno</t>
  </si>
  <si>
    <t>57 W BROADWAY Butte, Montana 59701 United States</t>
  </si>
  <si>
    <t>Covellite International Film Festival</t>
  </si>
  <si>
    <t>https://covellitefilmfest.org/</t>
  </si>
  <si>
    <t>https://filmfreeway.com/CovelliteInternationalFilmFestival</t>
  </si>
  <si>
    <t>Butte</t>
  </si>
  <si>
    <t>1746 Post Street, San Francisco, California 94115 United States</t>
  </si>
  <si>
    <t>Coven Film Festival</t>
  </si>
  <si>
    <t>https://www.covenfilmfest.com</t>
  </si>
  <si>
    <t>606 6th Street, Crested Butte, Colorado 81224</t>
  </si>
  <si>
    <t>Crested Butte Film Festival</t>
  </si>
  <si>
    <t>http://cbfilmfest.org/</t>
  </si>
  <si>
    <t>https://filmfreeway.com/CrestedButteFilmFestival</t>
  </si>
  <si>
    <t>Crested Butte</t>
  </si>
  <si>
    <t>1080 East Montague Avenue, North Charleston, South Carolina 29405</t>
  </si>
  <si>
    <t>Crimson Screen Horror Film Fest</t>
  </si>
  <si>
    <t>http://www.crimsonscreenfilmfest.org/</t>
  </si>
  <si>
    <t>https://filmfreeway.com/CrimsonScreenHorrorFilmFest</t>
  </si>
  <si>
    <t>North Charleston</t>
  </si>
  <si>
    <t>151 3rd St, San Francisco, CA 94103</t>
  </si>
  <si>
    <t>http://www.sfcinematheque.org/festival/crossroads/</t>
  </si>
  <si>
    <t>221 Grandview Boulevard, Madison, Mississippi 39110</t>
  </si>
  <si>
    <t>Crossroads Film Festival</t>
  </si>
  <si>
    <t>http://www.crossroadsfilmfestival.com/</t>
  </si>
  <si>
    <t>https://filmfreeway.com/CrossroadsFilmFestival</t>
  </si>
  <si>
    <t>558 St Johns Pl. Brooklyn, NY 11238 United States</t>
  </si>
  <si>
    <t>Crown Heights Film Festival</t>
  </si>
  <si>
    <t>https://www.crownheightsfilmfestival.com/</t>
  </si>
  <si>
    <t>https://filmfreeway.com/CrownHeightsFilmFestival</t>
  </si>
  <si>
    <t>18740 International Boulevard, Seattle, Washington 98188</t>
  </si>
  <si>
    <t>Crypticon Seattle Horror Film Festival</t>
  </si>
  <si>
    <t>https://www.crypticonseattle.com/</t>
  </si>
  <si>
    <t>https://filmfreeway.com/CrypticonSeattleHorrorFilmFestival</t>
  </si>
  <si>
    <t>815 Princess Street Wilmington, NC 28401 United States</t>
  </si>
  <si>
    <t>Cucalorus Film Festival</t>
  </si>
  <si>
    <t>http://www.cucalorus.org/</t>
  </si>
  <si>
    <t>https://filmfreeway.com/CucalorusFilmFestival</t>
  </si>
  <si>
    <t>307 N 4th St, Bismarck, ND 58501</t>
  </si>
  <si>
    <t>Dakota Film Festival</t>
  </si>
  <si>
    <t>http://dakotafilmfestival.org/</t>
  </si>
  <si>
    <t>https://filmfreeway.com/DakotaFilmFestival</t>
  </si>
  <si>
    <t>Bismarck</t>
  </si>
  <si>
    <t>110 Leslie Street Suite 200 Dallas, TX 75207 United States</t>
  </si>
  <si>
    <t>1405 Woodlawn Dallas, TX 75208</t>
  </si>
  <si>
    <t>http://videofest.org/</t>
  </si>
  <si>
    <t>https://filmfreeway.com/DallasVideoFest</t>
  </si>
  <si>
    <t>5330 East Mockingbird Lane, Dallas, Texas 75206</t>
  </si>
  <si>
    <t>http://www.spdemo.co/videofest/docufest</t>
  </si>
  <si>
    <t>1022 Nevada Highway #204 Boulder City, NV 89005 United States</t>
  </si>
  <si>
    <t>Dam Short Film Festival</t>
  </si>
  <si>
    <t>http://damshortfilm.org/</t>
  </si>
  <si>
    <t>https://filmfreeway.com/DamShortFilm</t>
  </si>
  <si>
    <t>Boulder City</t>
  </si>
  <si>
    <t>50 W. Broadway, Salt Lake City, UT 84101</t>
  </si>
  <si>
    <t>Damn These Heels LGBTQ Film Festival</t>
  </si>
  <si>
    <t>https://www.utahfilmcenter.org/</t>
  </si>
  <si>
    <t>https://filmfreeway.com/DamnTheseHeels</t>
  </si>
  <si>
    <t>4396 Scandia Way Los Angeles, California 90065 United States</t>
  </si>
  <si>
    <t>Dance Camera West</t>
  </si>
  <si>
    <t>http://www.dancecamerawest.org/</t>
  </si>
  <si>
    <t>https://filmfreeway.com/DanceCameraWest</t>
  </si>
  <si>
    <t>70 Lincoln Center Plaza, New York, New York 10023 United States</t>
  </si>
  <si>
    <t>Dance on Camera</t>
  </si>
  <si>
    <t>https://www.dancefilms.org</t>
  </si>
  <si>
    <t>1041 North Formosa Ave. Formosa Bldg., 2nd Floor West Hollywood, CA 90046</t>
  </si>
  <si>
    <t>Dances With Films</t>
  </si>
  <si>
    <t>http://danceswithfilms.com/</t>
  </si>
  <si>
    <t>https://filmfreeway.com/DancesWithFilms</t>
  </si>
  <si>
    <t>Davis, CA 95616</t>
  </si>
  <si>
    <t>Short, Social Justice/Peace</t>
  </si>
  <si>
    <t>Davis Feminist Film Festival</t>
  </si>
  <si>
    <t>https://wrrc.ucdavis.edu/programs/community/davis-feminist-film-festival</t>
  </si>
  <si>
    <t>https://filmfreeway.com/DavisFeministFilmFestival</t>
  </si>
  <si>
    <t>Davis</t>
  </si>
  <si>
    <t>203 East 14th Street, Davis, California 95616 United States</t>
  </si>
  <si>
    <t>Davis Film Festival</t>
  </si>
  <si>
    <t>https://davisfilmfestival.business.site</t>
  </si>
  <si>
    <t>525 Versailles Dr, Dayton, OH 45459</t>
  </si>
  <si>
    <t>Dayton Jewish Film Festival</t>
  </si>
  <si>
    <t>https://jewishdayton.org/program/dayton-jewish-film-festival/</t>
  </si>
  <si>
    <t>Dayton</t>
  </si>
  <si>
    <t>1629 K St NW Suite 300 Washington, DC 20006 United States</t>
  </si>
  <si>
    <t>DC Asian Pacific American Film Festival</t>
  </si>
  <si>
    <t>https://www.apafilm.org/</t>
  </si>
  <si>
    <t>https://filmfreeway.com/APAFILM2020</t>
  </si>
  <si>
    <t>535 8th Street Southeast, Washington, District of Columbia 20003 United States</t>
  </si>
  <si>
    <t>DC Black Film Festival</t>
  </si>
  <si>
    <t>http://dcbff.org</t>
  </si>
  <si>
    <t>1435 Holly Street NW Washington, DC 20012 United States</t>
  </si>
  <si>
    <t>DC Independent Film Festival</t>
  </si>
  <si>
    <t>https://dciff-indie.org/</t>
  </si>
  <si>
    <t>https://filmfreeway.com/DCIndependentFilmFestival</t>
  </si>
  <si>
    <t>1317 F Street NW Suite 920 Washington, DC 20004 United States</t>
  </si>
  <si>
    <t>DC Shorts Film Festival</t>
  </si>
  <si>
    <t>https://dcshorts.com/</t>
  </si>
  <si>
    <t>https://filmfreeway.com/dcshorts</t>
  </si>
  <si>
    <t>701 W. Sheridan Suite 110 Oklahoma City, OK 73102 United States</t>
  </si>
  <si>
    <t>deadCENTER Film Festival</t>
  </si>
  <si>
    <t>www.deadcenterfilm.org</t>
  </si>
  <si>
    <t>https://filmfreeway.com/deadCenter</t>
  </si>
  <si>
    <t>Oklahoma City</t>
  </si>
  <si>
    <t>240 East Avenue, Rochester, New York 14604 United States</t>
  </si>
  <si>
    <t>724 Austin Ave., Waco, Texas 76701</t>
  </si>
  <si>
    <t>Deep in the Heart Film Festival</t>
  </si>
  <si>
    <t>http://www.deepintheheartff.com/</t>
  </si>
  <si>
    <t>https://filmfreeway.com/DeepintheHeartFilmFestival</t>
  </si>
  <si>
    <t>Waco</t>
  </si>
  <si>
    <t>272 Broadmoor Drive, Nashville, Tennessee 37207</t>
  </si>
  <si>
    <t>Defy Film Festival</t>
  </si>
  <si>
    <t>https://www.defyfilmfestival.com/</t>
  </si>
  <si>
    <t>https://filmfreeway.com/DefyFilmFestival</t>
  </si>
  <si>
    <t>Nashville</t>
  </si>
  <si>
    <t>1601 Civic Drive, Walnut Creek, California 94596 United States</t>
  </si>
  <si>
    <t>Delta Moon Student Film Festival</t>
  </si>
  <si>
    <t>http://www.deltamoon.org</t>
  </si>
  <si>
    <t>Walnut Creek</t>
  </si>
  <si>
    <t>29 Wellington Oaks Circle Denton, TX 76210</t>
  </si>
  <si>
    <t xml:space="preserve">Denton Black Film Festival </t>
  </si>
  <si>
    <t>http://dentonbff.com/</t>
  </si>
  <si>
    <t>https://filmfreeway.com/DentonBlackFilmFestival</t>
  </si>
  <si>
    <t>Denton</t>
  </si>
  <si>
    <t>1510 York, 3rd Floor, Denver, CO 80206</t>
  </si>
  <si>
    <t>Denver Film Festival</t>
  </si>
  <si>
    <t>https://denverfilmfestival.denverfilm.org/?detect=yes</t>
  </si>
  <si>
    <t>350 South Dahlia Street, Denver, Colorado 80246</t>
  </si>
  <si>
    <t>Denver Jewish Film Festival</t>
  </si>
  <si>
    <t>https://www.jccdenver.org/arts-culture/denver-jewish-film-festival/</t>
  </si>
  <si>
    <t>https://filmfreeway.com/DenverJewishFilmFestival</t>
  </si>
  <si>
    <t>3654 Navajo Street, Denver, Colorado 80211</t>
  </si>
  <si>
    <t>Denver Underground Film Festival</t>
  </si>
  <si>
    <t>https://www.duffcinema.org/</t>
  </si>
  <si>
    <t>https://filmfreeway.com/DenverUndergroundFilmFestival</t>
  </si>
  <si>
    <t>301 Huron Ave, Port Huron, MI 48060</t>
  </si>
  <si>
    <t>Desmond District Demons Film Festival</t>
  </si>
  <si>
    <t>http://www.desmonddistrictdemons.com/</t>
  </si>
  <si>
    <t>https://filmfreeway.com/DesmondDistrictDemons</t>
  </si>
  <si>
    <t>Port Huron</t>
  </si>
  <si>
    <t>2611 North Proctor Street, Tacoma, Washington 98407</t>
  </si>
  <si>
    <t>Destiny City Film Festival</t>
  </si>
  <si>
    <t>http://destinycityfilmfestival.com/</t>
  </si>
  <si>
    <t>https://filmfreeway.com/DestinyCityFilmFestivalandScreenplayCompetition</t>
  </si>
  <si>
    <t>Tacoma</t>
  </si>
  <si>
    <t>715 East Milwaukee Avenue, Detroit, Michigan 48202</t>
  </si>
  <si>
    <t>6600 W Maple Rd, West Bloomfield Township, MI 48322</t>
  </si>
  <si>
    <t>Detroit Jewish Film Festival</t>
  </si>
  <si>
    <t>https://detroitjewishfilmfestival.com/</t>
  </si>
  <si>
    <t>1430 Willamette Street #30 Eugene, OR 97401</t>
  </si>
  <si>
    <t>DisOrient Asian American Film Festival of Oregon</t>
  </si>
  <si>
    <t>http://disorientfilm.org/</t>
  </si>
  <si>
    <t>https://filmfreeway.com/DisOrientAsianAmericanFilmFestivalofOregon</t>
  </si>
  <si>
    <t>15438 38th Lane S Apt 11-102 Tukwila, WA 98188 United States</t>
  </si>
  <si>
    <t>Diwa Filipino Film Showcase of Seattle</t>
  </si>
  <si>
    <t>https://www.festalpagdiriwang.com/diwa-film-showcase</t>
  </si>
  <si>
    <t>https://filmfreeway.com/DiwaFilmShowcase</t>
  </si>
  <si>
    <t>Tukwila</t>
  </si>
  <si>
    <t>184 Dudley Street, Boston, Massachusetts 02119 United States</t>
  </si>
  <si>
    <t>Beverly Hills, California 90209</t>
  </si>
  <si>
    <t>DOC LA - Los Angeles Documentary Film Festival</t>
  </si>
  <si>
    <t>https://www.docla.org/</t>
  </si>
  <si>
    <t>https://filmfreeway.com/DOCLA</t>
  </si>
  <si>
    <t>174 W. 4th St. Suite 180 New York, NY 10014 United States</t>
  </si>
  <si>
    <t>Doc NYC</t>
  </si>
  <si>
    <t>http://www.docnyc.net/</t>
  </si>
  <si>
    <t>https://filmfreeway.com/DOCNYC</t>
  </si>
  <si>
    <t>101 E Main Street, Mulvane, KS 67110</t>
  </si>
  <si>
    <t>Doc Sunback Film Festival</t>
  </si>
  <si>
    <t>http://www.docsunbackfilmfest.com/</t>
  </si>
  <si>
    <t>https://filmfreeway.com/DocSunbackFilmFestival</t>
  </si>
  <si>
    <t>Mulvane</t>
  </si>
  <si>
    <t>KS</t>
  </si>
  <si>
    <t>1001 Lootens Place, San Rafael, CA 94901</t>
  </si>
  <si>
    <t>https://www.doclands.com</t>
  </si>
  <si>
    <t>https://filmfreeway.com/DocLandsDocumentaryFilmFestival/</t>
  </si>
  <si>
    <t>San Rafael</t>
  </si>
  <si>
    <t>225 S University Ave St. George, UT 84770 United States</t>
  </si>
  <si>
    <t>DOCUTAH International Documentary Film Festival</t>
  </si>
  <si>
    <t>https://docutah.com/</t>
  </si>
  <si>
    <t>https://filmfreeway.com/DOCUTAH</t>
  </si>
  <si>
    <t xml:space="preserve">St. George </t>
  </si>
  <si>
    <t>Alamo Drafthouse Denver 4255 W. Colfax Ave. Denver, Colorado 80204 United States</t>
  </si>
  <si>
    <t>DocuWest Documentary Film Festival</t>
  </si>
  <si>
    <t>http://docuwestfest.com/</t>
  </si>
  <si>
    <t>https://filmfreeway.com/DocuWestInternationalFilmFestival</t>
  </si>
  <si>
    <t>10693 Wisconsin 42, Sister Bay, Wisconsin 54234</t>
  </si>
  <si>
    <t>Door County Short Film Festival</t>
  </si>
  <si>
    <t>http://www.cometosisterbay.com/festivals-and-events/door-county-short-film-fest/</t>
  </si>
  <si>
    <t>https://filmfreeway.com/DoorCountyShortFilmFestival</t>
  </si>
  <si>
    <t>Sister Bay</t>
  </si>
  <si>
    <t>Washington, District of Columbia United States</t>
  </si>
  <si>
    <t>Double Exposure Film Festival</t>
  </si>
  <si>
    <t>https://doubleexposurefestival.com</t>
  </si>
  <si>
    <t>316 Washington Street, Northfield, Minnesota 55057</t>
  </si>
  <si>
    <t>Downstream Film Festival</t>
  </si>
  <si>
    <t>https://crwp.net/</t>
  </si>
  <si>
    <t>https://filmfreeway.com/DownstreamFilmFestival</t>
  </si>
  <si>
    <t>Northfield</t>
  </si>
  <si>
    <t>265 Peachtree St NE, Atlanta, GA 30303</t>
  </si>
  <si>
    <t>Dragon Con Independent Film Festival</t>
  </si>
  <si>
    <t>http://filmfest.dragoncon.org/</t>
  </si>
  <si>
    <t>https://filmfreeway.com/DragonCon</t>
  </si>
  <si>
    <t>3110 N Broadway, Los Angeles, CA 90031</t>
  </si>
  <si>
    <t>Druid Underground Film Festival</t>
  </si>
  <si>
    <t>http://www.druidundergroundfilmfestival.com/</t>
  </si>
  <si>
    <t>https://filmfreeway.com/DruidUndergroundFilmFestival</t>
  </si>
  <si>
    <t>DTLA Film Festival 2658 Griffith Park Blvd., Los Angeles, CA 90039 United States</t>
  </si>
  <si>
    <t>222 East Superior Street, Duluth, Minnesota 55802</t>
  </si>
  <si>
    <t>Duluth-Superior Film Festival</t>
  </si>
  <si>
    <t>https://www.ds-ff.com/</t>
  </si>
  <si>
    <t>https://filmfreeway.com/DuluthSuperiorFilmFestival</t>
  </si>
  <si>
    <t>Duluth</t>
  </si>
  <si>
    <t>24 Town Plaza Unit A Durango, CO 81301 United States</t>
  </si>
  <si>
    <t>Durango Independent Film Festival</t>
  </si>
  <si>
    <t>http://www.durangofilmfestival.com/</t>
  </si>
  <si>
    <t>https://filmfreeway.com/DurangoFilmAnIndependentFilmFestival</t>
  </si>
  <si>
    <t>Durango</t>
  </si>
  <si>
    <t>230 West 2nd Street, Chico, California 95928</t>
  </si>
  <si>
    <t>331 High Street Suite 2 Newburyport, Massachusetts 01950 United States</t>
  </si>
  <si>
    <t>Earth Port Film Festival</t>
  </si>
  <si>
    <t>https://www.earthportfilm.org/</t>
  </si>
  <si>
    <t>https://filmfreeway.com/EarthPortFilmFestival</t>
  </si>
  <si>
    <t>Bewburyport</t>
  </si>
  <si>
    <t>510 Kedzie Street East Lansing, Michigan 48823 United States</t>
  </si>
  <si>
    <t>East Lansing Film Festival</t>
  </si>
  <si>
    <t>http://elff.com/</t>
  </si>
  <si>
    <t>https://filmfreeway.com/EastLansingFilmFestival</t>
  </si>
  <si>
    <t>East Lansing</t>
  </si>
  <si>
    <t>112 Depot Street La Grande, OR 97850 United States</t>
  </si>
  <si>
    <t>Eastern Oregon Film Festival</t>
  </si>
  <si>
    <t>http://eofilmfest.com/</t>
  </si>
  <si>
    <t>https://filmfreeway.com/eofilmfest</t>
  </si>
  <si>
    <t>La Grande</t>
  </si>
  <si>
    <t>203 W Park Ave, Champaign, IL 61820</t>
  </si>
  <si>
    <t>829 North 204th Street, Omaha, NE 68022 United States</t>
  </si>
  <si>
    <t>Elkhorn Valley BEA D7 Film and Media Conference</t>
  </si>
  <si>
    <t xml:space="preserve">https://www.mccneb.edu/Community-Business/Community-Events/Elkhorn-Valley-BEA-D-7-Film-and-Media-Conference.aspx </t>
  </si>
  <si>
    <t>Omaha</t>
  </si>
  <si>
    <t>NE</t>
  </si>
  <si>
    <t>Ellensburg, WA 98926</t>
  </si>
  <si>
    <t>Ellensburg Film Festival</t>
  </si>
  <si>
    <t>http://ellensburgfilmfestival.com/</t>
  </si>
  <si>
    <t>https://filmfreeway.com/EllensburgFilmFestival</t>
  </si>
  <si>
    <t>Ellensburg</t>
  </si>
  <si>
    <t>1224 M Street NW Suite 301 Washington, DC 20005 United States</t>
  </si>
  <si>
    <t>1249 Marin Ave, Albany, CA 94706</t>
  </si>
  <si>
    <t>Epic ACG Fest</t>
  </si>
  <si>
    <t>http://www.eacgfest.org/</t>
  </si>
  <si>
    <t>https://filmfreeway.com/EpicACGFest</t>
  </si>
  <si>
    <t>6712 Hollywood Boulevard, Los Angeles, California 90028</t>
  </si>
  <si>
    <t>Short, Women's, Genre</t>
  </si>
  <si>
    <t xml:space="preserve">Etheria Film Night </t>
  </si>
  <si>
    <t>http://www.etheriafilmnight.com/</t>
  </si>
  <si>
    <t>https://filmfreeway.com/EtheriaFilmNight</t>
  </si>
  <si>
    <t>2710 Wetmore Avenue, Everett, Washington 98201 United States</t>
  </si>
  <si>
    <t>Albuquerque, NM, USA 87119</t>
  </si>
  <si>
    <t>46 East 70th Street New York, Ny 10021 United States</t>
  </si>
  <si>
    <t>Explorer's Club Polar Film Festival</t>
  </si>
  <si>
    <t>https://explorers.org/events/detail/6th_annual_polar_film_festival_thursday</t>
  </si>
  <si>
    <t>https://filmfreeway.com/ExplorersClubPolarFilmFestival-298809</t>
  </si>
  <si>
    <t>2442 Bartlett St Houston, Texas 77098 United States</t>
  </si>
  <si>
    <t>Extremely Short Film Festival</t>
  </si>
  <si>
    <t>http://www.aurorapictureshow.org/pages/home.asp</t>
  </si>
  <si>
    <t>https://filmfreeway.com/ExtremelyShorts</t>
  </si>
  <si>
    <t>631 West 2nd Street, Los Angeles, CA 90012</t>
  </si>
  <si>
    <t>Animation, Experimental, Video Art (etc)</t>
  </si>
  <si>
    <t>Eyeworks Festival of Experimental Animation</t>
  </si>
  <si>
    <t>http://eyeworksfestival.com/</t>
  </si>
  <si>
    <t>5340 Romance Lane Cincinnati, OH 45238 United States</t>
  </si>
  <si>
    <t>F3: Frankly Film Fest</t>
  </si>
  <si>
    <t>http://www.franklyfilmfest.com/</t>
  </si>
  <si>
    <t>https://filmfreeway.com/F3FranklyFilmFest</t>
  </si>
  <si>
    <t>Piqua</t>
  </si>
  <si>
    <t>122 Fairhope Avenue, #1 Fairhope, AL 36532</t>
  </si>
  <si>
    <t>Fairhope Film Festival</t>
  </si>
  <si>
    <t>https://www.fairhopefilmfestival.org/</t>
  </si>
  <si>
    <t>https://filmfreeway.com/fairhopefilmfestival</t>
  </si>
  <si>
    <t>Fairhope</t>
  </si>
  <si>
    <t>5663 Balboa Ave Suite 376 San Diego, Ca 92111-2705 United States</t>
  </si>
  <si>
    <t>FANtasic Horror Film Festival</t>
  </si>
  <si>
    <t>http://fhffsd.com/</t>
  </si>
  <si>
    <t>https://filmfreeway.com/FANtasticHorrorFilmFestival</t>
  </si>
  <si>
    <t>Austin, Texas 78704</t>
  </si>
  <si>
    <t>http://fantasticfest.com/</t>
  </si>
  <si>
    <t>https://filmfreeway.com/FantasticFest</t>
  </si>
  <si>
    <t>Fargo, ND 58106</t>
  </si>
  <si>
    <t>Fargo Fantastic Film Festival</t>
  </si>
  <si>
    <t>http://www.valleycon.com/filmfest/</t>
  </si>
  <si>
    <t>https://filmfreeway.com/FargoFantasticFilmFestival</t>
  </si>
  <si>
    <t>314 Broadway Fargo, ND 58102 United States</t>
  </si>
  <si>
    <t>Chicago, IL 60604</t>
  </si>
  <si>
    <t>Fashion Film Festival of Chicago</t>
  </si>
  <si>
    <t>http://www.fashionfilmfestivalchicago.com/</t>
  </si>
  <si>
    <t>https://filmfreeway.com/FashionFilmFestivalChicago</t>
  </si>
  <si>
    <t>Fayetteville, AR 72702</t>
  </si>
  <si>
    <t>Fayetteville Film Festival</t>
  </si>
  <si>
    <t>http://www.fayettevillefilmfest.org/</t>
  </si>
  <si>
    <t>https://filmfreeway.com/FayettevilleFilmFest</t>
  </si>
  <si>
    <t>Fayetteville</t>
  </si>
  <si>
    <t>Biloxi, Mississippi 39530</t>
  </si>
  <si>
    <t>Fear Fete</t>
  </si>
  <si>
    <t>www.fearfete.com</t>
  </si>
  <si>
    <t>https://filmfreeway.com/FearFete</t>
  </si>
  <si>
    <t>Biloxi</t>
  </si>
  <si>
    <t>230 South 500 West #120 Salt Lake City, Utah 84101 United States</t>
  </si>
  <si>
    <t>Fear No Film</t>
  </si>
  <si>
    <t>https://uaf.org/</t>
  </si>
  <si>
    <t>https://filmfreeway.com/FearNoFilm</t>
  </si>
  <si>
    <t>122 Meserole Avenue, Brooklyn, New York 11222</t>
  </si>
  <si>
    <t>https://www.fearnyc.com</t>
  </si>
  <si>
    <t>https://filmfreeway.com/FEARnyc/</t>
  </si>
  <si>
    <t>2915 McFie Circle, Las Cruces, NM 88003-8001</t>
  </si>
  <si>
    <t>Feminist Border Arts Film Festival</t>
  </si>
  <si>
    <t>https://genders.nmsu.edu/film-festival/</t>
  </si>
  <si>
    <t>https://filmfreeway.com/FeministBorderArtsFilmFestival</t>
  </si>
  <si>
    <t>Las Cruces</t>
  </si>
  <si>
    <t>40827 Stone Rd, Big Bear Lake, CA 92315</t>
  </si>
  <si>
    <t>Festival Angaelica</t>
  </si>
  <si>
    <t>http://www.angaelica.com/</t>
  </si>
  <si>
    <t>https://filmfreeway.com/FestivalAngaelica</t>
  </si>
  <si>
    <t>Los Angeles, CA</t>
  </si>
  <si>
    <t>Misc. Niche, Short</t>
  </si>
  <si>
    <t>Festival of (In)appropriation, The</t>
  </si>
  <si>
    <t>https://festivalofinappropriation.com</t>
  </si>
  <si>
    <t>60 1 avenue 12C New York, NY 10009 United States</t>
  </si>
  <si>
    <t>Festival of Cinema NYC</t>
  </si>
  <si>
    <t>http://www.festivalofcinemanyc.com/</t>
  </si>
  <si>
    <t>https://filmfreeway.com/FestivalofCinemaNYC</t>
  </si>
  <si>
    <t>603 Arizona Ave. Santa Monica, CA 90401 United States</t>
  </si>
  <si>
    <t>Film Crash Film Festival</t>
  </si>
  <si>
    <t>http://www.filmcrash.com/</t>
  </si>
  <si>
    <t>https://filmfreeway.com/FilmCrash</t>
  </si>
  <si>
    <t>Petaluma Film Alliance 680 Sonoma Mountain Parkway Petaluma, CA 94954 United States</t>
  </si>
  <si>
    <t>Film Fest Petaluma</t>
  </si>
  <si>
    <t>http://petalumafilmalliance.org/</t>
  </si>
  <si>
    <t>https://filmfreeway.com/FilmFestPetaluma</t>
  </si>
  <si>
    <t>Petaluma</t>
  </si>
  <si>
    <t>1550 North High Street, Columbus, Ohio 43201</t>
  </si>
  <si>
    <t>Film Festival of Columbus</t>
  </si>
  <si>
    <t>http://www.filmfestivalofcbus.com/</t>
  </si>
  <si>
    <t>https://filmfreeway.com/FFOCOL</t>
  </si>
  <si>
    <t>5670 Wilshire Blvd., Los Angeles, CA 90036 United States</t>
  </si>
  <si>
    <t>Film Independent Future Filmmakers</t>
  </si>
  <si>
    <t>https://www.filmindependent.org</t>
  </si>
  <si>
    <t>15021 Ventura Boulevard Suite 523 Sherman Oaks, CA 91403 United States</t>
  </si>
  <si>
    <t>Film Invasion L.A.</t>
  </si>
  <si>
    <t>http://filminvasionla.com/</t>
  </si>
  <si>
    <t>https://filmfreeway.com/filminvasionla</t>
  </si>
  <si>
    <t>54 First Ave Atlantic Highlands, NJ 07716 United States</t>
  </si>
  <si>
    <t>Film One Fest</t>
  </si>
  <si>
    <t>https://filmonefest.org/</t>
  </si>
  <si>
    <t>https://filmfreeway.com/Film_One_Fest</t>
  </si>
  <si>
    <t xml:space="preserve">Atlantic Highlands </t>
  </si>
  <si>
    <t>48 Main Street Chatham, NY 12037</t>
  </si>
  <si>
    <t>FilmColumbia Festival</t>
  </si>
  <si>
    <t>https://crandelltheatre.org/filmcolumbia/</t>
  </si>
  <si>
    <t>https://crandelltheatre.org/filmcolumbia/submissions/</t>
  </si>
  <si>
    <t>Chatham</t>
  </si>
  <si>
    <t>555 11th Street Northwest, Washington, District of Columbia 20004</t>
  </si>
  <si>
    <t>Boise, ID 83702</t>
  </si>
  <si>
    <t>2358 University Avenue, San Diego, CA 92104 United States</t>
  </si>
  <si>
    <t>3214 North University Ave. Suite #614 Provo, Utah 84604 United States</t>
  </si>
  <si>
    <t>FilmQuest</t>
  </si>
  <si>
    <t>http://www.filmquestfest.com/</t>
  </si>
  <si>
    <t>https://filmfreeway.com/FilmQuest</t>
  </si>
  <si>
    <t>Provo</t>
  </si>
  <si>
    <t>681 Venice Boulevard, Los Angeles, California 90291</t>
  </si>
  <si>
    <t xml:space="preserve">Fine Arts Film Festival, The </t>
  </si>
  <si>
    <t>http://www.thefineartsfilmfestival.com/</t>
  </si>
  <si>
    <t>https://filmfreeway.com/TheFineArtsFilmFestival</t>
  </si>
  <si>
    <t>5240 Lankershim Boulevard, Los Angeles, California 91601</t>
  </si>
  <si>
    <t>First Glance Film Festival Los Angeles</t>
  </si>
  <si>
    <t>https://firstglancefilms.com/</t>
  </si>
  <si>
    <t>https://filmfreeway.com/FirstGlanceFilmFestivals</t>
  </si>
  <si>
    <t>8054 NILES AVENUE, 2E SKOKIE, IL 60077</t>
  </si>
  <si>
    <t>First Nations Film and Video Festival</t>
  </si>
  <si>
    <t>http://www.fnfvf.org/</t>
  </si>
  <si>
    <t>http://fnfvf.org/blog/festival-application/</t>
  </si>
  <si>
    <t>Skokie</t>
  </si>
  <si>
    <t>1412 Chestnut Street, Philadelphia, Pennsylvania 19102 United States</t>
  </si>
  <si>
    <t>FirstGlance Philadelphia Film Fest</t>
  </si>
  <si>
    <t>http://www.firstglancefilms.com</t>
  </si>
  <si>
    <t>15 West Aspen Avenue, Flagstaff, Arizona 86001</t>
  </si>
  <si>
    <t>Flagstaff Mountain Film Festival</t>
  </si>
  <si>
    <t>http://www.flagstaffmountainfilms.org/</t>
  </si>
  <si>
    <t>https://filmfreeway.com/FlagstaffMountainFilmFestival</t>
  </si>
  <si>
    <t>Flagstaff</t>
  </si>
  <si>
    <t>416 Main Street, Polson, Montana 59860</t>
  </si>
  <si>
    <t>Flathead Lake International Cinemafest</t>
  </si>
  <si>
    <t>http://www.flicpolson.com/</t>
  </si>
  <si>
    <t>https://filmfreeway.com/FLIC</t>
  </si>
  <si>
    <t>Polson</t>
  </si>
  <si>
    <t>511 Avenue K, Lubbock, TX 79401</t>
  </si>
  <si>
    <t>Flatland Film Festival</t>
  </si>
  <si>
    <t>http://www.flatlandfilm.org/</t>
  </si>
  <si>
    <t>https://filmfreeway.com/FlatlandFilmFestival</t>
  </si>
  <si>
    <t>Lubbock</t>
  </si>
  <si>
    <t>83 Park St. Suite 5 Providence, RI 02903 United States</t>
  </si>
  <si>
    <t>Flickers' Rhode Island International Film Festival</t>
  </si>
  <si>
    <t>http://www.film-festival.org/</t>
  </si>
  <si>
    <t>https://filmfreeway.com/RIFilmFest</t>
  </si>
  <si>
    <t>Newport</t>
  </si>
  <si>
    <t>918 Railroad Avenue Tallahassee, Florida 32310</t>
  </si>
  <si>
    <t>Florida Animation Festival</t>
  </si>
  <si>
    <t>https://www.floridaanimationfestival.com/</t>
  </si>
  <si>
    <t>https://filmfreeway.com/FloridaAnimationFestival</t>
  </si>
  <si>
    <t>500 S 4th St, Louisville, KY 40202</t>
  </si>
  <si>
    <t xml:space="preserve">Flyover Film Festival </t>
  </si>
  <si>
    <t>https://www.louisvillefilmsociety.org/flyover/</t>
  </si>
  <si>
    <t>Louisville</t>
  </si>
  <si>
    <t>408 Second Street Pepin, WI 54759 United States</t>
  </si>
  <si>
    <t>Flyway Film Festival</t>
  </si>
  <si>
    <t>https://www.flywayfilmfestival.org/</t>
  </si>
  <si>
    <t>https://filmfreeway.com/TheFlywayFilmFestival</t>
  </si>
  <si>
    <t>Pepin</t>
  </si>
  <si>
    <t>234 West 42nd Street, New York, New York 10036</t>
  </si>
  <si>
    <t>Food Film Festival, The</t>
  </si>
  <si>
    <t>https://www.thefoodfilmfestival.com/</t>
  </si>
  <si>
    <t>https://filmfreeway.com/FoodFilmFest</t>
  </si>
  <si>
    <t>243 3rd Avenue NE, Hickory, NC 28601</t>
  </si>
  <si>
    <t>Footcandle Film Festival</t>
  </si>
  <si>
    <t>http://www.footcandlefilmfestival.com/</t>
  </si>
  <si>
    <t>https://filmfreeway.com/FootcandleFilmFestival</t>
  </si>
  <si>
    <t>Hickory</t>
  </si>
  <si>
    <t>1314 E Las Olas Blvd #007 Fort Lauderdale, FL 33301-2334 United States</t>
  </si>
  <si>
    <t>Fort Lauderdale International Film Festival</t>
  </si>
  <si>
    <t>http://www.fliff.com/</t>
  </si>
  <si>
    <t>https://filmfreeway.com/FortLauderdaleInternationalFilmFestival</t>
  </si>
  <si>
    <t>Fort Lauderdale</t>
  </si>
  <si>
    <t>6425 Estero Blvd, Fort Myers Beach, FL 33931</t>
  </si>
  <si>
    <t>Fort Myers Beach International Film Festival</t>
  </si>
  <si>
    <t>http://fmbfilmfest.com/</t>
  </si>
  <si>
    <t>https://filmfreeway.com/FortMyersBeachinternationalFilmFestival</t>
  </si>
  <si>
    <t>Fort Myers</t>
  </si>
  <si>
    <t>2301 First St Fort Myers, FL 33901 United States</t>
  </si>
  <si>
    <t>Fort Myers Film Festival</t>
  </si>
  <si>
    <t>http://www.fortmyersfilmfestival.com/</t>
  </si>
  <si>
    <t>https://filmfreeway.com/FortMyersFilmFestival</t>
  </si>
  <si>
    <t>1300 Gendy #217. Fort Worth, TX 76107</t>
  </si>
  <si>
    <t>Fort Worth Gay &amp; Lesbian International Film Festival</t>
  </si>
  <si>
    <t>https://www.qcinema.org/</t>
  </si>
  <si>
    <t>https://filmfreeway.com/QCinemaFortWorth</t>
  </si>
  <si>
    <t>Fort Worth</t>
  </si>
  <si>
    <t>3701 Altamesa Blvd #331142 Fort Worth, Tx 76163 United States</t>
  </si>
  <si>
    <t>Fort Worth Indie Film Showcase</t>
  </si>
  <si>
    <t>http://www.fwindie.com/</t>
  </si>
  <si>
    <t>https://filmfreeway.com/FWIFS</t>
  </si>
  <si>
    <t>2132 Wallace St. Stroudsburg, PA United States</t>
  </si>
  <si>
    <t xml:space="preserve">Forwardian Film Festival, The </t>
  </si>
  <si>
    <t>http://www.forwardianarts.org/</t>
  </si>
  <si>
    <t>https://filmfreeway.com/TheForwardianFilmFestival</t>
  </si>
  <si>
    <t>Stroudsburg</t>
  </si>
  <si>
    <t>5901 Hazeltine National Drive, Orlando, Florida 32822 United States</t>
  </si>
  <si>
    <t>Freak Show Horror Film Festival</t>
  </si>
  <si>
    <t>http://www.freakshowfilmfest.com</t>
  </si>
  <si>
    <t>5901 Hazeltine National Dr. Orlando, Florida 32822 United States</t>
  </si>
  <si>
    <t>FREAKSHOW Horror Film Festival</t>
  </si>
  <si>
    <t>http://freakshowfilmfest.com/</t>
  </si>
  <si>
    <t>https://filmfreeway.com/FREAKSHOWHorrorFilmFestival</t>
  </si>
  <si>
    <t>2612 County Road 1 Wrenshall, MN 55797</t>
  </si>
  <si>
    <t>Free Range Film Festival</t>
  </si>
  <si>
    <t>http://freerangefilm.com/</t>
  </si>
  <si>
    <t>https://filmfreeway.com/FreeRangeFilmFestival</t>
  </si>
  <si>
    <t>Wrenshall</t>
  </si>
  <si>
    <t>940 New Hampshire Street, Lawrence, Kansas 66044 United States</t>
  </si>
  <si>
    <t>http://freestatefestival.org</t>
  </si>
  <si>
    <t>Lawrence</t>
  </si>
  <si>
    <t>160 W. Fort Street Detroit, MI 48826 United States</t>
  </si>
  <si>
    <t>815 E Olive Ave., Fresno, CA 93728</t>
  </si>
  <si>
    <t>Fresno Film Festival</t>
  </si>
  <si>
    <t>http://fresnofilmworks.org/</t>
  </si>
  <si>
    <t>Fresno</t>
  </si>
  <si>
    <t>Friday Harbor, WA 98250</t>
  </si>
  <si>
    <t>Environmental/Outdoor/Adventure/Wildlife, Documentary</t>
  </si>
  <si>
    <t>Friday Harbor Film Festival</t>
  </si>
  <si>
    <t>https://www.fhff.org/</t>
  </si>
  <si>
    <t>https://filmfreeway.com/FHFF</t>
  </si>
  <si>
    <t>Friday Harbor</t>
  </si>
  <si>
    <t>1509 Pratt Street Longmont, Co 80501 United States</t>
  </si>
  <si>
    <t>Front Range Film Festival</t>
  </si>
  <si>
    <t>http://frontrangefilmfest.com/</t>
  </si>
  <si>
    <t>https://filmfreeway.com/FrontRangeFilmFestival</t>
  </si>
  <si>
    <t>Longmont</t>
  </si>
  <si>
    <t>160 Johnson St Winona, MN 55987 United States</t>
  </si>
  <si>
    <t>Frozen River Film Festival</t>
  </si>
  <si>
    <t>https://www.frff.org/</t>
  </si>
  <si>
    <t>https://filmfreeway.com/FrozenRiverFilmFestival</t>
  </si>
  <si>
    <t>Winona</t>
  </si>
  <si>
    <t>203 S Meeting St., Statesville, North Carolina 28677 United States</t>
  </si>
  <si>
    <t>Full Bloom Film Festival</t>
  </si>
  <si>
    <t>https://fullbloomfilmfestival.org</t>
  </si>
  <si>
    <t>Statesville</t>
  </si>
  <si>
    <t>320 Blackwell Street, Suite 101, Durham, NC 27701</t>
  </si>
  <si>
    <t>804 N oolitic Dr Bloomington, IN 47404 United States</t>
  </si>
  <si>
    <t>Gadabout Film Festival</t>
  </si>
  <si>
    <t>http://gadaboutfilmfest.com/</t>
  </si>
  <si>
    <t>https://filmfreeway.com/GadaboutFilmFest</t>
  </si>
  <si>
    <t>Bloomington</t>
  </si>
  <si>
    <t>Northeast 3rd Street, Gainesville, Florida 32601 United States</t>
  </si>
  <si>
    <t>Latino, Latin American (etc), Short</t>
  </si>
  <si>
    <t>Gainesville Latino Film Festival</t>
  </si>
  <si>
    <t>http://gainesvillelatinofilmfestival.com</t>
  </si>
  <si>
    <t>Gainesville</t>
  </si>
  <si>
    <t>7 North Main Street, Kaysville, Utah 84037 United States</t>
  </si>
  <si>
    <t>Comedy, Short</t>
  </si>
  <si>
    <t>Gangrene Film Festival of Comedy Shorts</t>
  </si>
  <si>
    <t xml:space="preserve">http://www.gangreneproductions.com/home/index.php </t>
  </si>
  <si>
    <t>Kaysville</t>
  </si>
  <si>
    <t>Asbury Park, NJ 07712 United States</t>
  </si>
  <si>
    <t>1245 16th street Suite 210 Santa Monica, California 90404 United States</t>
  </si>
  <si>
    <t>Garifuna International Indigenous Film Festival</t>
  </si>
  <si>
    <t>http://garifunafilmfestival.com/</t>
  </si>
  <si>
    <t>https://filmfreeway.com/GarifunaInternationalIndigenousFilmFestival</t>
  </si>
  <si>
    <t>Tampa, FL United States</t>
  </si>
  <si>
    <t>Florence, Alabama 35632 United States</t>
  </si>
  <si>
    <t>George Lindsey UNA Film Festival</t>
  </si>
  <si>
    <t>http://www.lindseyfilmfest.com</t>
  </si>
  <si>
    <t>Florence</t>
  </si>
  <si>
    <t>5200 Campanile Dr. , San Diego, CA 92115</t>
  </si>
  <si>
    <t>http://gifilmfestivalsd.org</t>
  </si>
  <si>
    <t>https://filmfreeway.com/GIFilmFestivalSanDiego</t>
  </si>
  <si>
    <t>3006 Judson St., Suite 102 Gig Harbor, Washington 98335 United States</t>
  </si>
  <si>
    <t>Gig Harbor Film Festival</t>
  </si>
  <si>
    <t>https://gigharborfilm.org/</t>
  </si>
  <si>
    <t>https://filmfreeway.com/GigHarborFilmFestival</t>
  </si>
  <si>
    <t>Gig Harbor</t>
  </si>
  <si>
    <t>2230 Shattuck Avenue, Berkeley, California 94704</t>
  </si>
  <si>
    <t>1061 North Central Avenue Glendale, CA 91202 United States</t>
  </si>
  <si>
    <t>Glendale International Film Festival</t>
  </si>
  <si>
    <t>https://www.glendaleinternationalfilmfestival.com/</t>
  </si>
  <si>
    <t>https://filmfreeway.com/GlendaleInternationalFilmFestival</t>
  </si>
  <si>
    <t>Glendale</t>
  </si>
  <si>
    <t>376 Trapelo Road, Belmont, Massachusetts 02478</t>
  </si>
  <si>
    <t>999 9th St NW Washington, DC 20001 United States</t>
  </si>
  <si>
    <t>Global Impact Film Festival</t>
  </si>
  <si>
    <t>https://globalimpactdc.org/</t>
  </si>
  <si>
    <t>https://filmfreeway.com/GlobalImpactDC</t>
  </si>
  <si>
    <t>Winter Park, FL 32790-3310</t>
  </si>
  <si>
    <t>Global Peace Film Festival</t>
  </si>
  <si>
    <t>https://peacefilmfest.org/</t>
  </si>
  <si>
    <t>https://filmfreeway.com/GlobalPeaceFilmFestival</t>
  </si>
  <si>
    <t>Winter Park</t>
  </si>
  <si>
    <t>113 Middle Neck Road Great Neck, NY 11021 United States</t>
  </si>
  <si>
    <t>Gold Coast International Film Festival</t>
  </si>
  <si>
    <t>http://goldcoastfilmfestival.org/</t>
  </si>
  <si>
    <t>https://filmfreeway.com/GCIFF</t>
  </si>
  <si>
    <t>Great Neck</t>
  </si>
  <si>
    <t>344 Grove St Jersey City, New Jersey-New York 07302</t>
  </si>
  <si>
    <t>Golden Door Film Festival</t>
  </si>
  <si>
    <t>http://goldendoorfilmfestival.org/</t>
  </si>
  <si>
    <t>https://filmfreeway.com/GoldenDoorFilmFestival</t>
  </si>
  <si>
    <t>1440 Koll Circle, Suite 110 San Jose, CA 95112 United States</t>
  </si>
  <si>
    <t>Golden Gate International Film Festival</t>
  </si>
  <si>
    <t>http://goldengateinternationalfilmfestival.com/</t>
  </si>
  <si>
    <t>https://filmfreeway.com/GoldenGateInternationalFilmFestival</t>
  </si>
  <si>
    <t>1638 South Park Ave Buffalo, NY 14220 United States</t>
  </si>
  <si>
    <t>Great Lakes Christrian Film Festival</t>
  </si>
  <si>
    <t>https://glcff.com/</t>
  </si>
  <si>
    <t>https://filmfreeway.com/GreatLakesChristianFilmFestival</t>
  </si>
  <si>
    <t>1131 W. Wisconsin Ave, Milwaukee, WI 53233 United States</t>
  </si>
  <si>
    <t>Great Lakes Environmental Film Festival</t>
  </si>
  <si>
    <t>http://www.gleff.org/</t>
  </si>
  <si>
    <t>https://filmfreeway.com/GLEFF</t>
  </si>
  <si>
    <t>1001 State Street Suite 1400 Erie, PA 16501 United States</t>
  </si>
  <si>
    <t>Great Lakes International Film Festival</t>
  </si>
  <si>
    <t>http://greatlakesfilmfest.com/</t>
  </si>
  <si>
    <t>https://filmfreeway.com/GreatLakesInternationalFilmFestival</t>
  </si>
  <si>
    <t>Erie</t>
  </si>
  <si>
    <t>13116 Shaker Square, Cleveland, Ohio 44120</t>
  </si>
  <si>
    <t>Greater Cleveland Urban Film Festival</t>
  </si>
  <si>
    <t>http://www.gcuff.org/</t>
  </si>
  <si>
    <t>100 Grant Street, De Pere, Wisconsin 54115</t>
  </si>
  <si>
    <t>Green Bay Film Festival</t>
  </si>
  <si>
    <t>https://www.gbfilmfestival.org/</t>
  </si>
  <si>
    <t>https://filmfreeway.com/GBFF</t>
  </si>
  <si>
    <t>De Pere</t>
  </si>
  <si>
    <t>26 Main Street, Montpelier, Vermont 05602 United States</t>
  </si>
  <si>
    <t>80 Wythe Ave, Brooklyn, NY 11249</t>
  </si>
  <si>
    <t>Greenpoint Film Festival</t>
  </si>
  <si>
    <t>http://greenpointfilmfestival.org/</t>
  </si>
  <si>
    <t>https://filmfreeway.com/GreenpointFilmFestival</t>
  </si>
  <si>
    <t>0 Horseneck Lane, Greenwich, CT 06830</t>
  </si>
  <si>
    <t>323 6th Avenue, New York, New York 10014</t>
  </si>
  <si>
    <t>Greenwich Village Film Festival</t>
  </si>
  <si>
    <t>https://www.greenwichvillagefilmfestival.com/</t>
  </si>
  <si>
    <t>https://filmfreeway.com/GreenwichVillageFilmFestival</t>
  </si>
  <si>
    <t>Grenada, MS 38902 United States</t>
  </si>
  <si>
    <t>Grenada Afterglow Festival</t>
  </si>
  <si>
    <t>http://www.grenadaafterglow.com</t>
  </si>
  <si>
    <t>Grenada</t>
  </si>
  <si>
    <t>4122 NE Sandy Blvd Portland, OR 97212</t>
  </si>
  <si>
    <t>H.P. Lovecraft Film Festival</t>
  </si>
  <si>
    <t>https://hplfilmfestival.com/</t>
  </si>
  <si>
    <t>https://filmfreeway.com/HPLovecraftFilmFestival</t>
  </si>
  <si>
    <t>4800 Hollywood Blvd Hollywood, CA 90027 United States</t>
  </si>
  <si>
    <t>Haiti International Film Festival</t>
  </si>
  <si>
    <t>http://www.haitiinternationalfilmfestival.org/</t>
  </si>
  <si>
    <t>https://filmfreeway.com/HaitiInternationalFilmFestival</t>
  </si>
  <si>
    <t>Hollywood</t>
  </si>
  <si>
    <t>737 Main Street, Safety Harbor, Florida 34695 United States</t>
  </si>
  <si>
    <t>Halloween Horror Pictur Show, The</t>
  </si>
  <si>
    <t>http://thehalloweenhorrorpictureshow.com</t>
  </si>
  <si>
    <t>Safety Harbor</t>
  </si>
  <si>
    <t>Hamilton, New York 13346 United States</t>
  </si>
  <si>
    <t>Hamilton International Film Festival</t>
  </si>
  <si>
    <t>https://www.sbehiff.com/</t>
  </si>
  <si>
    <t>https://filmfreeway.com/sbehiff</t>
  </si>
  <si>
    <t>Hamilton</t>
  </si>
  <si>
    <t>Bridgehampton, New York 11932</t>
  </si>
  <si>
    <t>https://www.hamptonsdocfest.com/</t>
  </si>
  <si>
    <t>https://filmfreeway.com/Hamptonsdocfest</t>
  </si>
  <si>
    <t>Sag Harbor</t>
  </si>
  <si>
    <t>47 Newtown Lane, East Hampton, NY 11937</t>
  </si>
  <si>
    <t>http://hampton...filmfest.org/</t>
  </si>
  <si>
    <t>https://filmfreeway.com/HamptonsFilm</t>
  </si>
  <si>
    <t>East Hampton</t>
  </si>
  <si>
    <t>81a White St Eatontown, NJ 07724 United States</t>
  </si>
  <si>
    <t>Hang On To Your Shorts! Film Festival</t>
  </si>
  <si>
    <t>http://hangontoyourshortsfilmfestival.com/</t>
  </si>
  <si>
    <t>https://filmfreeway.com/hangontoyourshorts</t>
  </si>
  <si>
    <t>Eatontown</t>
  </si>
  <si>
    <t>24 Summer Street, Haverhill, Massachusetts 01830</t>
  </si>
  <si>
    <t xml:space="preserve">https://stainedglassandblo.wixsite.com/stainedglass </t>
  </si>
  <si>
    <t xml:space="preserve">Filmfreeway.com/happenstancehorrorfest </t>
  </si>
  <si>
    <t>Haverhill</t>
  </si>
  <si>
    <t>2214 Frederick Douglass Boulevard #333 New York, NY 10026 United States</t>
  </si>
  <si>
    <t>Harlem International Film Festival</t>
  </si>
  <si>
    <t>http://harlemfilmfestival.org/</t>
  </si>
  <si>
    <t>https://filmfreeway.com/HarlemInternationalFilmFestival</t>
  </si>
  <si>
    <t>335 Bloomfiled Avenue West Hartford, CT 06117 United States</t>
  </si>
  <si>
    <t>Hartford Jewish Film Festival</t>
  </si>
  <si>
    <t>https://hjff2019.eventive.org/welcome</t>
  </si>
  <si>
    <t>https://filmfreeway.com/GreaterHartfordJewishFilmFestival</t>
  </si>
  <si>
    <t>59 Shepard Street Soch Box 423 Cambridge, MA 02138 United States</t>
  </si>
  <si>
    <t>680 Iwilei Road, Suite 100, Honolulu, HI 96817 USA</t>
  </si>
  <si>
    <t>https://www.hiff.org/</t>
  </si>
  <si>
    <t>https://filmfreeway.com/HIFF</t>
  </si>
  <si>
    <t>Honolulu</t>
  </si>
  <si>
    <t>HI</t>
  </si>
  <si>
    <t>804 Old Fayetteville Street Durham, NC 27701 United States</t>
  </si>
  <si>
    <t>Hayti Heritage Film Festival</t>
  </si>
  <si>
    <t>https://hayti.org/</t>
  </si>
  <si>
    <t>https://filmfreeway.com/HaytiHeritageFilmFest</t>
  </si>
  <si>
    <t>Durham</t>
  </si>
  <si>
    <t>1043 Virginia Ave. Suite 2 Indianapolis, IN 46203 United States</t>
  </si>
  <si>
    <t xml:space="preserve">Heartland International Film Festival </t>
  </si>
  <si>
    <t>http://heartlandfilm.org/festival/</t>
  </si>
  <si>
    <t>https://filmfreeway.com/HeartlandFilmFestival</t>
  </si>
  <si>
    <t>4106 E Wilder Road #283 Bay City, MI 48706 United States</t>
  </si>
  <si>
    <t>Hell's Half Mile Film &amp; Music Festival</t>
  </si>
  <si>
    <t>http://hhmfest.com/</t>
  </si>
  <si>
    <t>https://filmfreeway.com/HellsHalfMileFilmMusicFestival</t>
  </si>
  <si>
    <t>Bay City</t>
  </si>
  <si>
    <t>Largo, MD 20792</t>
  </si>
  <si>
    <t>Heritage Film Festival</t>
  </si>
  <si>
    <t>https://www.heritagefilmfestival.org/</t>
  </si>
  <si>
    <t>https://filmfreeway.com/heritagefilmfestival</t>
  </si>
  <si>
    <t>Largo</t>
  </si>
  <si>
    <t>45 East Avenue 4th Floor Rochester, NY 14604 United States</t>
  </si>
  <si>
    <t>High Falls Women's Film Festival</t>
  </si>
  <si>
    <t>http://highfallsfilmfestival.com</t>
  </si>
  <si>
    <t>https://filmfreeway.com/HighFallsFilmFestivalRochesterNY</t>
  </si>
  <si>
    <t>2254 HWY 87 South Fredericksburg, Texas 78624 United States</t>
  </si>
  <si>
    <t>437 E Berry Street, Fort Wayne, IN 46802</t>
  </si>
  <si>
    <t>hobnobben.org</t>
  </si>
  <si>
    <t>https://filmfreeway.com/HobnobbenFilmFestival</t>
  </si>
  <si>
    <t>Fort Wayne</t>
  </si>
  <si>
    <t>886 Belmont Avenue Suite C North Haledon, NJ 07508 United States</t>
  </si>
  <si>
    <t>Hoboken International Film Festival</t>
  </si>
  <si>
    <t>http://www.hobokeninternationalfilmfestival.com/</t>
  </si>
  <si>
    <t>https://filmfreeway.com/HobokenInternationalFilmFestival</t>
  </si>
  <si>
    <t>Haledon</t>
  </si>
  <si>
    <t>14622 Ventura Blvd Suite 102 #722 Sherman Oaks, California 91403 United States</t>
  </si>
  <si>
    <t xml:space="preserve">HollyShorts </t>
  </si>
  <si>
    <t>http://www.hollyshorts.com/</t>
  </si>
  <si>
    <t>https://filmfreeway.com/HollyShortsFilmFestival</t>
  </si>
  <si>
    <t>13480 Maxella Avenue, Marina del Rey, California 90292 United States</t>
  </si>
  <si>
    <t>Hollywood Black Film Festival</t>
  </si>
  <si>
    <t xml:space="preserve">https://filmfreeway.com/HollywoodBlackFilmFestival </t>
  </si>
  <si>
    <t>Marina del Rey</t>
  </si>
  <si>
    <t>5820 Hazeltine Ave #25 Van Nuys, CA 91401 United States</t>
  </si>
  <si>
    <t>Hollywood Film Festival</t>
  </si>
  <si>
    <t>https://www.hollywoodfilmfestival.com/</t>
  </si>
  <si>
    <t>https://filmfreeway.com/HollywoodFilmFestival</t>
  </si>
  <si>
    <t>Los Angeles, California 91606</t>
  </si>
  <si>
    <t>Hollywood Horrorfest</t>
  </si>
  <si>
    <t>http://blog.hollywoodhorrorfest.com/</t>
  </si>
  <si>
    <t>https://filmfreeway.com/HollywoodHorrorfest</t>
  </si>
  <si>
    <t>1615 N. Wilcox Avenue Hollywood, CA 90078</t>
  </si>
  <si>
    <t>Hollywood Reel Independent Film Festival</t>
  </si>
  <si>
    <t>http://www.hollywoodreelindependentfilmfestival.com/</t>
  </si>
  <si>
    <t>https://filmfreeway.com/HOLLYWOOD_FILM_HRIFF</t>
  </si>
  <si>
    <t>Los Angeles, CA 90065 United States</t>
  </si>
  <si>
    <t>Hollywood Short Film Festival</t>
  </si>
  <si>
    <t>https://www.hollywoodsff.org/</t>
  </si>
  <si>
    <t>https://filmfreeway.com/HollywoodShortFilmFestival</t>
  </si>
  <si>
    <t>900 South Beretania Street, Honolulu, Hawaii 96814 United States</t>
  </si>
  <si>
    <t>Honolulu Rainbow Film Festival</t>
  </si>
  <si>
    <t>https://www.facebook.com/hrfilmfest</t>
  </si>
  <si>
    <t>5934 Cumberland St San Diego, California 92139 United States</t>
  </si>
  <si>
    <t>Horrible Imaginings Film Festival</t>
  </si>
  <si>
    <t>http://www.hifilmfest.com/</t>
  </si>
  <si>
    <t>https://filmfreeway.com/HorribleImaginingsFilmFest</t>
  </si>
  <si>
    <t>544 North Fairfax Avenue, Los Angeles, California 90036</t>
  </si>
  <si>
    <t>Horror Haus</t>
  </si>
  <si>
    <t>http://horrorhausfilmfestival.com/</t>
  </si>
  <si>
    <t>https://filmfreeway.com/HorrorHausFilmFestival</t>
  </si>
  <si>
    <t>559 Parkway, Gatlinburg, Tennessee 37738</t>
  </si>
  <si>
    <t>Horror in the Hills</t>
  </si>
  <si>
    <t>http://www.horrorinthehills.com/</t>
  </si>
  <si>
    <t>https://filmfreeway.com/HorrorintheHills</t>
  </si>
  <si>
    <t>11355 Chester Road Cincinnati, Ohio 45246 United States</t>
  </si>
  <si>
    <t>659 Ouachita Ave. Hot Springs National Park, AR 71901 United States</t>
  </si>
  <si>
    <t>Hot Springs Documentary Film Festival</t>
  </si>
  <si>
    <t>https://www.hsdfi.org/</t>
  </si>
  <si>
    <t>https://filmfreeway.com/HotSpringsDocumentaryFilmFestival</t>
  </si>
  <si>
    <t>1008 Central Ave Hot Springs National Park, AR 71901</t>
  </si>
  <si>
    <t>Hot Springs International Horror Film Festival</t>
  </si>
  <si>
    <t>https://hotspringshorrorfilmfestival.com/</t>
  </si>
  <si>
    <t>https://filmfreeway.com/HotSpringsHorrorFilmFestival</t>
  </si>
  <si>
    <t>531 Mason Road, Katy, Texas 77450</t>
  </si>
  <si>
    <t>5601 S. Braeswood, Houston, TX 77096-3907</t>
  </si>
  <si>
    <t>333 S Jensen Dr., Houston, TX 77003</t>
  </si>
  <si>
    <t>20 N. Sampson Ste 100 Houston, TX 77003 United States</t>
  </si>
  <si>
    <t>Houston Palestine Film Festival</t>
  </si>
  <si>
    <t>http://www.hpff.org/</t>
  </si>
  <si>
    <t>https://filmfreeway.com/HoustonPalestineFilmFestival</t>
  </si>
  <si>
    <t>350 Fifth Avenue, 34th Floor, New York, NY 10018-3299</t>
  </si>
  <si>
    <t>https://ff.hrw.org/</t>
  </si>
  <si>
    <t>1 Harpst St Humboldt State University Arcata, CA 95521 United States</t>
  </si>
  <si>
    <t>Humboldt International Film Festival</t>
  </si>
  <si>
    <t>http://hsufilmfestival.com/</t>
  </si>
  <si>
    <t>https://filmfreeway.com/HumboldtInternationalFilmFestival</t>
  </si>
  <si>
    <t>San Bernardino</t>
  </si>
  <si>
    <t>Huntington Beach, CA 92648 United States</t>
  </si>
  <si>
    <t>Huntington Beach Film Festival</t>
  </si>
  <si>
    <t>http://hbfilmfest.com/</t>
  </si>
  <si>
    <t>https://filmfreeway.com/hbfilmfest</t>
  </si>
  <si>
    <t>Huntington Beach</t>
  </si>
  <si>
    <t>54290 North Circle Drive, Idyllwild-Pine Cove, California 92549</t>
  </si>
  <si>
    <t>Idyllwild International Festival of Cinema</t>
  </si>
  <si>
    <t>http://www.idyllwildcinemafest.com/</t>
  </si>
  <si>
    <t>https://filmfreeway.com/IIFC2020</t>
  </si>
  <si>
    <t>Idyllwild</t>
  </si>
  <si>
    <t>134 N Cass Ave. Suite A Westmont, IL 60554 United States</t>
  </si>
  <si>
    <t>Illinois International Film Festival</t>
  </si>
  <si>
    <t>http://www.illinoisinternationalfilmfestival.com/</t>
  </si>
  <si>
    <t>https://filmfreeway.com/IllinoisInternationalFilmFestival</t>
  </si>
  <si>
    <t>Westmont</t>
  </si>
  <si>
    <t>274 North Goodman Street, Rochester, New York 14607</t>
  </si>
  <si>
    <t>ImageOut: The Rochester LGBT Film and Video Festival</t>
  </si>
  <si>
    <t>http://www.imageout.org/index.php</t>
  </si>
  <si>
    <t>https://filmfreeway.com/ImageOutRochesterLGBTQFilmFestival</t>
  </si>
  <si>
    <t>Imagine This Women's International Film Festival</t>
  </si>
  <si>
    <t>https://www.imaginethisprods.com/</t>
  </si>
  <si>
    <t>https://filmfreeway.com/ITWIFF</t>
  </si>
  <si>
    <t>1050 West Sheridan Road Chicago, IL, 60660, United States</t>
  </si>
  <si>
    <t>In/Motion Chicago's International Dance Film Festival</t>
  </si>
  <si>
    <t>http://www.inmotionfestival.com/</t>
  </si>
  <si>
    <t>https://filmfreeway.com/InMotionDanceFilmFestival</t>
  </si>
  <si>
    <t>411A Highland Avenue #403 Somerville, MA 02144 United States</t>
  </si>
  <si>
    <t>5225 Wilshire Blvd, #617 Los Angeles, CA 90036 United States</t>
  </si>
  <si>
    <t>3733 N Meridian St. Indianapolis, IN 46208 United States</t>
  </si>
  <si>
    <t>Indianapolis LGBT Film Festival</t>
  </si>
  <si>
    <t>http://www.indylgbtfilmfest.com</t>
  </si>
  <si>
    <t>https://filmfreeway.com/IndianapolisLGBTFilmFestival</t>
  </si>
  <si>
    <t>12732 Main Street, Garden Grove, CA 92840</t>
  </si>
  <si>
    <t>Indie Fest USA International Film Festival</t>
  </si>
  <si>
    <t>http://www.indiefestusa.us/</t>
  </si>
  <si>
    <t>https://filmfreeway.com/IndieFestUSAInternationalFilmFestival</t>
  </si>
  <si>
    <t>Garden Grove</t>
  </si>
  <si>
    <t>5009 Storer Ave #3 Cleveland, OH 44102 United States</t>
  </si>
  <si>
    <t xml:space="preserve">Indie Gathering, The </t>
  </si>
  <si>
    <t>http://www.theindiegathering.com/</t>
  </si>
  <si>
    <t>https://filmfreeway.com/TheIndieGathering</t>
  </si>
  <si>
    <t>Hudson</t>
  </si>
  <si>
    <t>1607 Main Street Columbia, South Carolina 29201</t>
  </si>
  <si>
    <t>Indie Horror Film Festival</t>
  </si>
  <si>
    <t>http://www.indiehorrorfest.com/</t>
  </si>
  <si>
    <t>https://filmfreeway.com/IndieHorrorFest</t>
  </si>
  <si>
    <t>1910 Madison Ave. #632 Memphis, TN 38104 United States</t>
  </si>
  <si>
    <t>Indie Memphis Film Festival</t>
  </si>
  <si>
    <t>http://indiememphis.com/</t>
  </si>
  <si>
    <t>https://filmfreeway.com/IndieMemphis</t>
  </si>
  <si>
    <t>Memphis</t>
  </si>
  <si>
    <t>140 Broad Street Red Bank, NJ 07701</t>
  </si>
  <si>
    <t>Indie Street Film Festival</t>
  </si>
  <si>
    <t>https://www.indiestreetfilmfestival.org/</t>
  </si>
  <si>
    <t>https://filmfreeway.com/IndieStreetFilmFestival</t>
  </si>
  <si>
    <t>Red Bank</t>
  </si>
  <si>
    <t>221 Hay Street Fayetteville, NC 28301 United States</t>
  </si>
  <si>
    <t>Indigo Moon Film Festival</t>
  </si>
  <si>
    <t>http://www.indigomoonfilmfestival.com/</t>
  </si>
  <si>
    <t>https://filmfreeway.com/IndigoMoonFilmFestival</t>
  </si>
  <si>
    <t>125 W. South St. #1930 Indianapolis, IN 46206 United States</t>
  </si>
  <si>
    <t>4000 North Michigan Road, Indianapolis, Indiana 46208 United States</t>
  </si>
  <si>
    <t>Indy Shorts International Film Festival</t>
  </si>
  <si>
    <t xml:space="preserve">http://heartlandfilm.org/indyshorts </t>
  </si>
  <si>
    <t>1625 Yukon St Lakewood, CO 80214 United States</t>
  </si>
  <si>
    <t>Intendence Film Festival</t>
  </si>
  <si>
    <t>http://www.intendence.org/</t>
  </si>
  <si>
    <t>https://filmfreeway.com/IntendenceFilmFestival</t>
  </si>
  <si>
    <t>150 Broadway, New York, New York 10038 United States</t>
  </si>
  <si>
    <t>InterFaith Film &amp; Music Festival</t>
  </si>
  <si>
    <t>https://www.interfaithfilmfest.com</t>
  </si>
  <si>
    <t>555 Marriott Drive Building 2 Suite 315 Nashville, TN 37214 United States</t>
  </si>
  <si>
    <t>International Black Film Festival (Nashville)</t>
  </si>
  <si>
    <t>https://www.ibffevents.com/</t>
  </si>
  <si>
    <t>https://filmfreeway.com/InternationalBlackFilmFestivalofNashville</t>
  </si>
  <si>
    <t>Oakland, CA 94609 United States</t>
  </si>
  <si>
    <t>International Buddhist Film Festival</t>
  </si>
  <si>
    <t>http://www.buddhistfilmfoundation.org</t>
  </si>
  <si>
    <t>8001 International Drive, Orlando, Florida 32819</t>
  </si>
  <si>
    <t>International Christian Film Festival</t>
  </si>
  <si>
    <t>http://www.internationalcff.org/</t>
  </si>
  <si>
    <t>https://filmfreeway.com/icffofficial</t>
  </si>
  <si>
    <t>3 Barrows Street, Easton, Massachusetts 02356 United States</t>
  </si>
  <si>
    <t>http://100-seconds.org</t>
  </si>
  <si>
    <t>Easton</t>
  </si>
  <si>
    <t>1487 Anderson Ave Apt.1 Fort Lee, New Jersey 07024 United States</t>
  </si>
  <si>
    <t>International Filmmaker Festival of New York</t>
  </si>
  <si>
    <t>http://iffny.com/</t>
  </si>
  <si>
    <t>https://filmfreeway.com/InternationalFilmmakerFestivalofNewYork</t>
  </si>
  <si>
    <t>Fort Lee</t>
  </si>
  <si>
    <t>Orlando, FL 32802</t>
  </si>
  <si>
    <t>International Free Thought Film Festival</t>
  </si>
  <si>
    <t>http://www.freethoughtfilmfest.org/</t>
  </si>
  <si>
    <t>https://filmfreeway.com/InternationalFreethoughtFilmFestival</t>
  </si>
  <si>
    <t>7000 E Mayo Blvd Suite 1059 Phoenix, Arizona 85054 United States</t>
  </si>
  <si>
    <t>International Horror Hotel, The</t>
  </si>
  <si>
    <t>http://www.horrorhotel.net/home.html</t>
  </si>
  <si>
    <t>https://filmfreeway.com/HorrorHotel</t>
  </si>
  <si>
    <t>85 Main Street, Bucksport, Maine 04416</t>
  </si>
  <si>
    <t>International Maritime Film Festival</t>
  </si>
  <si>
    <t>https://www.maritimefilmfestival.com/</t>
  </si>
  <si>
    <t>https://filmfreeway.com/InternationalMaritimeFilmFestival</t>
  </si>
  <si>
    <t xml:space="preserve">Bucksport </t>
  </si>
  <si>
    <t>1007 General Kennedy Ave. Suite 205 The Presidio San Francisco, CA 94129 United States</t>
  </si>
  <si>
    <t>7304 5th Avenue, PMB 184 Brooklyn, New York 11209 United States</t>
  </si>
  <si>
    <t>International Puerto Rican Heritage Film Festival</t>
  </si>
  <si>
    <t>http://iprhff.com/</t>
  </si>
  <si>
    <t>https://filmfreeway.com/iprhff</t>
  </si>
  <si>
    <t>550 Penn Street Northeast, Washington, District of Columbia 20002</t>
  </si>
  <si>
    <t>International Shorts</t>
  </si>
  <si>
    <t>http://www.international-shorts.com/</t>
  </si>
  <si>
    <t>https://filmfreeway.com/InternationalShorts</t>
  </si>
  <si>
    <t xml:space="preserve">Washington </t>
  </si>
  <si>
    <t>718 South Higgins Ave Missoula, Montana 59801 United States</t>
  </si>
  <si>
    <t>700 Locust St Suite 100 Des Moines, Iowa 50309 United States</t>
  </si>
  <si>
    <t>Interrobang Film Festival</t>
  </si>
  <si>
    <t>http://desmoinesartsfestival.org/interrobangfilmfestival/</t>
  </si>
  <si>
    <t>https://filmfreeway.com/InterrobangFilmFestival</t>
  </si>
  <si>
    <t>Des Moines</t>
  </si>
  <si>
    <t>105 Becker Communication Studies Building Iowa City, Iowa 52242 United States</t>
  </si>
  <si>
    <t>Iowa City International Documentary Film Festival</t>
  </si>
  <si>
    <t>https://icdocs.wordpress.com/</t>
  </si>
  <si>
    <t>https://filmfreeway.com/icdocs</t>
  </si>
  <si>
    <t>Iowa City</t>
  </si>
  <si>
    <t>6 Beach Road, 544 Tiburon, CA 94920 United States</t>
  </si>
  <si>
    <t>Iranian Film Festival - San Francisco</t>
  </si>
  <si>
    <t>http://iranianfilmfestival.org/</t>
  </si>
  <si>
    <t>https://filmfreeway.com/IranianFilmFestivalSanFrancisco</t>
  </si>
  <si>
    <t>164 North State Street Chicago, IL 60601</t>
  </si>
  <si>
    <t>https://hiberniantransmedia.org/moviehooley/</t>
  </si>
  <si>
    <t>https://filmfreeway.com/IrishAmericanMovieHooley</t>
  </si>
  <si>
    <t>48 Highland Street, Waltham, MA 02453</t>
  </si>
  <si>
    <t>13700 Alton Parkway #154 Irvine, Ca 92618 United States</t>
  </si>
  <si>
    <t>Irvine International Film Festival</t>
  </si>
  <si>
    <t>https://www.irvinefilmfest.com/</t>
  </si>
  <si>
    <t>https://filmfreeway.com/IrvineInternationalFilmFestival</t>
  </si>
  <si>
    <t>Irvine</t>
  </si>
  <si>
    <t>324 S. Beverly Dr. #424, Beverly Hills CA 90212</t>
  </si>
  <si>
    <t>Israel Film Festival (Los Angeles)</t>
  </si>
  <si>
    <t>http://www.israelfilmfestival.com/</t>
  </si>
  <si>
    <t>9475 Mackenzie, St. Louis, MO 63123 United States</t>
  </si>
  <si>
    <t>Short, Misc. Ethnic, Cultural, Foreign Focus (etc)</t>
  </si>
  <si>
    <t>69 Brown Street Box 1930 Providence, Rhode Island 02912 United States</t>
  </si>
  <si>
    <t>1996 San Marco Boulevard, Jacksonville, Florida 32207 United States</t>
  </si>
  <si>
    <t>Jacksonville Film Festival</t>
  </si>
  <si>
    <t>https://jacksonvillefilmfestival.com</t>
  </si>
  <si>
    <t>Jacksonville</t>
  </si>
  <si>
    <t>200 N Blvd, Richmond, Virginia 23220</t>
  </si>
  <si>
    <t>James River Shorts</t>
  </si>
  <si>
    <t>http://www.jamesriverfilm.org/</t>
  </si>
  <si>
    <t>https://filmfreeway.com/JamesRiverShortFilms</t>
  </si>
  <si>
    <t>100 North Central Avenue, Los Angeles, California 90012 United States</t>
  </si>
  <si>
    <t>Japan Film Festival Los Angeles</t>
  </si>
  <si>
    <t>https://www.jffla.org</t>
  </si>
  <si>
    <t>100 Grant Avenue, Deal, New Jersey 07723</t>
  </si>
  <si>
    <t>Jersey Shore Film Festival</t>
  </si>
  <si>
    <t>https://www.jerseyshorefilmfestival.com/</t>
  </si>
  <si>
    <t>https://filmfreeway.com/JerseyShoreFilmFestival2020</t>
  </si>
  <si>
    <t>Deal</t>
  </si>
  <si>
    <t>1789 South Braddock Avenue Suite 565 Pittsburgh, PA 15218 United States</t>
  </si>
  <si>
    <t>2500 S. Presa San Antonio, TX 78210</t>
  </si>
  <si>
    <t>Josiah Media Festival (Urban 15)</t>
  </si>
  <si>
    <t>https://urban15.org/josiah-media-festival/</t>
  </si>
  <si>
    <t>https://filmfreeway.com/JosiahMediaFestival</t>
  </si>
  <si>
    <t>San Antonio</t>
  </si>
  <si>
    <t>3914 N. Clark Street Chicago, IL 60613 United States</t>
  </si>
  <si>
    <t>Juggernaut: Chicago’s Sci-Fi and Fantasmi Short Film Festival</t>
  </si>
  <si>
    <t>https://www.juggernautfilmfestival.com/</t>
  </si>
  <si>
    <t>https://filmfreeway.com/JuggernautFilmFestival</t>
  </si>
  <si>
    <t>405 Main Street, Dubuque, Iowa 52001</t>
  </si>
  <si>
    <t>25 West 43rd St. New York, NY 10036</t>
  </si>
  <si>
    <t>http://www.kaffny.org</t>
  </si>
  <si>
    <t>https://filmfreeway.com/kaffny</t>
  </si>
  <si>
    <t>4741 Central #306 Kansas City, MO 64112 United States</t>
  </si>
  <si>
    <t>3859 W. 95th St Overland Park, KS 66206 United States</t>
  </si>
  <si>
    <t>Kansas International Film Festival</t>
  </si>
  <si>
    <t>http://www.kansasfilm.com/</t>
  </si>
  <si>
    <t>https://filmfreeway.com/KansasInternationalFilmFestival</t>
  </si>
  <si>
    <t>Overland Park</t>
  </si>
  <si>
    <t>108-22 Queens Boulevard, Forest Hills, New York 11375 United States</t>
  </si>
  <si>
    <t>Kew Gardens Festival of Cinema</t>
  </si>
  <si>
    <t>http://www.festivalofcinemanyc.com</t>
  </si>
  <si>
    <t>Forest Hills</t>
  </si>
  <si>
    <t>516 Duval Street, Key West, Florida 33040</t>
  </si>
  <si>
    <t>Key West Film Festival</t>
  </si>
  <si>
    <t>https://kwfilmfest.com/</t>
  </si>
  <si>
    <t>https://filmfreeway.com/KeyWestFilmFestival</t>
  </si>
  <si>
    <t>Key West</t>
  </si>
  <si>
    <t>58 Park Ave, New York, NY 10016</t>
  </si>
  <si>
    <t>Kicking + Screaming Soccer Film Festival</t>
  </si>
  <si>
    <t>http://www.kickingandscreening.com/</t>
  </si>
  <si>
    <t>https://filmfreeway.com/KickingScreeningSoccerFilmFestival</t>
  </si>
  <si>
    <t>6116 N. Central Expressway, Suite 105 Dallas, Texas 75206 United States</t>
  </si>
  <si>
    <t>KidFilm Festival</t>
  </si>
  <si>
    <t>http://www.usafilmfestival.com/</t>
  </si>
  <si>
    <t>https://filmfreeway.com/KidFilmFestival</t>
  </si>
  <si>
    <t>2989 Patty Hollow Court Decatur, GA 30034 United States</t>
  </si>
  <si>
    <t>Kids' Video Connection Children's Film Festival</t>
  </si>
  <si>
    <t>http://kidsvideoconnection.org/</t>
  </si>
  <si>
    <t>https://filmfreeway.com/KidsVideoConnectionsFamilyFilmFestival</t>
  </si>
  <si>
    <t>Decatur</t>
  </si>
  <si>
    <t>180 S. 4 Street Suite 2 s Brooklyn, NY 11211 United States</t>
  </si>
  <si>
    <t>Short, Children's</t>
  </si>
  <si>
    <t>KidsFilmFest</t>
  </si>
  <si>
    <t>http://www.kidsfilmfest.org/</t>
  </si>
  <si>
    <t>https://filmfreeway.com/kidsfilmfest</t>
  </si>
  <si>
    <t>718 South Higgins Avenue, Missoula, Montana 59801</t>
  </si>
  <si>
    <t>Kinetiscope: International Screendance Film Festival</t>
  </si>
  <si>
    <t>https://kinetoscopefilmfestival.org/</t>
  </si>
  <si>
    <t>https://filmfreeway.com/KinetoscopeScreendanceFestival</t>
  </si>
  <si>
    <t>1822 North Vermont Avenue, Los Angeles, California 90027</t>
  </si>
  <si>
    <t>LA Dance Film Festival</t>
  </si>
  <si>
    <t>http://ladancefilmfest.org/</t>
  </si>
  <si>
    <t>https://filmfreeway.com/LADanceFilmFestival</t>
  </si>
  <si>
    <t>324 S. Beverly Dr. #436 Beverly Hills, CA 90212 United States</t>
  </si>
  <si>
    <t>La Femme Film Festival</t>
  </si>
  <si>
    <t>http://www.lafemme.org/</t>
  </si>
  <si>
    <t>https://filmfreeway.com/LaFemmeInternationalFilmFestival</t>
  </si>
  <si>
    <t>916 N. Formosa Ave., Los Angeles, CA 90046</t>
  </si>
  <si>
    <t>LA Indie Film Festival</t>
  </si>
  <si>
    <t>https://laindiefilmfest.com/</t>
  </si>
  <si>
    <t>https://filmfreeway.com/LAINDIEFILMFESTIVAL</t>
  </si>
  <si>
    <t>438 Camino Del Rio S. #116 San Diego, California 92108 United States</t>
  </si>
  <si>
    <t>La Jolla International Fashion Film Festival</t>
  </si>
  <si>
    <t>http://www.ljfff.com/</t>
  </si>
  <si>
    <t>https://filmfreeway.com/LaJollaInternationalFashionFilmFestival</t>
  </si>
  <si>
    <t>1000 W Olympic Blvd, Los Angeles, California 90015</t>
  </si>
  <si>
    <t>LA Shorts International Film Festival</t>
  </si>
  <si>
    <t>http://lashortsfest.com/content.asp?PageID=2</t>
  </si>
  <si>
    <t>https://filmfreeway.com/LAShortsFest</t>
  </si>
  <si>
    <t>311 N Robertson Blvd Suite #902 Beverly Hills, CA 90211 United States</t>
  </si>
  <si>
    <t>Lady Filmmakers Festival</t>
  </si>
  <si>
    <t>http://www.ladyfilmmakers.com/</t>
  </si>
  <si>
    <t>https://filmfreeway.com/LadyFilmmakersFestival</t>
  </si>
  <si>
    <t>2314 Washington Blvd. Ogden, UT 84401 United States</t>
  </si>
  <si>
    <t>Lady Wild Film Fest</t>
  </si>
  <si>
    <t>https://andshesdopetoo.com/pages/lady-wild-film-fest</t>
  </si>
  <si>
    <t>https://filmfreeway.com/LadyWildFilmFest</t>
  </si>
  <si>
    <t>Ogden</t>
  </si>
  <si>
    <t>27984 Hwy 189, Lake Arrowhead, California 92352 United States</t>
  </si>
  <si>
    <t>Lake Arrowhead Film Festival</t>
  </si>
  <si>
    <t>https://lakearrowheadfilmfest.com</t>
  </si>
  <si>
    <t>Lake Arrowhead</t>
  </si>
  <si>
    <t>900 South Huntington Street, Sulphur, Louisiana 70663</t>
  </si>
  <si>
    <t>Lake Charles Film &amp; Music Festival</t>
  </si>
  <si>
    <t>http://www.lakecharlesfilmfestival.com/index.html</t>
  </si>
  <si>
    <t>https://filmfreeway.com/LakeCharlesFilmFestival</t>
  </si>
  <si>
    <t>Lake Charles</t>
  </si>
  <si>
    <t>19351 W Washington St, Grayslake, IL 60030</t>
  </si>
  <si>
    <t>Lake County Film Festival, The</t>
  </si>
  <si>
    <t>https://www.lakecountyfilmfestival.org</t>
  </si>
  <si>
    <t>Grayslake</t>
  </si>
  <si>
    <t>17 Algonquin Drive, Lake Placid, New York 12946 United States</t>
  </si>
  <si>
    <t xml:space="preserve">Short </t>
  </si>
  <si>
    <t>Lake Placid Film Festival</t>
  </si>
  <si>
    <t>https://lakeplacidfilmfestival.org</t>
  </si>
  <si>
    <t>Lake Placid</t>
  </si>
  <si>
    <t>Lakeway, Texas 78738 United States</t>
  </si>
  <si>
    <t>Lake Travis Film Festival</t>
  </si>
  <si>
    <t xml:space="preserve">laketravisfilmfestival.com </t>
  </si>
  <si>
    <t>Lakeway</t>
  </si>
  <si>
    <t>237 North Prince Street Suite 304 Lancaster, PA 17603 United States</t>
  </si>
  <si>
    <t>Lancaster International Short Film Festival</t>
  </si>
  <si>
    <t>http://lancastershortfilmfest.com/</t>
  </si>
  <si>
    <t>https://filmfreeway.com/LancasterInternationalShortFilmFestival</t>
  </si>
  <si>
    <t>Lancaster</t>
  </si>
  <si>
    <t>700 South Telshor Boulevard, Las Cruces, New Mexico 88011</t>
  </si>
  <si>
    <t>Las Cruces International Film Festival</t>
  </si>
  <si>
    <t>http://lascrucesfilmfest.com/</t>
  </si>
  <si>
    <t>https://filmfreeway.com/LasCrucesInternationalFilmFestival</t>
  </si>
  <si>
    <t>9090 Alta Drive, Las Vegas, Nevada 89144</t>
  </si>
  <si>
    <t>400 Stewart Ave, Las Vegas, Nevada 89101</t>
  </si>
  <si>
    <t>Las Vegas Film Festival</t>
  </si>
  <si>
    <t>http://www.lvff.com/</t>
  </si>
  <si>
    <t>https://filmfreeway.com/lvff</t>
  </si>
  <si>
    <t>745 State Street, Orem, Utah 84058</t>
  </si>
  <si>
    <t>LDS Film Festival</t>
  </si>
  <si>
    <t>http://ldsfilmfest.com/</t>
  </si>
  <si>
    <t>https://filmfreeway.com/LDSFilmFestival</t>
  </si>
  <si>
    <t>Orem</t>
  </si>
  <si>
    <t>345 North College Street, Charlotte, North Carolina 28202 United States</t>
  </si>
  <si>
    <t>Black/African/African American, Women's, Short</t>
  </si>
  <si>
    <t>Legacy of Black Women Film Showcase</t>
  </si>
  <si>
    <t>http://www.deltasofcharlotte.org</t>
  </si>
  <si>
    <t>708 W Franklin St Boise, ID 83702 United States</t>
  </si>
  <si>
    <t>Les Bois Film Festival</t>
  </si>
  <si>
    <t>https://www.lttv.org/les-bois-film-festival/</t>
  </si>
  <si>
    <t>https://filmfreeway.com/LesBoisFilmFestival</t>
  </si>
  <si>
    <t>Phoenix, AZ 85004</t>
  </si>
  <si>
    <t>Women's, Underground</t>
  </si>
  <si>
    <t>Les Femmes Underground International Film Festival</t>
  </si>
  <si>
    <t>https://www.lesfemmesinternational.org/</t>
  </si>
  <si>
    <t>https://filmfreeway.com/LesFemmesUndergroundFilmFestival</t>
  </si>
  <si>
    <t>5300 Melrose Avenue, Los Angeles, California 90038</t>
  </si>
  <si>
    <t>Life Fest Film Festival</t>
  </si>
  <si>
    <t>http://lifefilmfest.com/</t>
  </si>
  <si>
    <t>https://filmfreeway.com/LifeFestFilmFestival</t>
  </si>
  <si>
    <t>216 S Grant St, Denver, Co 80209</t>
  </si>
  <si>
    <t>Life In Motion: A Colorado Dance Film Festival</t>
  </si>
  <si>
    <t>https://www.lifeartdance.org/film-festival</t>
  </si>
  <si>
    <t>https://filmfreeway.com/LifeinMotion</t>
  </si>
  <si>
    <t>2948 16th Street, San Francisco, CA</t>
  </si>
  <si>
    <t>Experimental, Video Art (etc), Misc. Niche</t>
  </si>
  <si>
    <t>120 Long Beach Boulevard, Long Beach Township, New Jersey 08008</t>
  </si>
  <si>
    <t>http://lighthousefilmfestival.org/</t>
  </si>
  <si>
    <t>https://filmfreeway.com/LighthouseInternationalFilmFestival</t>
  </si>
  <si>
    <t>Long Beach Township</t>
  </si>
  <si>
    <t>5425 Renwick Dr. Houston, TX 77081 United States</t>
  </si>
  <si>
    <t>Literally Short Film Festival</t>
  </si>
  <si>
    <t>https://www.literallyshort.com/</t>
  </si>
  <si>
    <t>https://filmfreeway.com/LiterallyShortFilmFestival</t>
  </si>
  <si>
    <t>1515 12th Avenue, Seattle, WA 98122</t>
  </si>
  <si>
    <t xml:space="preserve">Local Sightings Film Festival </t>
  </si>
  <si>
    <t>https://nwfilmforum.org/festivals/local-sightings-film-festival-pacific-nw/</t>
  </si>
  <si>
    <t>https://filmfreeway.com/LocalSightingsFilmFestival</t>
  </si>
  <si>
    <t>3233 East Speedway Boulevard, Tucson, AZ 85716</t>
  </si>
  <si>
    <t>Loft Film Fest</t>
  </si>
  <si>
    <t>https://loftfilmfest.org/</t>
  </si>
  <si>
    <t>https://filmfreeway.com/LoftFilmFest</t>
  </si>
  <si>
    <t>209 W. 2nd Street Suite 248 Fort Worth, Texas 76102 United States</t>
  </si>
  <si>
    <t>Lone Star Film Festival</t>
  </si>
  <si>
    <t>https://www.lonestarfilmfestival.com/</t>
  </si>
  <si>
    <t>https://filmfreeway.com/LoneStarFilmFestival</t>
  </si>
  <si>
    <t>Long Beach, New York 11561 United States</t>
  </si>
  <si>
    <t>Long Beach International Film Festival</t>
  </si>
  <si>
    <t>http://www.longbeachfilm.com/</t>
  </si>
  <si>
    <t>https://filmfreeway.com/LBIFF</t>
  </si>
  <si>
    <t>Long Beach</t>
  </si>
  <si>
    <t>2017 East 4th Street, Long Beach, CA 90814</t>
  </si>
  <si>
    <t>Long Beach QFilm Festival</t>
  </si>
  <si>
    <t>http://qfilmslongbeach.com/</t>
  </si>
  <si>
    <t>https://filmfreeway.com/LongBeachQFilmFestival</t>
  </si>
  <si>
    <t>Bellmore Movies 222 Pettit Avenue Bellmore, NY 11710 United States</t>
  </si>
  <si>
    <t>Long Island International Film Expo</t>
  </si>
  <si>
    <t>http://longislandfilm.com/</t>
  </si>
  <si>
    <t>https://filmfreeway.com/LIIFETheLongIslandInternationalFilmExpo</t>
  </si>
  <si>
    <t>Bellmore</t>
  </si>
  <si>
    <t>5 East Edenton Street Raleigh, NC 27601</t>
  </si>
  <si>
    <t>Longleaf Film Festival</t>
  </si>
  <si>
    <t>http://www.longleaffilmfestival.com/</t>
  </si>
  <si>
    <t>https://filmfreeway.com/LongleafFilmFestival</t>
  </si>
  <si>
    <t>Raleigh</t>
  </si>
  <si>
    <t>201 High Street Farmville, VA 23909</t>
  </si>
  <si>
    <t>Longwood Animation Film Festival</t>
  </si>
  <si>
    <t>https://longwoodlaff.wixsite.com/laff</t>
  </si>
  <si>
    <t>https://filmfreeway.com/LongwoodAnimationFilmFestival</t>
  </si>
  <si>
    <t>Farmville</t>
  </si>
  <si>
    <t>709 Broad Street, Chattanooga, Tennessee 37402</t>
  </si>
  <si>
    <t>Lookout Wild Film Festival</t>
  </si>
  <si>
    <t>https://lookoutfilmfestival.org/</t>
  </si>
  <si>
    <t>https://filmfreeway.com/LookoutWildFilmFestival</t>
  </si>
  <si>
    <t>11110 Victory Boulevard, Los Angeles, California 91606</t>
  </si>
  <si>
    <t>http://blog.laafest.com/</t>
  </si>
  <si>
    <t>https://filmfreeway.com/LAAF</t>
  </si>
  <si>
    <t>120 Judge John Aiso Street Los Angeles, California 90012 United States</t>
  </si>
  <si>
    <t>Los Angeles Asian Pacific Film Festival</t>
  </si>
  <si>
    <t>http://festival.vconline.org/2018/</t>
  </si>
  <si>
    <t>https://filmfreeway.com/laapff</t>
  </si>
  <si>
    <t>916 N Formosa Ave, West Hollywood, CA 90046</t>
  </si>
  <si>
    <t>Los Angeles Diversity Film Festival</t>
  </si>
  <si>
    <t>https://www.ladff.com/</t>
  </si>
  <si>
    <t>https://filmfreeway.com/LADFF</t>
  </si>
  <si>
    <t>West Hollywood</t>
  </si>
  <si>
    <t>13547 Ventura Blvd Suite #438 Sherman Oaks, CA 91423 United States</t>
  </si>
  <si>
    <t>3540 N Mission Rd, Los Angeles, California 90031</t>
  </si>
  <si>
    <t>22817 Ventura Blvd. #173 Los Angeles, CA 91364 United States</t>
  </si>
  <si>
    <t>Los Angeles International Underground Film Festival</t>
  </si>
  <si>
    <t>http://www.laufilmfest.com/LAIUFF_HOME.html</t>
  </si>
  <si>
    <t>https://filmfreeway.com/LosAngelesInternationalUndergroundFilmFestival</t>
  </si>
  <si>
    <t>3250 Wilshire Blvd., Suite 1250 Los Angeles, CA 90010 United States</t>
  </si>
  <si>
    <t>6801 Hollywood Boulevard, Los Angeles, California 90028 United States</t>
  </si>
  <si>
    <t>Los Angeles Latino International Film Festival</t>
  </si>
  <si>
    <t>https://latinofilm.org</t>
  </si>
  <si>
    <t>4872 Topanga Canyon Blvd. #217 Los Angeles, CA 91364 United States</t>
  </si>
  <si>
    <t>Los Angeles Reel Film Festival</t>
  </si>
  <si>
    <t>http://www.lareelfilmfest.com</t>
  </si>
  <si>
    <t>https://filmfreeway.com/losangelesreelfilmfestival</t>
  </si>
  <si>
    <t>CA`</t>
  </si>
  <si>
    <t>Los Angeles, CA 90060</t>
  </si>
  <si>
    <t>Los Angeles Short Film Festival</t>
  </si>
  <si>
    <t>https://www.lasff.com/</t>
  </si>
  <si>
    <t>https://filmfreeway.com/losangelesshortfilmfestival</t>
  </si>
  <si>
    <t>1317 N San Fernando blvd #340 Burbank, CA 91504 United States</t>
  </si>
  <si>
    <t>Los Angeles Women's International Film Festival</t>
  </si>
  <si>
    <t>http://www.lawomensfest.com/</t>
  </si>
  <si>
    <t>https://filmfreeway.com/lawomensfest</t>
  </si>
  <si>
    <t>7001 Hollywood Blvd, Los Angeles, CA 90028</t>
  </si>
  <si>
    <t>Los Angeles, Italia</t>
  </si>
  <si>
    <t>http://www.losangelesitalia.com/</t>
  </si>
  <si>
    <t>3600 Dutchmans Ln, Louisville, KY 40205</t>
  </si>
  <si>
    <t>Louisville Jewish Film Festival</t>
  </si>
  <si>
    <t>https://jewishlouisville.org/the-j/j-arts-ideas/film-festival/</t>
  </si>
  <si>
    <t>117 East Kentucky Street Louisville, KY 40203</t>
  </si>
  <si>
    <t>Louisville's International Festival of Films</t>
  </si>
  <si>
    <t>http://louisvillefilmfestival.org/</t>
  </si>
  <si>
    <t>https://filmfreeway.com/LouisvilleInternationalFestivalofFilm</t>
  </si>
  <si>
    <t>7 caruso island court sacramento, ca 95823 United States</t>
  </si>
  <si>
    <t>Love Horror Short Film Festival</t>
  </si>
  <si>
    <t>https://www.sachorrorfilmfest.com/</t>
  </si>
  <si>
    <t>https://filmfreeway.com/LoveHorrorShortFilmFestival</t>
  </si>
  <si>
    <t>11041 Santa Monica Blvd. Suite 715 Los Angeles, CA 90025 United States</t>
  </si>
  <si>
    <t>Love International Film Festival</t>
  </si>
  <si>
    <t>http://loveinternationalfilmfestival.com/</t>
  </si>
  <si>
    <t>https://filmfreeway.com/LoveInternationalFilmFestival</t>
  </si>
  <si>
    <t>608 S Elm Ave Sanford, FL 32771 United States</t>
  </si>
  <si>
    <t>Love Your Shorts Film Festival</t>
  </si>
  <si>
    <t>http://www.loveyourshorts.com/</t>
  </si>
  <si>
    <t>https://filmfreeway.com/LoveYourShortsFilmFestival</t>
  </si>
  <si>
    <t>Sanford</t>
  </si>
  <si>
    <t>181 North 11th Street #401 Brooklyn, NY 11211 United States</t>
  </si>
  <si>
    <t>Lower East Side Film Festival, The</t>
  </si>
  <si>
    <t>http://www.lesfilmfestival.com/</t>
  </si>
  <si>
    <t>https://filmfreeway.com/lesfilmfestival</t>
  </si>
  <si>
    <t>105 - North Forrest Drive Milford, PA 18337 United States</t>
  </si>
  <si>
    <t>Macabre Faire Film Festival</t>
  </si>
  <si>
    <t>http://www.macabrefairefilmfest.com/</t>
  </si>
  <si>
    <t>https://filmfreeway.com/MacabreFaireFilmFestival</t>
  </si>
  <si>
    <t>355 Martin Luther King Jr. Blvd, Macon, GA 31201</t>
  </si>
  <si>
    <t>Macon Film Festival</t>
  </si>
  <si>
    <t>http://www.maconfilmfestival.com/</t>
  </si>
  <si>
    <t>https://filmfreeway.com/MaconFilmFest</t>
  </si>
  <si>
    <t>Macon</t>
  </si>
  <si>
    <t>101 Hollywood Boulevard, Starkville, Mississippi 39759</t>
  </si>
  <si>
    <t>Magnolia Independent Film Festival</t>
  </si>
  <si>
    <t>http://magnoliafilmfest.com/</t>
  </si>
  <si>
    <t>https://filmfreeway.com/MagnoliaIndependentFilmFestival</t>
  </si>
  <si>
    <t>Starkville</t>
  </si>
  <si>
    <t>10 Water St. Suite 106 Waterville, ME 04901 United States</t>
  </si>
  <si>
    <t>Maine International Film Festival</t>
  </si>
  <si>
    <t>https://www.miff.org/</t>
  </si>
  <si>
    <t>https://filmfreeway.com/MIFF</t>
  </si>
  <si>
    <t>Waterville</t>
  </si>
  <si>
    <t>Portland, ME  04112</t>
  </si>
  <si>
    <t>222 St John St Suite 2G Portland, Maine 04102 United States</t>
  </si>
  <si>
    <t>Maine Outdoor Film Festival</t>
  </si>
  <si>
    <t>http://maineoutdoorfilmfestival.com/</t>
  </si>
  <si>
    <t>https://filmfreeway.com/MaineOutdoorFilmFest</t>
  </si>
  <si>
    <t>Malibu, CA 90265 United States</t>
  </si>
  <si>
    <t>Malibu International Film Festival</t>
  </si>
  <si>
    <t>https://filmfreeway.com/malibu</t>
  </si>
  <si>
    <t>Malibou</t>
  </si>
  <si>
    <t>Mammoth Lakes, CA 93546</t>
  </si>
  <si>
    <t>350 Fifth Avenue 59th Floor New York, NY 10118 United States</t>
  </si>
  <si>
    <t>319 Lafayette Street # 126 NYC, NY 10012 United States</t>
  </si>
  <si>
    <t>Manhattan Short Film Festival</t>
  </si>
  <si>
    <t>http://www.msfilmfest.com/</t>
  </si>
  <si>
    <t>https://filmfreeway.com/MANHATTANSHORT</t>
  </si>
  <si>
    <t>1341 G St NW Washington, DC 20005 United States</t>
  </si>
  <si>
    <t>March on Washington Film Festival</t>
  </si>
  <si>
    <t>https://www.marchonwashingtonfilmfestival.org/</t>
  </si>
  <si>
    <t>https://filmfreeway.com/MarchonWashingtonFilmFestival</t>
  </si>
  <si>
    <t>426 Columbus Ave, New York, NY 10024</t>
  </si>
  <si>
    <t>https://www.amnh.org/explore/margaret-mead-film-festival</t>
  </si>
  <si>
    <t>https://filmfreeway.com/MargaretMeadFilmFestival</t>
  </si>
  <si>
    <t>9 State Road Chilmark, MA 02535</t>
  </si>
  <si>
    <t>79 Beach Road, Tisbury, Massachusetts 02568</t>
  </si>
  <si>
    <t>http://mvfilmsociety.com/festivals/marthas-vineyard-international-film-festival/</t>
  </si>
  <si>
    <t>https://filmfreeway.com/MarthasVineyardInternationalFilmFestival</t>
  </si>
  <si>
    <t>Vineyard Haven</t>
  </si>
  <si>
    <t>5 West North Avenue, Baltimore, Maryland 21201</t>
  </si>
  <si>
    <t>Maryland Film Festival</t>
  </si>
  <si>
    <t>https://mdfilmfest.com/</t>
  </si>
  <si>
    <t>https://filmfreeway.com/TheMarylandFilmFestival</t>
  </si>
  <si>
    <t>36 South Potomac Street Suite 201 Hagerstown, MD 21740 United States</t>
  </si>
  <si>
    <t>7 Medford Street, Arlington, Massachusetts 02474</t>
  </si>
  <si>
    <t xml:space="preserve">Massachusettes Independent Film Festival, The </t>
  </si>
  <si>
    <t>http://www.massiff.org/</t>
  </si>
  <si>
    <t>https://filmfreeway.com/theMassachusettsIndependentFilmFestival</t>
  </si>
  <si>
    <t>Arlington</t>
  </si>
  <si>
    <t>Paia, HI 96779</t>
  </si>
  <si>
    <t>https://www.mauifilmfestival.com/</t>
  </si>
  <si>
    <t>https://filmfreeway.com/MauiFilmFestival</t>
  </si>
  <si>
    <t>Maui</t>
  </si>
  <si>
    <t>801 SW Baker St McMinnville, OR 97128 United States</t>
  </si>
  <si>
    <t>McMinnville Short Film Festival</t>
  </si>
  <si>
    <t>http://mcminnvillefilmfest.org/</t>
  </si>
  <si>
    <t>https://filmfreeway.com/McMinnvilleShortFilmFestival</t>
  </si>
  <si>
    <t>McMinnville</t>
  </si>
  <si>
    <t>286 Jones Dr. Milledgeville, Georgia 31062 United States</t>
  </si>
  <si>
    <t>104 East State Street, Media, Pennsylvania 19063</t>
  </si>
  <si>
    <t>1800 West Hibiscus Blvd., Melbourne, FL 32901 United States</t>
  </si>
  <si>
    <t>Melbourne Independent Filmmakers Festival, The</t>
  </si>
  <si>
    <t>http://www.melbournefilmfest.com</t>
  </si>
  <si>
    <t>Melbourne</t>
  </si>
  <si>
    <t>Mendocino, California 95460</t>
  </si>
  <si>
    <t>Mendocino Film Festival</t>
  </si>
  <si>
    <t>http://www.mendocinofilmfestival.org</t>
  </si>
  <si>
    <t>https://filmfreeway.com/MendocinoFilmFestival</t>
  </si>
  <si>
    <t>Mendocino</t>
  </si>
  <si>
    <t>5777 W. Century Blvd S1070 Los Angeles, CA 90045 United States</t>
  </si>
  <si>
    <t>300 NE 2nd Ave, Miami, FL 33132</t>
  </si>
  <si>
    <t>1130 Washington Avenue, Miami Beach, Florida 33139</t>
  </si>
  <si>
    <t>http://miamindiefest.com/</t>
  </si>
  <si>
    <t>https://filmfreeway.com/miamindiefest</t>
  </si>
  <si>
    <t>7452 SW 166th Terrace Palmetto Bay, FL 33157 United States</t>
  </si>
  <si>
    <t>Miami International Science Fiction Film Festival</t>
  </si>
  <si>
    <t>https://miscifi.com/</t>
  </si>
  <si>
    <t>https://filmfreeway.com/miscifi</t>
  </si>
  <si>
    <t>4200 Biscayne Blvd, Miami Fl 33137</t>
  </si>
  <si>
    <t xml:space="preserve">Miami Jewish Film Festival </t>
  </si>
  <si>
    <t>https://miamijewishfilmfestival.org/</t>
  </si>
  <si>
    <t>https://filmfreeway.com/MiamiJewishFilmFestival</t>
  </si>
  <si>
    <t>300 Southeast 3rd Street, Miami, Florida 33131</t>
  </si>
  <si>
    <t>Miami Short Film Festival</t>
  </si>
  <si>
    <t>http://www.miamishortfilmfestival.com/</t>
  </si>
  <si>
    <t>https://filmfreeway.com/MIAMISHORTFILMFESTIVAL</t>
  </si>
  <si>
    <t>Middleburg, VA 20118-1566</t>
  </si>
  <si>
    <t>https://www.middleburgfilm.org/</t>
  </si>
  <si>
    <t>https://filmfreeway.com/MiddleburgFilmFestival</t>
  </si>
  <si>
    <t>Middleburg</t>
  </si>
  <si>
    <t>68 S. Pleasant St., Middlebury, VT 05753</t>
  </si>
  <si>
    <t xml:space="preserve">Middlebury New Filmmakers Festival </t>
  </si>
  <si>
    <t>https://middfilmfest.org/</t>
  </si>
  <si>
    <t>https://filmfreeway.com/MiddleburyNewFilmmakersFestival</t>
  </si>
  <si>
    <t>Middlebury</t>
  </si>
  <si>
    <t>315 South Barstow Street, Eau Claire, Wisconsin 54701</t>
  </si>
  <si>
    <t>Midwest WeirdFest</t>
  </si>
  <si>
    <t>http://www.midwestweirdfest.com/</t>
  </si>
  <si>
    <t>https://filmfreeway.com/MidWestWeirdFest</t>
  </si>
  <si>
    <t>Eau Claire</t>
  </si>
  <si>
    <t>1001 Lootens Place Suite 220 San Rafael, CA 94901 United States</t>
  </si>
  <si>
    <t>https://www.mvff.com/</t>
  </si>
  <si>
    <t>https://filmfreeway.com/MillValleyFilmFestival</t>
  </si>
  <si>
    <t>1037 West McKinley Ave, Milwaukee, WI 53205</t>
  </si>
  <si>
    <t xml:space="preserve">Milwaukee Film Festival </t>
  </si>
  <si>
    <t>https://mkefilm.org/</t>
  </si>
  <si>
    <t>https://mkefilm.org/for-filmmakers/call-for-entries</t>
  </si>
  <si>
    <t>2900 W. Center St., Milwaukee, WI 53210</t>
  </si>
  <si>
    <t>Milwaukee Jewish Film Festival</t>
  </si>
  <si>
    <t>https://www.jccmilwaukee.org/filmfestival</t>
  </si>
  <si>
    <t>2324 W Wisconsin Ave #66 Milwaukee, Wisconsin 53233 United States</t>
  </si>
  <si>
    <t>Milwaukee Short Film Festival</t>
  </si>
  <si>
    <t>http://www.milwaukeeindependentfilmsociety.org/</t>
  </si>
  <si>
    <t>https://filmfreeway.com/MilwaukeeShortFilmFestival</t>
  </si>
  <si>
    <t>5906 West Vliet Street, Milwaukee, Wisconsin 53208</t>
  </si>
  <si>
    <t>2400 E. Kenwood Ave Milwaukee, WI 53211 United States</t>
  </si>
  <si>
    <t>125 SE Main Street Suite 341 Minneapolis, MN 55414 United States</t>
  </si>
  <si>
    <t>Missoula, MT 59807</t>
  </si>
  <si>
    <t>MisCon International Short Film Festival</t>
  </si>
  <si>
    <t>http://www.miscon.org/filmfestival/</t>
  </si>
  <si>
    <t>https://filmfreeway.com/MisConInternationalShortFilmFestival</t>
  </si>
  <si>
    <t>28 E 1st St, New York, NY 10003</t>
  </si>
  <si>
    <t>LGBTQ+, Experimental, Video Art (etc)</t>
  </si>
  <si>
    <t>MIX Fest</t>
  </si>
  <si>
    <t>https://www.mixnyc.org/</t>
  </si>
  <si>
    <t>25 Roxbury Street, Suite 207 Keene, NH 03431 United States</t>
  </si>
  <si>
    <t>525 Lighthouse Avenue, Pacific Grove, California 93950</t>
  </si>
  <si>
    <t>Monarch Film Festival</t>
  </si>
  <si>
    <t>http://monarchfilmfestival.com</t>
  </si>
  <si>
    <t>https://filmfreeway.com/MonarchFilmFestival</t>
  </si>
  <si>
    <t>Pacific Grove`</t>
  </si>
  <si>
    <t>21 Bridge Avenue, Red Bank, New Jersey 07701</t>
  </si>
  <si>
    <t>Monmouth Film Festival</t>
  </si>
  <si>
    <t>https://www.monmouthfilmfestival.org/</t>
  </si>
  <si>
    <t>https://filmfreeway.com/MonmouthFilmFestival</t>
  </si>
  <si>
    <t>302 Bedford Ave, Brooklyn, NY 11249 United States</t>
  </si>
  <si>
    <t>MONO NO AWARE</t>
  </si>
  <si>
    <t>http://mononoawarefilm.com/</t>
  </si>
  <si>
    <t>718 South Higgins Avenue, Missoula, MT 59801</t>
  </si>
  <si>
    <t>www.montanafilmfestival.org</t>
  </si>
  <si>
    <t>https://filmfreeway.com/MontanaFilmFestival</t>
  </si>
  <si>
    <t>505 Bloomfield Avenue, Montclair, NJ 07042</t>
  </si>
  <si>
    <t>1045 East Fairview Avenue, Montgomery, Alabama 36106</t>
  </si>
  <si>
    <t>http://www.montgomeryfilmfestival.com/</t>
  </si>
  <si>
    <t>https://filmfreeway.com/MontgomeryFilmFestival</t>
  </si>
  <si>
    <t>Montgomery</t>
  </si>
  <si>
    <t>118 North Main Street, Rockford, Illinois 61101</t>
  </si>
  <si>
    <t>Mosaic World Film Festival</t>
  </si>
  <si>
    <t>http://mosaicfilmfest.com/</t>
  </si>
  <si>
    <t>https://filmfreeway.com/MosaicWorldFilmFestival</t>
  </si>
  <si>
    <t>Rockford</t>
  </si>
  <si>
    <t>21111 Haggerty Road, Novi, Michigan 48375</t>
  </si>
  <si>
    <t>4557 Colfax Ave North Hollywood, California 91602 United States</t>
  </si>
  <si>
    <t>Mountain &amp; Adventure Film Festival</t>
  </si>
  <si>
    <t>https://filmfestivalflix.com/festival/maff-gathering/#.XBrEqRNKh-U</t>
  </si>
  <si>
    <t>https://filmfreeway.com/MountainAndAdventureFilmFestival</t>
  </si>
  <si>
    <t>North Hollywood</t>
  </si>
  <si>
    <t>109 E. Colorado Suite 1 Telluride, CO 81435</t>
  </si>
  <si>
    <t>Documentary, Environmental/Outdoor/Adventure/Wildlife</t>
  </si>
  <si>
    <t>3315 N. 2nd St., Harrisburg, PA 17110</t>
  </si>
  <si>
    <t>Movieate Underground Film Festival</t>
  </si>
  <si>
    <t>http://www.moviate.org/</t>
  </si>
  <si>
    <t>https://filmfreeway.com/Moviate</t>
  </si>
  <si>
    <t>Harrisburg</t>
  </si>
  <si>
    <t>2786 Shamrock Dr. Muscatine, IA 52761 United States</t>
  </si>
  <si>
    <t>Muscatine Independent Film Festival</t>
  </si>
  <si>
    <t>https://muscatinefilmfest.com/</t>
  </si>
  <si>
    <t>https://filmfreeway.com/MuscatineIndependentFilmFestival</t>
  </si>
  <si>
    <t>Muscatine</t>
  </si>
  <si>
    <t>1278 Glenneyre St., Laguna Beach, CA 92651-3103</t>
  </si>
  <si>
    <t>My HERO International Short Film Festival</t>
  </si>
  <si>
    <t>https://myhero.com/films</t>
  </si>
  <si>
    <t>https://filmfreeway.com/MYHEROIFF</t>
  </si>
  <si>
    <t>Laguna Beach</t>
  </si>
  <si>
    <t>4002 Deville Street, Myrtle Beach, South Carolina 29577</t>
  </si>
  <si>
    <t>Myrtle Beach International Film Festival</t>
  </si>
  <si>
    <t>http://www.myrtlebeachfilmfestival.com/</t>
  </si>
  <si>
    <t>https://filmfreeway.com/MyrtleBeachInternationalFilmFestival</t>
  </si>
  <si>
    <t>Myrtle Beach</t>
  </si>
  <si>
    <t>3735 Franklin Road SW Suite 228 Roanoke, VA 24014 United States</t>
  </si>
  <si>
    <t>MystiCon Independent Film Festival</t>
  </si>
  <si>
    <t>http://mysticon-va.com/</t>
  </si>
  <si>
    <t>https://filmfreeway.com/MystiConIndependentFilmFestival</t>
  </si>
  <si>
    <t>Roanoke</t>
  </si>
  <si>
    <t>200 North Fredonia Street, Nacogdoches, Texas 75961</t>
  </si>
  <si>
    <t>Nacogdoches Film Festival</t>
  </si>
  <si>
    <t>http://www.nacogdochesfilmfestival.com</t>
  </si>
  <si>
    <t>https://filmfreeway.com/NacogdochesFilmFestival</t>
  </si>
  <si>
    <t>Nacagdoches</t>
  </si>
  <si>
    <t>68 Jay Street Suite 319 Brooklyn, New York 11201 United States</t>
  </si>
  <si>
    <t>Napa, CA 94581</t>
  </si>
  <si>
    <t>https://www.cinemanapavalley.org/film/</t>
  </si>
  <si>
    <t>https://filmfreeway.com/NapaValleyFilmFestival</t>
  </si>
  <si>
    <t>Napa Valley</t>
  </si>
  <si>
    <t>5833 Pelican Bay Blvd Naples, FL 34108 United States</t>
  </si>
  <si>
    <t>Naples International Film Festival</t>
  </si>
  <si>
    <t>https://artisnaples.org/naples-international-film-festival/</t>
  </si>
  <si>
    <t>https://filmfreeway.com/NaplesInternationalFilmFestival</t>
  </si>
  <si>
    <t>Naples</t>
  </si>
  <si>
    <t>161 Rains Ave. Nashville, Tennessee 37203 United States</t>
  </si>
  <si>
    <t>Nashville Film Festival</t>
  </si>
  <si>
    <t>https://nashvillefilmfestival.org/</t>
  </si>
  <si>
    <t>https://filmfreeway.com/NashFilm</t>
  </si>
  <si>
    <t>801 Percy Warner Blvd., Nashville, TN 37205</t>
  </si>
  <si>
    <t>Nashville Jewish Film Festival</t>
  </si>
  <si>
    <t>http://nashvillejff.net/</t>
  </si>
  <si>
    <t>1600 6th Street Parker, Arizona 85344 United States</t>
  </si>
  <si>
    <t>NatiVisions Film Festival</t>
  </si>
  <si>
    <t>http://www.nativisions.com/</t>
  </si>
  <si>
    <t>https://filmfreeway.com/NatiVisionsFilmFestival-915947</t>
  </si>
  <si>
    <t>Parker</t>
  </si>
  <si>
    <t>Durham, NC 27709</t>
  </si>
  <si>
    <t>NC South Asian Film Festival</t>
  </si>
  <si>
    <t>https://www.facebook.com/groups/ncisaff/</t>
  </si>
  <si>
    <t>https://filmfreeway.com/ncisaff</t>
  </si>
  <si>
    <t>3111 Saunders Settlement Rd Sanborn, New York 14132 United States</t>
  </si>
  <si>
    <t>NCCC Film &amp; Animation Festival</t>
  </si>
  <si>
    <t>http://www.niagaracc.suny.edu/ncccfilmfestival/</t>
  </si>
  <si>
    <t>https://filmfreeway.com/NCCCFilmFestival</t>
  </si>
  <si>
    <t>Sanborn</t>
  </si>
  <si>
    <t>Nevada City, CA 95959</t>
  </si>
  <si>
    <t>Nevada City Film Festival</t>
  </si>
  <si>
    <t>http://www.nevadacityfilmfestival.com/</t>
  </si>
  <si>
    <t>https://filmfreeway.com/NevadaCityFilmFestival</t>
  </si>
  <si>
    <t>814 South 3rd Street, Las Vegas, Nevada 89101</t>
  </si>
  <si>
    <t>309 West Morgan Street Durham, NC 27701 United States</t>
  </si>
  <si>
    <t>Nevermore Film Festival</t>
  </si>
  <si>
    <t>http://www.carolinatheatre.org/films/festivals/nevermore</t>
  </si>
  <si>
    <t>https://filmfreeway.com/NevermoreFilmFestival</t>
  </si>
  <si>
    <t>20 Lincoln Center Plaza, New York, NY 10023</t>
  </si>
  <si>
    <t>155 Fleet St Portsmouth, NH 03801 United States</t>
  </si>
  <si>
    <t xml:space="preserve">New Hampshire Film Festival </t>
  </si>
  <si>
    <t>https://nhfilmfestival.com/</t>
  </si>
  <si>
    <t>https://filmfreeway.com/NewHampshireFilmFestival</t>
  </si>
  <si>
    <t>Portsmouth</t>
  </si>
  <si>
    <t>66 Hanover St #300, Manchester, NH 03101</t>
  </si>
  <si>
    <t>20 Church Street, New Haven, Connecticut 06510</t>
  </si>
  <si>
    <t>New Haven International Film Festival</t>
  </si>
  <si>
    <t>http://www.newhavenfilmfestival.com/</t>
  </si>
  <si>
    <t>https://filmfreeway.com/NewHavenFilmFestival</t>
  </si>
  <si>
    <t>New Haven</t>
  </si>
  <si>
    <t>6542-A Lower York Rd. #219 New Hope, PA 18938 United States</t>
  </si>
  <si>
    <t>New Hope Film Festival</t>
  </si>
  <si>
    <t>https://newhopefilmfestival.com/</t>
  </si>
  <si>
    <t>https://filmfreeway.com/NewHopeFilmFestival</t>
  </si>
  <si>
    <t>New Hope</t>
  </si>
  <si>
    <t>71 Hamilton Street, New Brunswick, New Jersey 08901</t>
  </si>
  <si>
    <t>New Jersey International Film Festival</t>
  </si>
  <si>
    <t>http://www.njfilmfest.com/</t>
  </si>
  <si>
    <t>https://filmfreeway.com/NewJerseyInternationalFilmFestival</t>
  </si>
  <si>
    <t>New Brunswick</t>
  </si>
  <si>
    <t>760 Northfield Ave West Orange, New Jersey 07052 United States</t>
  </si>
  <si>
    <t>2355 Westwood Blvd. #381 Los Angeles, CA 90064 United States</t>
  </si>
  <si>
    <t>New Media Film Festival</t>
  </si>
  <si>
    <t>https://www.newmediafilmfestival.com/</t>
  </si>
  <si>
    <t>https://filmfreeway.com/NewMediaFilmFestival</t>
  </si>
  <si>
    <t>1215 Prytania Street Suite 423 New Orleans, LA 70130 United States</t>
  </si>
  <si>
    <t>New Orleans Film Festival</t>
  </si>
  <si>
    <t>https://neworleansfilmsociety.org/</t>
  </si>
  <si>
    <t>https://filmfreeway.com/NewOrleansFilmFestival</t>
  </si>
  <si>
    <t>144 West 65th Street, New York, New York 10023 United States</t>
  </si>
  <si>
    <t>New York African Film Festival</t>
  </si>
  <si>
    <t>http://africanfilmny.org</t>
  </si>
  <si>
    <t>https://filmfreeway.com/NYAFF27</t>
  </si>
  <si>
    <t>86 Broadway Woodcliff Lake, NJ 07677</t>
  </si>
  <si>
    <t>New York City Horror Film Festival, The</t>
  </si>
  <si>
    <t>https://nychorrorfest.com/</t>
  </si>
  <si>
    <t>https://filmfreeway.com/NewYorkCityFilmFestival</t>
  </si>
  <si>
    <t>358 West 44th Street Second Floor (Producers Club) New York, NY 10036 United States</t>
  </si>
  <si>
    <t>1350 6th Avenue, New York, New York 10019</t>
  </si>
  <si>
    <t>189 2nd Avenue, New York, NY 10003 United States</t>
  </si>
  <si>
    <t>New York City Mental Health Film Festival</t>
  </si>
  <si>
    <t>http://www.mentalhealthfilmfest.nyc</t>
  </si>
  <si>
    <t>358 West 44th Street Producers Club New York, NY 10036 United States</t>
  </si>
  <si>
    <t>New York, NY United States</t>
  </si>
  <si>
    <t>New York City Short Film Festival</t>
  </si>
  <si>
    <t>http://www.nycshorts.com/</t>
  </si>
  <si>
    <t>https://filmfreeway.com/NewYorkCityShortFilmFestivalNYCShorts</t>
  </si>
  <si>
    <t>70 Lincoln Center Plaza, New York, NY 10023</t>
  </si>
  <si>
    <t>New York Film Festival</t>
  </si>
  <si>
    <t>https://www.filmlinc.org/</t>
  </si>
  <si>
    <t>303 Fifth Avenue, Suite 1007, New York, NY 10016</t>
  </si>
  <si>
    <t>225 Broadway, #2730 New York, New York 10007 United States</t>
  </si>
  <si>
    <t>144 W 65th St, New York, NY 10023</t>
  </si>
  <si>
    <t>New York Jewish Film Festival</t>
  </si>
  <si>
    <t>https://www.filmlinc.org/festivals/new-york-jewish-film-festival/</t>
  </si>
  <si>
    <t>630 Second Ave, New York, NY 10016</t>
  </si>
  <si>
    <t>www.nykfcf.com</t>
  </si>
  <si>
    <t>https://www.nykfcf.com/index/content/call-for-submission/</t>
  </si>
  <si>
    <t>New York City</t>
  </si>
  <si>
    <t>234 West 42nd Street, New York, New York 10036 United States</t>
  </si>
  <si>
    <t>New York Latino Film Festival</t>
  </si>
  <si>
    <t>http://nylatinofilmfestival.com</t>
  </si>
  <si>
    <t>308 Bedford Avenue Brooklyn, New York 11211</t>
  </si>
  <si>
    <t>New York Lift-Off Film Festival</t>
  </si>
  <si>
    <t>https://liftoff.network/</t>
  </si>
  <si>
    <t>https://filmfreeway.com/NewYorkLiftOffFilmFestival</t>
  </si>
  <si>
    <t>15 West 16th Street New York, NY 10011</t>
  </si>
  <si>
    <t>New York Sephardic Jewish Film Festival</t>
  </si>
  <si>
    <t>http://nysephardifilmfestival.org/</t>
  </si>
  <si>
    <t>https://filmfreeway.com/NewYorkSephardicFilmFestival</t>
  </si>
  <si>
    <t>22 E. 12th St., New York, New York 10003</t>
  </si>
  <si>
    <t>New York Shorts International Film Festival</t>
  </si>
  <si>
    <t>https://www.nyshorts.net/</t>
  </si>
  <si>
    <t>https://filmfreeway.com/NYshorts</t>
  </si>
  <si>
    <t>339 Central Avenue, Albany, New York 12206</t>
  </si>
  <si>
    <t>New York State International Film Festival</t>
  </si>
  <si>
    <t>http://www.nysiff.com/</t>
  </si>
  <si>
    <t>https://filmfreeway.com/NYSIFF</t>
  </si>
  <si>
    <t>6 E 70th St, New York, NY 10021</t>
  </si>
  <si>
    <t>New York WILD Film Festival</t>
  </si>
  <si>
    <t>http://www.nywildfilmfestival.com/</t>
  </si>
  <si>
    <t>https://filmfreeway.com/NewYorkWILDFilmFestival</t>
  </si>
  <si>
    <t>49 Washington Street, Newark, NJ, 07102-3176</t>
  </si>
  <si>
    <t>Newark Black Film Festival</t>
  </si>
  <si>
    <t>https://www.newarkmuseum.org/nbff</t>
  </si>
  <si>
    <t>Newark</t>
  </si>
  <si>
    <t>1 Market Square, Newburyport, Massachusetts 01950 United States</t>
  </si>
  <si>
    <t>Newburyport Documentary Film Festival</t>
  </si>
  <si>
    <t>https://www.nbptdocufest.org</t>
  </si>
  <si>
    <t>Newburyport</t>
  </si>
  <si>
    <t>601 West 26th Street, New York, NY 10001</t>
  </si>
  <si>
    <t>https://newfest.org/</t>
  </si>
  <si>
    <t>https://filmfreeway.com/newfest</t>
  </si>
  <si>
    <t>2000 Quail Street Newport Beach, CA 92660-1815 United States</t>
  </si>
  <si>
    <t>511 Queen Anne Avenue North, Seattle, Washington 98109, United States</t>
  </si>
  <si>
    <t>NFFTY (National Film Festival for Talented Youth)</t>
  </si>
  <si>
    <t>https://www.nffty.org</t>
  </si>
  <si>
    <t>53 Wall Street, New Haven, CT 06510</t>
  </si>
  <si>
    <t>NHdocs: The New Haven Documentary Film Festival</t>
  </si>
  <si>
    <t>http://www.nhdocs.com/</t>
  </si>
  <si>
    <t>https://filmfreeway.com/NHdocs</t>
  </si>
  <si>
    <t>2406 Quenby, Houston, Texas 77005</t>
  </si>
  <si>
    <t>http://www.niffhouston.org</t>
  </si>
  <si>
    <t>https://filmfreeway.com/NIFFHOUSTON</t>
  </si>
  <si>
    <t>1550 N. High St. Columbus, OH 43201 United States</t>
  </si>
  <si>
    <t>Nightmares Film Festival</t>
  </si>
  <si>
    <t>http://www.nightmaresfest.com/</t>
  </si>
  <si>
    <t>https://filmfreeway.com/NightmaresFilmFest</t>
  </si>
  <si>
    <t>1200 North Alvarado Street, Los Angeles, California 90026 United States</t>
  </si>
  <si>
    <t>Nihilist International Film Festival, The</t>
  </si>
  <si>
    <t xml:space="preserve">http://www.nihilists.net/film.html </t>
  </si>
  <si>
    <t>136 Metropolitan Avenue Brooklyn, NY 11249 United States</t>
  </si>
  <si>
    <t>Nitehawk Shorts Film Festival</t>
  </si>
  <si>
    <t>https://nitehawkshortsfestival.com</t>
  </si>
  <si>
    <t>https://filmfreeway.com/NitehawkShortsFestival</t>
  </si>
  <si>
    <t>5339 Prytania Street, New Orleans, LA 70115</t>
  </si>
  <si>
    <t>Nola Horror Film Fest</t>
  </si>
  <si>
    <t>https://nolahorrorfilmfest.com/</t>
  </si>
  <si>
    <t>https://filmfreeway.com/NOLAHorrorFilmFest</t>
  </si>
  <si>
    <t>5339 Prytania Street, New Orleans, LA 70115 United States</t>
  </si>
  <si>
    <t>NOLA Horror Film Fest</t>
  </si>
  <si>
    <t>https://nolahff.com</t>
  </si>
  <si>
    <t>58 Park Avenue, New York, NY 10016</t>
  </si>
  <si>
    <t>Nordic International Film Festival</t>
  </si>
  <si>
    <t>http://www.nordicfilmfest.org/</t>
  </si>
  <si>
    <t>https://filmfreeway.com/NordicInternationalFilmFestival</t>
  </si>
  <si>
    <t>815 Princess St, Wilmingotn, NC 28401</t>
  </si>
  <si>
    <t>North Carolina Black Film Festival</t>
  </si>
  <si>
    <t>http://blackartsalliance.org/</t>
  </si>
  <si>
    <t>https://filmfreeway.com/NCBlackFilmFestival</t>
  </si>
  <si>
    <t>309 West Morgan Street, Durham, NC 27701</t>
  </si>
  <si>
    <t>North Carolina Gay &amp; Lesbian Film Festival</t>
  </si>
  <si>
    <t>http://www.carolinatheatre.org/films/festivals/ncglff</t>
  </si>
  <si>
    <t>https://filmfreeway.com/NorthCarolinaGayLesbianFilmFestival</t>
  </si>
  <si>
    <t>857 Audubon Place, Shreveport, LA 71105</t>
  </si>
  <si>
    <t>North Louisiana Gay &amp; Lesbian Film Festival</t>
  </si>
  <si>
    <t>http://nlglff.org/</t>
  </si>
  <si>
    <t>Shreveport</t>
  </si>
  <si>
    <t>Teaneck, NJ 07666</t>
  </si>
  <si>
    <t>Northeast Film Festival</t>
  </si>
  <si>
    <t>http://www.nefilmfestival.com/</t>
  </si>
  <si>
    <t>https://filmfreeway.com/NortheastFilmFestival</t>
  </si>
  <si>
    <t>Teaneck</t>
  </si>
  <si>
    <t>445 North Main Street, Oshkosh, Wisconsin 54901</t>
  </si>
  <si>
    <t>Northeast Wisconsin Horror Film Festival</t>
  </si>
  <si>
    <t>https://www.newhorrorfest.com/</t>
  </si>
  <si>
    <t>https://filmfreeway.com/NortheastWisconsinHorrorFilmFestival</t>
  </si>
  <si>
    <t>Oshkosh</t>
  </si>
  <si>
    <t>8900 Little River Turnpike Fairfax, VA 22031 United States</t>
  </si>
  <si>
    <t>Northern Virginia Jewish Film Festival</t>
  </si>
  <si>
    <t>https://www.jccnv.org/film-festival/northern-virginia-jewish-film-festival/</t>
  </si>
  <si>
    <t>https://filmfreeway.com/NVJFF</t>
  </si>
  <si>
    <t>Fairfax</t>
  </si>
  <si>
    <t>10 Lincoln Center Plaza, New York, NY 10023</t>
  </si>
  <si>
    <t>Short, Misc. Ethnic/Cultural/Foreign Focus</t>
  </si>
  <si>
    <t>NY Portuguese Short Film Festival</t>
  </si>
  <si>
    <t>http://arteinstitute.org/nypsff/</t>
  </si>
  <si>
    <t>https://filmfreeway.com/NYPortugueseShortFilmFestival</t>
  </si>
  <si>
    <t>62 East 4th Street, New York, NY 10003</t>
  </si>
  <si>
    <t>NYC Downtown Short Film Festival</t>
  </si>
  <si>
    <t>http://duotheater.org/film.php</t>
  </si>
  <si>
    <t>https://filmfreeway.com/NYCDowntownShortFilmFestival</t>
  </si>
  <si>
    <t>231 W. Jefferson Blvd Dallas, TX 75208 United States</t>
  </si>
  <si>
    <t>Oak Cliff Hill Film Festival</t>
  </si>
  <si>
    <t>http://oakclifffilmfestival.com/</t>
  </si>
  <si>
    <t>https://filmfreeway.com/filmoakcliff</t>
  </si>
  <si>
    <t>100 Washington Street, Oakland, California 94607</t>
  </si>
  <si>
    <t>Oakland International Film Festival</t>
  </si>
  <si>
    <t>http://www.oiff.org/</t>
  </si>
  <si>
    <t>https://filmfreeway.com/OaklandInternationalFilmFestival</t>
  </si>
  <si>
    <t>217 North Coast Highway, Oceanside, California 92054</t>
  </si>
  <si>
    <t>Oceanside International Film Festival</t>
  </si>
  <si>
    <t>https://osidefilm.org/</t>
  </si>
  <si>
    <t>https://filmfreeway.com/OceansideInternationalFilmFestival</t>
  </si>
  <si>
    <t>Oceanside</t>
  </si>
  <si>
    <t>85 Georgia Avenue, Statesboro, Georgia 30458</t>
  </si>
  <si>
    <t>OgeeChee International History Film Festival</t>
  </si>
  <si>
    <t>https://ogeecheefilmfestival.org/</t>
  </si>
  <si>
    <t>https://filmfreeway.com/OIHFF</t>
  </si>
  <si>
    <t>Statesboro</t>
  </si>
  <si>
    <t>South Euclid, OH 44121</t>
  </si>
  <si>
    <t>Ohio Independent Film Festival</t>
  </si>
  <si>
    <t>https://www.ohiofilms.com/</t>
  </si>
  <si>
    <t>https://filmfreeway.com/oiff</t>
  </si>
  <si>
    <t>308 West Third Street Oil City, PA 16301 United States</t>
  </si>
  <si>
    <t>Oil Valley Film Festival</t>
  </si>
  <si>
    <t>http://oilvalleyfilmfestival.weebly.com/</t>
  </si>
  <si>
    <t>https://filmfreeway.com/OilValleyFilmFestival</t>
  </si>
  <si>
    <t>Oil City</t>
  </si>
  <si>
    <t>10942 Encino Drive Oak View, CALIFORNIA 93023 United States</t>
  </si>
  <si>
    <t>Ojai Film Festival</t>
  </si>
  <si>
    <t>http://www.ojaifilmfestival.com/</t>
  </si>
  <si>
    <t>https://filmfreeway.com/OjaiFilmFestival</t>
  </si>
  <si>
    <t>Ojai</t>
  </si>
  <si>
    <t>319 SW 25th St. Oklahoma City, Oklahoma 73109 United States</t>
  </si>
  <si>
    <t>Oklahoma Cine Latino Film Festival</t>
  </si>
  <si>
    <t>http://historiccapitolhill.com/okcine-latino</t>
  </si>
  <si>
    <t>https://filmfreeway.com/OklahomaCineLatinoFilmFestival</t>
  </si>
  <si>
    <t>Sagaponack NY 11962</t>
  </si>
  <si>
    <t>OLA Latino Film Festival of the Hamptons</t>
  </si>
  <si>
    <t>https://www.olaofeasternlongisland.org</t>
  </si>
  <si>
    <t>Sagaponack</t>
  </si>
  <si>
    <t>416 Washington Street SE #208 Olympia, WA 98501 United States</t>
  </si>
  <si>
    <t>Olympia Film Festival</t>
  </si>
  <si>
    <t>http://olympia...ilm-festival/</t>
  </si>
  <si>
    <t>https://filmfreeway.com/OlympiaFilmFestival</t>
  </si>
  <si>
    <t>Olympia</t>
  </si>
  <si>
    <t>2626 Harney Street Omaha, NE 68131 United States</t>
  </si>
  <si>
    <t>Omaha Film Festival</t>
  </si>
  <si>
    <t>http://www.omahafilmfestival.org/</t>
  </si>
  <si>
    <t>https://filmfreeway.com/OmahaFilmFestival</t>
  </si>
  <si>
    <t>503 Cedar Ln, Teaneck, NJ 07666</t>
  </si>
  <si>
    <t>One Minute Story Film Festival</t>
  </si>
  <si>
    <t>http://www.oneminutestoryfilmfestival.com/</t>
  </si>
  <si>
    <t>https://filmfreeway.com/OneMinuteStoryFilmFestival</t>
  </si>
  <si>
    <t>450 W 31st 6th floor New York, New York 10001 United States</t>
  </si>
  <si>
    <t>One Screen Short Film Festival</t>
  </si>
  <si>
    <t>https://www.onescreen.org/</t>
  </si>
  <si>
    <t>https://filmfreeway.com/OneScreen</t>
  </si>
  <si>
    <t>700 College Dr, Decorah, Iowa 52101</t>
  </si>
  <si>
    <t>Oneota Film Festival</t>
  </si>
  <si>
    <t>http://www.oneotafilmfestival.org/</t>
  </si>
  <si>
    <t>https://filmfreeway.com/OneotaFilmFestival</t>
  </si>
  <si>
    <t>Decorah</t>
  </si>
  <si>
    <t>5720 N. Ridge Avenue Chicago, IL 60660</t>
  </si>
  <si>
    <t>Eastsound, WA 98245</t>
  </si>
  <si>
    <t xml:space="preserve">Orcas Island Film Festival </t>
  </si>
  <si>
    <t>http://www.orcasfilmfest.com/</t>
  </si>
  <si>
    <t>Eastsound</t>
  </si>
  <si>
    <t>25030 SW Parkway Ave #1044 Wilsonville, OR 97070 United States</t>
  </si>
  <si>
    <t>Oregon Documentary Film Festival</t>
  </si>
  <si>
    <t>https://info.filmfestivalcircuit.com/oregon-documentary-film-festival</t>
  </si>
  <si>
    <t>https://filmfreeway.com/OregonDocumentaryFilmFestival</t>
  </si>
  <si>
    <t>Wilsonville</t>
  </si>
  <si>
    <t>Portland, OR 97202</t>
  </si>
  <si>
    <t xml:space="preserve">Oregon Independent Film Festival </t>
  </si>
  <si>
    <t>http://www.oregonindependentfilmfest.com/</t>
  </si>
  <si>
    <t>https://filmfreeway.com/OregonIndependentFilmFestival</t>
  </si>
  <si>
    <t>Oregon Short Film Festival</t>
  </si>
  <si>
    <t>https://info.filmfestivalcircuit.com/oregon-short-film-festival</t>
  </si>
  <si>
    <t>https://filmfreeway.com/OregonShortFilmFestival</t>
  </si>
  <si>
    <t>400 North High Street, Columbus, Ohio 43215</t>
  </si>
  <si>
    <t>Origins Film Festival</t>
  </si>
  <si>
    <t>http://www.originsfilmfestival.com/</t>
  </si>
  <si>
    <t>https://filmfreeway.com/OriginsFF</t>
  </si>
  <si>
    <t>5131 Gramont Ave Orlando, FL 32812 United States</t>
  </si>
  <si>
    <t>Orlando Film Festival</t>
  </si>
  <si>
    <t>http://www.orlandofilmfestival.com/</t>
  </si>
  <si>
    <t>https://filmfreeway.com/OrlandoFilmFestival</t>
  </si>
  <si>
    <t>9800 International Drive, Orlando, Florida 32819 United States</t>
  </si>
  <si>
    <t>3956 Town Center Blvd., #499 Orlando,, Florida 32837 United States</t>
  </si>
  <si>
    <t>Orlando Urban Film Festival</t>
  </si>
  <si>
    <t>http://www.orlandouff.com/</t>
  </si>
  <si>
    <t>https://filmfreeway.com/OrlandoUrbanFilmFestivalOUFF</t>
  </si>
  <si>
    <t>Other Venice Film Festival</t>
  </si>
  <si>
    <t>http://othervenicefilmfestival.com/</t>
  </si>
  <si>
    <t>https://filmfreeway.com/OtherVeniceFilmFestival</t>
  </si>
  <si>
    <t>2200 North Interstate 35 Frontage Road, Round Rock, Texas 78681</t>
  </si>
  <si>
    <t>Other Worlds Austin</t>
  </si>
  <si>
    <t>http://www.otherworldsaustin.com/</t>
  </si>
  <si>
    <t>https://filmfreeway.com/OtherWorldsAustin</t>
  </si>
  <si>
    <t>4330 Holly Kansas City, MO 64111 United States</t>
  </si>
  <si>
    <t>OUT HERE NOW: Kansas City LGBT FF</t>
  </si>
  <si>
    <t>https://www.outherenow.com/</t>
  </si>
  <si>
    <t>https://filmfreeway.com/OUTHERENOWKansasCityLGBTFilmFestival</t>
  </si>
  <si>
    <t>456 Kensington Parc Drive Avondale Estates, GA 30002 United States</t>
  </si>
  <si>
    <t>Out On Film: Atlanta’s LGBT Film Festival</t>
  </si>
  <si>
    <t>http://www.outonfilm.org/</t>
  </si>
  <si>
    <t>https://filmfreeway.com/OutOnFilm</t>
  </si>
  <si>
    <t>3470 Wilshire Boulevard Suite #935 Los Angeles, CA 90010</t>
  </si>
  <si>
    <t>Outfest Fusion LGBTQ People of Color Film Festival</t>
  </si>
  <si>
    <t>https://www.outfest.org//</t>
  </si>
  <si>
    <t>https://filmfreeway.com/OutfestFusion</t>
  </si>
  <si>
    <t>3470 Wilshire Boulevard Suite #935 Los Angeles, CA 90010 United States</t>
  </si>
  <si>
    <t>Outfest Los Angeles LGBTQ Film Festival</t>
  </si>
  <si>
    <t>https://filmfreeway.com/OutfestLosAngeles</t>
  </si>
  <si>
    <t>892 S Cooper St Memphis, TN 38104 United States</t>
  </si>
  <si>
    <t>OutFlix Film Festival</t>
  </si>
  <si>
    <t>http://outflixfestival.org/</t>
  </si>
  <si>
    <t>https://filmfreeway.com/OutflixFilmFestival</t>
  </si>
  <si>
    <t>80 Sculptors Way, Hamilton Township, New Jersey 08619 United States</t>
  </si>
  <si>
    <t>Dance, Women's, Short</t>
  </si>
  <si>
    <t>Outlet Dance Project, The</t>
  </si>
  <si>
    <t>https://www.theoutletdanceproject.com</t>
  </si>
  <si>
    <t>Hamilton Township</t>
  </si>
  <si>
    <t>1820 E Sunrise Blvd, Fort Lauderdale, Florida 33304</t>
  </si>
  <si>
    <t>OUTshine LGBTQ+ Film Festival - Fort Lauderdale</t>
  </si>
  <si>
    <t>https://filmfreeway.com/OUTshineLGBTFortLauderdale</t>
  </si>
  <si>
    <t>Ft. Lauderdale</t>
  </si>
  <si>
    <t>6360 NE 4th Ct. Miami, FL 33138</t>
  </si>
  <si>
    <t>3603 Victory Parkway Cincinnati, OH 45229</t>
  </si>
  <si>
    <t>Over-the-Rhine International Film Festival</t>
  </si>
  <si>
    <t>https://otrfilmfest.org/</t>
  </si>
  <si>
    <t>https://filmfreeway.com/otrfilmfest</t>
  </si>
  <si>
    <t>Johnson City, TN</t>
  </si>
  <si>
    <t>Overmountain Animation Festival</t>
  </si>
  <si>
    <t xml:space="preserve">https://overmountainanimation.com/overmountain-animation-1 </t>
  </si>
  <si>
    <t>Johnson City</t>
  </si>
  <si>
    <t>9 Industrial Park Drive, Suite 152, Oxford MS 38655, USA</t>
  </si>
  <si>
    <t>195 Peel Road Locust Grove, AR 72550 United States</t>
  </si>
  <si>
    <t>Ozark Foothills Film Festival</t>
  </si>
  <si>
    <t>http://www.ozarkfoothillsfilmfest.org/</t>
  </si>
  <si>
    <t>https://filmfreeway.com/OzarkFoothillsFilmFest</t>
  </si>
  <si>
    <t>Locust Grove</t>
  </si>
  <si>
    <t>Mandel JCC of the Palm Beaches 8500 Jog Road Boynton Beach, Florida 33472 United States</t>
  </si>
  <si>
    <t>Palm Beach Jewish Film Festival</t>
  </si>
  <si>
    <t>http://palmbeachjewishfilm.org/index.html</t>
  </si>
  <si>
    <t>https://filmfreeway.com/DonaldMEphraimPalmBeachJewishFilmFestival</t>
  </si>
  <si>
    <t>Palm Beach</t>
  </si>
  <si>
    <t>1700 East Tahquitz Canyon Way Suite #3 Palm Springs, California 92262 United States</t>
  </si>
  <si>
    <t>Palm Springs International Film Festival</t>
  </si>
  <si>
    <t>https://www.psfilmfest.org/2019-ps-film-festival</t>
  </si>
  <si>
    <t>https://filmfreeway.com/PalmSpringsInternationalFilmFestival</t>
  </si>
  <si>
    <t>`1/13/20</t>
  </si>
  <si>
    <t>1700 E. Tahquitz Canyon Way, Suite 3 Palm Springs, California 92262 United States</t>
  </si>
  <si>
    <t xml:space="preserve">Palm Springs International ShortFest </t>
  </si>
  <si>
    <t>https://www.psfilmfest.org/</t>
  </si>
  <si>
    <t>https://filmfreeway.com/PalmSpringsInternationalShortFest</t>
  </si>
  <si>
    <t>64460 Via Amante Palm Springs, California 92264 United States</t>
  </si>
  <si>
    <t>Palm Springs Jewish Film Festival</t>
  </si>
  <si>
    <t>http://psjff.com/</t>
  </si>
  <si>
    <t>https://filmfreeway.com/ReelWomensMovieMarathon</t>
  </si>
  <si>
    <t>6820 LaTijera Blvd. Suite 200 Los Angeles, CA 90045 United States</t>
  </si>
  <si>
    <t>Pan African Film &amp; Arts Festival</t>
  </si>
  <si>
    <t>http://www.paff.org/</t>
  </si>
  <si>
    <t>https://filmfreeway.com/ThePanAfricanFilmFestival</t>
  </si>
  <si>
    <t>408 North Armour Rd. North Kansas City, MO 64116 United States</t>
  </si>
  <si>
    <t>Panic Fest</t>
  </si>
  <si>
    <t>https://www.panicfilmfest.com/</t>
  </si>
  <si>
    <t>https://filmfreeway.com/PanicFest</t>
  </si>
  <si>
    <t>530 South Lake Avenue #453 Pasadena, CA 91101-3515 United States</t>
  </si>
  <si>
    <t>314 Luckie St. NW, Atlanta, GA 30313 United States</t>
  </si>
  <si>
    <t>Peachtree Village International Film Festival</t>
  </si>
  <si>
    <t>https://www.pviffatl.com</t>
  </si>
  <si>
    <t>415-B N Tarragona St Pensacola, Florida 32501 United States</t>
  </si>
  <si>
    <t>Pensacon Short Film Festival</t>
  </si>
  <si>
    <t>https://pensacon.com/events/short-film-festival/</t>
  </si>
  <si>
    <t>https://filmfreeway.com/PensaconShortFilmFestival</t>
  </si>
  <si>
    <t>Pensacola</t>
  </si>
  <si>
    <t>2309 Frederick Douglass Boulevard, New York, New York 10027</t>
  </si>
  <si>
    <t>People's Film Festival, The</t>
  </si>
  <si>
    <t>http://www.thepeoplesfilmfestival.com/</t>
  </si>
  <si>
    <t>https://filmfreeway.com/thepeoplesfilmfestival</t>
  </si>
  <si>
    <t>Harlem</t>
  </si>
  <si>
    <t>350 Hub Etchison Parkway Richmond, IN 47374 United States</t>
  </si>
  <si>
    <t>Phantoscope High School Film Festival</t>
  </si>
  <si>
    <t>http://phantoscope.org/</t>
  </si>
  <si>
    <t>https://filmfreeway.com/Phantoscope</t>
  </si>
  <si>
    <t>1219 Vine St, Philadelphia, PA 19107</t>
  </si>
  <si>
    <t>Philadelphia Asian American Film Festival</t>
  </si>
  <si>
    <t>http://www.paaff.org/</t>
  </si>
  <si>
    <t>https://filmfreeway.com/PAAFF</t>
  </si>
  <si>
    <t>1900 Benjamin Franklin Parkway, Philadelphia, Pennsylvania 19103 United States</t>
  </si>
  <si>
    <t>1412 Chestnut Street Philadelphia, PA 19102 United States</t>
  </si>
  <si>
    <t>Philadelphia Film Festival</t>
  </si>
  <si>
    <t>http://filmadelphia.org/</t>
  </si>
  <si>
    <t>https://filmfreeway.com/PhiladelphiaFilmFestival</t>
  </si>
  <si>
    <t>Pliladelphia</t>
  </si>
  <si>
    <t>2401 Walnut Street Philadelphia, PA 19103 United States</t>
  </si>
  <si>
    <t>Philadelphia Independent Film Festival</t>
  </si>
  <si>
    <t>http://pifffilms.com/</t>
  </si>
  <si>
    <t>https://filmfreeway.com/piffFilms</t>
  </si>
  <si>
    <t>401 S. Broad St, Philadelphia, pa 19147</t>
  </si>
  <si>
    <t>https://pjff.org/</t>
  </si>
  <si>
    <t>https://pjff.org/submit-film/</t>
  </si>
  <si>
    <t>Rolling</t>
  </si>
  <si>
    <t>Philadelphia, PA United States</t>
  </si>
  <si>
    <t>Philadelphia Latino Film Festival</t>
  </si>
  <si>
    <t>https://www.phlaff.org/</t>
  </si>
  <si>
    <t>https://filmfreeway.com/PHLAFF</t>
  </si>
  <si>
    <t>3811 Ditmars Blvd Astoria, NY 11105 United States</t>
  </si>
  <si>
    <t>Philip K. Dick Science Fiction &amp; Supernatural Festival, The</t>
  </si>
  <si>
    <t>http://www.thephilipkdickfilmfestival.com/</t>
  </si>
  <si>
    <t>https://filmfreeway.com/ThePhilipKDIckFilmFestival</t>
  </si>
  <si>
    <t>Astoria</t>
  </si>
  <si>
    <t>7354 E Shea Blvd, Scottsdale, AZ 85260</t>
  </si>
  <si>
    <t>Phoenix Jewish Film Festival</t>
  </si>
  <si>
    <t>https://www.gpjff.org/</t>
  </si>
  <si>
    <t>https://www.gpjff.org/gpjff-submit-film</t>
  </si>
  <si>
    <t>584 Castro st #2003 San Francisco, CA 94114 United States</t>
  </si>
  <si>
    <t>Pictoclik Film Festival</t>
  </si>
  <si>
    <t>http://pictoclik.com/</t>
  </si>
  <si>
    <t>https://filmfreeway.com/PictoclikFilmFestival</t>
  </si>
  <si>
    <t>1160 Dickinson Street, Springfield, MA 01108</t>
  </si>
  <si>
    <t>644 Broadway Ave, McKees Rocks, PA 15136</t>
  </si>
  <si>
    <t>Pittsburgh Independent Film Festival</t>
  </si>
  <si>
    <t>http://pghindie.com/Welcome.html</t>
  </si>
  <si>
    <t>https://filmfreeway.com/PittsburghIndependentFilmFestival</t>
  </si>
  <si>
    <t>McKees Rocks</t>
  </si>
  <si>
    <t>809 Liberty Ave, Pittsburgh, PA 15222</t>
  </si>
  <si>
    <t>Pittsburgh LGBT Film Festival</t>
  </si>
  <si>
    <t>https://reelq.org/festival/</t>
  </si>
  <si>
    <t>https://filmfreeway.com/ReelQFilmFestival</t>
  </si>
  <si>
    <t xml:space="preserve">1789 South Braddock Avenue, Pittsburgh, PA 15218 </t>
  </si>
  <si>
    <t>https://filmpittsburgh.org</t>
  </si>
  <si>
    <t>https://filmfreeway.com/PittsburghShorts</t>
  </si>
  <si>
    <t>312 Woodland Road, Mount Pocono, Pennsylvania 18344</t>
  </si>
  <si>
    <t>Pocono Mountains Film festival</t>
  </si>
  <si>
    <t>https://www.pmffdigitaltheatre.com/</t>
  </si>
  <si>
    <t>https://filmfreeway.com/ThePoconoMountainsFilmFestival</t>
  </si>
  <si>
    <t>Mount Pocono</t>
  </si>
  <si>
    <t>7726 Ethel Ave. North Hollywood, CA 91605 United States</t>
  </si>
  <si>
    <t>Polish Film Festival Los Angeles</t>
  </si>
  <si>
    <t>http://www.polishfilmla.org/</t>
  </si>
  <si>
    <t>https://filmfreeway.com/PolishFilmFestivalLosAngeles</t>
  </si>
  <si>
    <t>503 SE 6th St Fort Lauderdale, FL 33301 United States</t>
  </si>
  <si>
    <t>Popcorn Frights Film Festival</t>
  </si>
  <si>
    <t>https://www.popcornfrights.com/</t>
  </si>
  <si>
    <t>https://filmfreeway.com/PopcornFrightsFilmFestival</t>
  </si>
  <si>
    <t>17440 Monterey Road, Morgan Hill, California 95037</t>
  </si>
  <si>
    <t>211 Taylor Street Suite 401-A Port Townsend, WA 98368 United States</t>
  </si>
  <si>
    <t>Port Townsend Film Festival</t>
  </si>
  <si>
    <t>http://www.ptfilmfest.com/</t>
  </si>
  <si>
    <t>https://filmfreeway.com/PortTownsendFilmFestival</t>
  </si>
  <si>
    <t>Port Townsend</t>
  </si>
  <si>
    <t>Portland Comedy Film Festival</t>
  </si>
  <si>
    <t>https://info.filmfestivalcircuit.com/portland-comedy-film-festival</t>
  </si>
  <si>
    <t>https://filmfreeway.com/PortlandComedyFilmFestival</t>
  </si>
  <si>
    <t>4122 NE Sandy Boulevard, Portland, OR 97212</t>
  </si>
  <si>
    <t>Portland Eco Film Festival</t>
  </si>
  <si>
    <t>http://www.portlandecofilmfest.org/</t>
  </si>
  <si>
    <t>https://filmfreeway.com/PortlandEcoFilmFestival</t>
  </si>
  <si>
    <t>1126 NW Marshall St Portland, OR 97209 United States</t>
  </si>
  <si>
    <t xml:space="preserve">Portland Film Festival </t>
  </si>
  <si>
    <t>https://portlandfilmfestival.com/</t>
  </si>
  <si>
    <t>https://filmfreeway.com/PortlandFilm</t>
  </si>
  <si>
    <t>4110 SE Hawthorne Blvd #169 Portland, Oregon 97214</t>
  </si>
  <si>
    <t>Portland Horror Film Festival</t>
  </si>
  <si>
    <t>https://portlandhorrorfilmfestival.com/</t>
  </si>
  <si>
    <t>https://filmfreeway.com/PortlandHorrorFilmFestival</t>
  </si>
  <si>
    <t>1219 SW Park Avenue Portland, OR 97205 United States</t>
  </si>
  <si>
    <t>1219 SW Park Ave., Portland, OR 97205</t>
  </si>
  <si>
    <t>Portland Jewish Film Festival</t>
  </si>
  <si>
    <t>https://nwfilm.org/festival-family/pjff/</t>
  </si>
  <si>
    <t>4824 NE 42nd #127 Portland, Oregon 97218 United States</t>
  </si>
  <si>
    <t>2522 SE Clinton St, Portland, OR 97202</t>
  </si>
  <si>
    <t>Portland Underground Film Festival</t>
  </si>
  <si>
    <t>https://puffpdx.org/</t>
  </si>
  <si>
    <t>https://puffpdx.org/submit</t>
  </si>
  <si>
    <t>8371 N Interstate Ave, Portland, OR 97217</t>
  </si>
  <si>
    <t>Portland Unknown Film Festival</t>
  </si>
  <si>
    <t>http://www.portlandunknown.com/</t>
  </si>
  <si>
    <t>https://filmfreeway.com/PortlandUnknownFilmFestival</t>
  </si>
  <si>
    <t>305 Harrison Street Seattle, WA 98109</t>
  </si>
  <si>
    <t>1100 East Sheldon Street, Prescott, Arizona 86301</t>
  </si>
  <si>
    <t xml:space="preserve">Prescott Film Festival </t>
  </si>
  <si>
    <t>http://prescottfilmfestival.com/</t>
  </si>
  <si>
    <t>https://filmfreeway.com/PrescottFilmFestival</t>
  </si>
  <si>
    <t>Prescott</t>
  </si>
  <si>
    <t>65 Witherspoon Street, Princeton, NJ 08542</t>
  </si>
  <si>
    <t>Environment/Outdoor/Adventure/Wildlife</t>
  </si>
  <si>
    <t>160 Nassau Street, Princeton, New Jersey 08542 United States</t>
  </si>
  <si>
    <t>Princeton Independent Film Festival</t>
  </si>
  <si>
    <t>https://www.prindiefest.com</t>
  </si>
  <si>
    <t>1005 Main St. Hope Artiste Village - #1211 Pawtucket, RI 02860 United States</t>
  </si>
  <si>
    <t>Providence Children's Film Festival</t>
  </si>
  <si>
    <t>http://providencechildrensfilmfestival.org/</t>
  </si>
  <si>
    <t>https://filmfreeway.com/ProvidenceChildrensFilmFestival</t>
  </si>
  <si>
    <t>Providence, Rhode Island 02903</t>
  </si>
  <si>
    <t>http://www.plaff.org/</t>
  </si>
  <si>
    <t>https://filmfreeway.com/PLAFF</t>
  </si>
  <si>
    <t>237 Commercial Street, Provincetown, Massachusetts 02657</t>
  </si>
  <si>
    <t>20 6th Street Bristol, TN 37620 United States</t>
  </si>
  <si>
    <t>PUSH! Film Festival</t>
  </si>
  <si>
    <t>http://www.pushfilmfest.com/</t>
  </si>
  <si>
    <t>https://filmfreeway.com/PUSHFilmFest</t>
  </si>
  <si>
    <t>Bristol</t>
  </si>
  <si>
    <t>1001 Bissonnet Street, Houston, Texas 77005 United States</t>
  </si>
  <si>
    <t>Qfest: The Houston International LGBTQ Film Festival</t>
  </si>
  <si>
    <t>http://www.q-fest.com</t>
  </si>
  <si>
    <t>1315 Walnut Street Suite 1132 Philadelphia, PA 19107 United States</t>
  </si>
  <si>
    <t>101 Decatur St. Cumberland, MD 21502 United States</t>
  </si>
  <si>
    <t>Queen City Film Festival</t>
  </si>
  <si>
    <t>http://www.alleganyalliedarts.org/qcff/</t>
  </si>
  <si>
    <t>https://filmfreeway.com/QueenCityFilmFestival</t>
  </si>
  <si>
    <t>Cumberland</t>
  </si>
  <si>
    <t>74-15 35th Ave. #6F Jackson Heights, NY 11372 United States</t>
  </si>
  <si>
    <t>Ashford, WA 98304</t>
  </si>
  <si>
    <t>201 East Hargett Street, Raleigh, North Carolina 27601</t>
  </si>
  <si>
    <t>Raleigh Film &amp; Art Festival</t>
  </si>
  <si>
    <t>https://www.raleighfilmandartfestival.com/</t>
  </si>
  <si>
    <t>https://filmfreeway.com/RaleighFilmandArtFestival</t>
  </si>
  <si>
    <t>202 S. Railroad Ave. Kings Mountain, NC 28150 United States</t>
  </si>
  <si>
    <t>Real to Reel International Film Festival</t>
  </si>
  <si>
    <t>http://www.ccartscouncil.org/realtoreel/</t>
  </si>
  <si>
    <t>https://filmfreeway.com/RealtoReelInternationalFilmFestival</t>
  </si>
  <si>
    <t>Kings Mountain</t>
  </si>
  <si>
    <t>1425 Lincoln Highway, DeKalb, Illinois 60115</t>
  </si>
  <si>
    <t>315 North Husband Street, Stillwater, Oklahoma 74075</t>
  </si>
  <si>
    <t>Red Dirt Film Festival</t>
  </si>
  <si>
    <t>http://www.reddirtfilm.com/</t>
  </si>
  <si>
    <t>https://filmfreeway.com/RedDirtFilmFestival</t>
  </si>
  <si>
    <t>Stillwater</t>
  </si>
  <si>
    <t>501 N Main St, Los Angeles, CA 90012</t>
  </si>
  <si>
    <t>Red Nation International Film Festival</t>
  </si>
  <si>
    <t>https://www.rednationff.com/</t>
  </si>
  <si>
    <t>755 S. Main #4-165 Festival City, UT 84720 United States</t>
  </si>
  <si>
    <t>Red Rock Film Festival - Utah</t>
  </si>
  <si>
    <t>http://www.redrockfilmfestival.com/</t>
  </si>
  <si>
    <t>https://filmfreeway.com/RedRockFilmFestival</t>
  </si>
  <si>
    <t>Festival City</t>
  </si>
  <si>
    <t>4180 HWY 6 SOUTH COLLEGE STATION, TX 77845</t>
  </si>
  <si>
    <t>Red Wasp Film Festival</t>
  </si>
  <si>
    <t>http://www.acbv.org/events/2019/red-wasp-film-festival-2019</t>
  </si>
  <si>
    <t>https://filmfreeway.com/RedWaspFilmFestival</t>
  </si>
  <si>
    <t>College Station</t>
  </si>
  <si>
    <t>2000 14th Street NW, Suite 105 Washington, DC 20009 United States</t>
  </si>
  <si>
    <t>Reel Affirmations: Washington DC's International LGBTQ Film Festival</t>
  </si>
  <si>
    <t>http://thedccenter.org/reelaffirmations</t>
  </si>
  <si>
    <t>https://filmfreeway.com/ReelAffirmations</t>
  </si>
  <si>
    <t>45 Pershing Ave Poughkeepsie, NY 12601 United States</t>
  </si>
  <si>
    <t>Reel Expressions Teen Film festival</t>
  </si>
  <si>
    <t>https://feelthearteffect.org/events/reel-expressions/</t>
  </si>
  <si>
    <t>Poughkeepsie</t>
  </si>
  <si>
    <t>4710 Auth Place Suite 510 camp springs, MD 20746 United States</t>
  </si>
  <si>
    <t>Reel Independent Film Extravaganza</t>
  </si>
  <si>
    <t>https://www.reelindependentfilm.com/</t>
  </si>
  <si>
    <t>https://filmfreeway.com/ReelIndependentFilmExtravaganza</t>
  </si>
  <si>
    <t>Camp Springs</t>
  </si>
  <si>
    <t>299 Alhambra Circle Suite 224 Miami, FL 33134 United States</t>
  </si>
  <si>
    <t>Reel Minds: Miami Mental Health Film Festival</t>
  </si>
  <si>
    <t>https://namimiami.org/</t>
  </si>
  <si>
    <t>https://filmfreeway.com/MiamiMentalHealthFilmFestival</t>
  </si>
  <si>
    <t>1824 Statesville Avenue, Charlotte, North Carolina 28206</t>
  </si>
  <si>
    <t>Reel Out Charlotte Film Festival</t>
  </si>
  <si>
    <t>https://charlottepride.org/reelout</t>
  </si>
  <si>
    <t>https://filmfreeway.com/ReelOutCharlotte</t>
  </si>
  <si>
    <t>809 E Olive Ave, Fresno, CA 93728</t>
  </si>
  <si>
    <t>Reel Pride LGBT Film Festival</t>
  </si>
  <si>
    <t>https://www.reelpride.com</t>
  </si>
  <si>
    <t>Reel Recovery Film Festival &amp; Symposium</t>
  </si>
  <si>
    <t>http://reelrecoveryfilmfestival.org/</t>
  </si>
  <si>
    <t>https://filmfreeway.com/REELRecoveryFilmFestival-16881</t>
  </si>
  <si>
    <t>270 West 96th Street New York, NY 10025</t>
  </si>
  <si>
    <t>Women's, Misc. Ethnic/Cultural/Foreign Focus</t>
  </si>
  <si>
    <t>Reel Sisters of the Diaspora Film Festival &amp; Lecture Series</t>
  </si>
  <si>
    <t>http://reelsisters.com/</t>
  </si>
  <si>
    <t>https://filmfreeway.com/ReelSistersoftheDiasporaFilmFestival</t>
  </si>
  <si>
    <t>2345 NE Lake Breeze Ln Lees Summit, MO 64086 United States</t>
  </si>
  <si>
    <t>Reel Spirit Young Filmmakers</t>
  </si>
  <si>
    <t>https://kcfilmfest.org/reel-spirit/competition/</t>
  </si>
  <si>
    <t>https://filmfreeway.com/ReelSpiritYoungFilmmakers</t>
  </si>
  <si>
    <t>Lee's Summit</t>
  </si>
  <si>
    <t>1124 Pacific Avenue, Santa Cruz, CA 95060 United States</t>
  </si>
  <si>
    <t>1789 S. Braddock Avenue, Suite 565, Pittsburgh, PA 15218</t>
  </si>
  <si>
    <t>https://filmpittsburgh.org/pages/reelabilities</t>
  </si>
  <si>
    <t>5720 N. Ridge Ave. Chicago, IL 60660 United States</t>
  </si>
  <si>
    <t>Reeling: The Chicago LGBTQ+ International Film Festival</t>
  </si>
  <si>
    <t>http://reelingfilmfestival.org/2018/</t>
  </si>
  <si>
    <t>https://filmfreeway.com/ReelingFilmFestival</t>
  </si>
  <si>
    <t>107 Truitt Avenue, Rehoboth Beach, DE 19971</t>
  </si>
  <si>
    <t>Rehoboth Beach Independent Film Festival</t>
  </si>
  <si>
    <t>https://www.rehobothfilm.com/festival/</t>
  </si>
  <si>
    <t>https://filmfreeway.com/TheRehobothBeachIndependentFilmFestival</t>
  </si>
  <si>
    <t>Rehoboth Beach</t>
  </si>
  <si>
    <t>DE</t>
  </si>
  <si>
    <t>New York, New York 10013</t>
  </si>
  <si>
    <t>Revolution Me Film Festival</t>
  </si>
  <si>
    <t>https://www.revolutionmefilms.com/</t>
  </si>
  <si>
    <t>https://filmfreeway.com/RevolutionMeFilmFestival</t>
  </si>
  <si>
    <t>109 W. 15th Street Richmond, virginia 23224 United States</t>
  </si>
  <si>
    <t>Richmond Dance Festival</t>
  </si>
  <si>
    <t>https://www.dogtowndancetheatre.com/</t>
  </si>
  <si>
    <t>https://filmfreeway.com/RichmondDanceFestival</t>
  </si>
  <si>
    <t>3126 W. Cary Street #605 Richmond, VA 23221 United States</t>
  </si>
  <si>
    <t>80 East Ridge Road, Ridgefield, Connecticut 06877 United States</t>
  </si>
  <si>
    <t>Ridgefield Independent Film Festival</t>
  </si>
  <si>
    <t>https://www.riffct.org</t>
  </si>
  <si>
    <t>Ridgefield</t>
  </si>
  <si>
    <t>41 N. Broad Street Ridgewood, NJ 07450 United States</t>
  </si>
  <si>
    <t xml:space="preserve">Ridgewood Guild International Film Festival, The </t>
  </si>
  <si>
    <t>https://ridgewoodguildfilmfest.com/</t>
  </si>
  <si>
    <t>https://filmfreeway.com/RidgewoodInternationalFilmFestival</t>
  </si>
  <si>
    <t>Ridgewood</t>
  </si>
  <si>
    <t>234 S. Main Street Suite 5 Goshen, Indiana 46526 United States</t>
  </si>
  <si>
    <t>River Bend Film Festival</t>
  </si>
  <si>
    <t>https://www.riverbendfilmfest.com/</t>
  </si>
  <si>
    <t>https://filmfreeway.com/RiverBendFilmFestival</t>
  </si>
  <si>
    <t>Goshen</t>
  </si>
  <si>
    <t>112 Maiden Alley, Paducah, Kentucky 42001 United States</t>
  </si>
  <si>
    <t xml:space="preserve">River's Edge International Film Festival </t>
  </si>
  <si>
    <t>http://www.riversedgefilmfestival.com</t>
  </si>
  <si>
    <t>112 Maiden Alley Paducah, Kentucky 42001</t>
  </si>
  <si>
    <t>River’s Edge International Film Festival</t>
  </si>
  <si>
    <t>http://www.riversedgefilmfestival.com/</t>
  </si>
  <si>
    <t>https://filmfreeway.com/RiversEdgeInternationalFilmFestival</t>
  </si>
  <si>
    <t>305 West Fourth Street Suite 1A Winston-Salem, NC 27101 United States</t>
  </si>
  <si>
    <t>Canceled, hope to schedule mini fests later in year</t>
  </si>
  <si>
    <t>Riverside, California 92506 United States</t>
  </si>
  <si>
    <t>Riverside International Film Festival</t>
  </si>
  <si>
    <t>https://www.riversidefilmfestival.org/</t>
  </si>
  <si>
    <t>https://filmfreeway.com/RiversideInternationalFilmFestival</t>
  </si>
  <si>
    <t>Riverside</t>
  </si>
  <si>
    <t>274 Goodman St. North, Ste. D103 Rochester, NY 14607</t>
  </si>
  <si>
    <t>Rochester International Children's Film Festival</t>
  </si>
  <si>
    <t>https://www.kidsfestroc.org/</t>
  </si>
  <si>
    <t>https://filmfreeway.com/kidsfestroc</t>
  </si>
  <si>
    <t>900 East Avenue, Rochester, New York 14607</t>
  </si>
  <si>
    <t>Rochester International Film Festival</t>
  </si>
  <si>
    <t>http://rochesterfilmfest.org/</t>
  </si>
  <si>
    <t>https://filmfreeway.com/RochesterInternationalFilmFestival</t>
  </si>
  <si>
    <t>450 West Nyack Rd, West Nyack, NY 10994</t>
  </si>
  <si>
    <t>14 Spring Valley Commons Spring Valley, NY 10977 United States</t>
  </si>
  <si>
    <t>Rockland Youth Film Festival</t>
  </si>
  <si>
    <t>http://www.ryff.org/</t>
  </si>
  <si>
    <t>https://filmfreeway.com/RocklandYouthFilmFestival</t>
  </si>
  <si>
    <t>Spring Valley</t>
  </si>
  <si>
    <t>106 S. Austin Street Rockport, Texas 78382 United States</t>
  </si>
  <si>
    <t>Rockport Film Festival</t>
  </si>
  <si>
    <t>http://rockportfilmfestival.com/</t>
  </si>
  <si>
    <t>https://filmfreeway.com/RockportFilmFestival</t>
  </si>
  <si>
    <t>Rockport</t>
  </si>
  <si>
    <t>2727 N Cascade, Colorado Springs, CO 80907</t>
  </si>
  <si>
    <t>Women's, Documentary</t>
  </si>
  <si>
    <t xml:space="preserve">Rocky Mountain Women's Film Festival </t>
  </si>
  <si>
    <t>https://rmwfilminstitute.org/festival</t>
  </si>
  <si>
    <t>Colorado Springs</t>
  </si>
  <si>
    <t>RomCom Fest</t>
  </si>
  <si>
    <t>https://www.romcomfest.com</t>
  </si>
  <si>
    <t>3 Central Plaza, # 367 Rome, GA 30161</t>
  </si>
  <si>
    <t>Rome International Film Festival</t>
  </si>
  <si>
    <t>http://www.riffga.com/</t>
  </si>
  <si>
    <t>https://filmfreeway.com/RIFF</t>
  </si>
  <si>
    <t>Rome</t>
  </si>
  <si>
    <t>232 Third St Suite E-106 Brooklyn, NY 11215 United States</t>
  </si>
  <si>
    <t>Rooftop Films Summer Series</t>
  </si>
  <si>
    <t>https://www.rooftopfilms.com/</t>
  </si>
  <si>
    <t>https://filmfreeway.com/RooftopFilms</t>
  </si>
  <si>
    <t>4501 North Main Street, Roswell, New Mexico 88201</t>
  </si>
  <si>
    <t>Roswell Sci-Fi Film Festival</t>
  </si>
  <si>
    <t>http://www.roswellfilmcon.com/</t>
  </si>
  <si>
    <t>https://filmfreeway.com/RoswellScififilmfestival</t>
  </si>
  <si>
    <t>Roswell</t>
  </si>
  <si>
    <t>411 E. Monroe Springfield, IL 62705</t>
  </si>
  <si>
    <t>Route 66 Film Festival</t>
  </si>
  <si>
    <t>http://route66filmfestival.net</t>
  </si>
  <si>
    <t>https://filmfreeway.com/Route66FilmFestival</t>
  </si>
  <si>
    <t>465 Huntington Avenue, Boston, Massachusetts 02115</t>
  </si>
  <si>
    <t xml:space="preserve">Roxbury International Film Festival, The </t>
  </si>
  <si>
    <t>https://www.roxburyinternationalfilmfestival.com/</t>
  </si>
  <si>
    <t>https://filmfreeway.com/TheRoxburyInternationalFilmFestival</t>
  </si>
  <si>
    <t>200 N. Main Street Royal Oak, MI 48067 United States</t>
  </si>
  <si>
    <t>Royal Starr Film Festival</t>
  </si>
  <si>
    <t>https://www.royalstarr.org/</t>
  </si>
  <si>
    <t>https://filmfreeway.com/RoyalStarrFilmFestival</t>
  </si>
  <si>
    <t>Royal Oak</t>
  </si>
  <si>
    <t>100 Edgartown Rd., Vineyard Havens, MA 02568</t>
  </si>
  <si>
    <t>RSF Martha's Vinyard African American Film Festival, The</t>
  </si>
  <si>
    <t>http://www.mvaaff.com/</t>
  </si>
  <si>
    <t>https://filmfreeway.com/mvaaff</t>
  </si>
  <si>
    <t>Vinyard Havens</t>
  </si>
  <si>
    <t>1800 Lakeside Ave, Richmond, Virginia 23228</t>
  </si>
  <si>
    <t>RVA Environmental Film Festival</t>
  </si>
  <si>
    <t>https://rvaeff.org/</t>
  </si>
  <si>
    <t>https://filmfreeway.com/RVAEnvironmentalFilmFestival</t>
  </si>
  <si>
    <t>Concord, NH 03302</t>
  </si>
  <si>
    <t>S.N.O.B.(Somewhat North of Boston) Film Festival</t>
  </si>
  <si>
    <t>https://www.snobfilmfestival.com/</t>
  </si>
  <si>
    <t>https://filmfreeway.com/SNOBFilmFestival</t>
  </si>
  <si>
    <t>Concord</t>
  </si>
  <si>
    <t>10423 Ambassador Dr. Rancho Cordova, CA 95670 United States</t>
  </si>
  <si>
    <t>Sacramento Film and Music Festival</t>
  </si>
  <si>
    <t>http://www.sacfilm.com/</t>
  </si>
  <si>
    <t>https://filmfreeway.com/SacramentoFilmandMusicFestival</t>
  </si>
  <si>
    <t>1211 K Street, Sacramento, California 95814 United States</t>
  </si>
  <si>
    <t>http://www.sacfilm.com</t>
  </si>
  <si>
    <t>3522 Stockton Boulevard, Sacramento, California 95820</t>
  </si>
  <si>
    <t>Sacramento Horror Film Festival</t>
  </si>
  <si>
    <t>https://filmfreeway.com/SacramentoHorrorFilmFestival</t>
  </si>
  <si>
    <t>1500 West El Camino Ave #362 Sacramento, California 95833-1945 United States</t>
  </si>
  <si>
    <t>Sacramento International Film Festival</t>
  </si>
  <si>
    <t>https://www.sacramentofilmfestival.com/</t>
  </si>
  <si>
    <t>https://filmfreeway.com/SacramentoInternationalFilmFestival</t>
  </si>
  <si>
    <t>35 Congress Street, Salem, MA 01970</t>
  </si>
  <si>
    <t>1763 North Gower Street, Los Angeles, California 90028 United States</t>
  </si>
  <si>
    <t>Salute Your Shorts</t>
  </si>
  <si>
    <t>http://saluteyourshortsfest.com</t>
  </si>
  <si>
    <t>723 S. Brazos Street San Antonio, Texas 78207 United States</t>
  </si>
  <si>
    <t>San Antonio Cinefestival</t>
  </si>
  <si>
    <t>http://www.guadalupeculturalarts.org/cinefestival/</t>
  </si>
  <si>
    <t>https://filmfreeway.com/SanAntonioCineFestival</t>
  </si>
  <si>
    <t>8452 Fredericksburg Rd PMB #264 San Antonio, TX 78229 United States</t>
  </si>
  <si>
    <t>San Antonio Film Festival</t>
  </si>
  <si>
    <t>http://safilm.com/</t>
  </si>
  <si>
    <t>https://filmfreeway.com/SAFILM</t>
  </si>
  <si>
    <t>2623 SE Military Dr, San Antonio, TX 78223</t>
  </si>
  <si>
    <t>San Antonio QFest</t>
  </si>
  <si>
    <t>http://www.pridesanantonio.org/qfest-film-festival.html</t>
  </si>
  <si>
    <t>https://filmfreeway.com/SanAntonioQFest</t>
  </si>
  <si>
    <t>2467 Marilouise Way San Diego, CA 92103 United States</t>
  </si>
  <si>
    <t>2508 Historic Decatur Road, San Diego, CA 92106</t>
  </si>
  <si>
    <t>San Diego Asian Film Festival</t>
  </si>
  <si>
    <t>https://sdaff.org</t>
  </si>
  <si>
    <t>https://filmfreeway.com/SanDiegoAsianFilmFestival</t>
  </si>
  <si>
    <t>220 West G. Street, San Diego, CA 92101</t>
  </si>
  <si>
    <t>San Diego Black Film Festival</t>
  </si>
  <si>
    <t>http://www.sdbff.com/</t>
  </si>
  <si>
    <t>https://filmfreeway.com/SANDIEGOBLACKFILMFESTIVAL</t>
  </si>
  <si>
    <t>2683 Via de la Valle, Suite G210 Del Mar, CA 92014 United States</t>
  </si>
  <si>
    <t>San Diego International Film Festival</t>
  </si>
  <si>
    <t>https://sdfilmfest.com/</t>
  </si>
  <si>
    <t>https://filmfreeway.com/SanDiegoFilmFestival</t>
  </si>
  <si>
    <t>1775 Dove Lane Carlsbad, CA 92011</t>
  </si>
  <si>
    <t>San Diego International Kids Film Festival</t>
  </si>
  <si>
    <t>https://www.sdkidsfilms.org/</t>
  </si>
  <si>
    <t>https://filmfreeway.com/SDIKFF</t>
  </si>
  <si>
    <t>4126 Executive Drive La Jolla, CA 92037-1348 United States</t>
  </si>
  <si>
    <t>San Diego Jewish Film Festival</t>
  </si>
  <si>
    <t>https://www.sdcjc.org/sdjff/</t>
  </si>
  <si>
    <t>https://filmfreeway.com/SanDiegoJewishFilmFestival</t>
  </si>
  <si>
    <t>2921 El Cajon Boulevard San Diego, CA 92105 United States</t>
  </si>
  <si>
    <t>565 Pearl Street #100 La Jolla, CA 92037 United States</t>
  </si>
  <si>
    <t>San Diego Surf Film Festival</t>
  </si>
  <si>
    <t>http://sdsurffilmfestival.com/</t>
  </si>
  <si>
    <t>https://filmfreeway.com/SanDiegoSurfFilmFestival</t>
  </si>
  <si>
    <t>930 Tenth Avenue, San Diego, California 92101</t>
  </si>
  <si>
    <t>San Diego Underground Film Festival</t>
  </si>
  <si>
    <t>https://www.sdundergroundarts.org/</t>
  </si>
  <si>
    <t>https://filmfreeway.com/SanDiegoUndergroundFilmFestival</t>
  </si>
  <si>
    <t>San Diego, CA</t>
  </si>
  <si>
    <t>Misc. Niche, Environment, Outdoor, Adventure, Wildlife</t>
  </si>
  <si>
    <t>San Diego UnderSea Film Exhibition</t>
  </si>
  <si>
    <t>https://www.sdufex.com</t>
  </si>
  <si>
    <t>San Francisco, CA 94115</t>
  </si>
  <si>
    <t>San Francisco Black Film Festival</t>
  </si>
  <si>
    <t>http://sfbff.org/wordpress/</t>
  </si>
  <si>
    <t>https://filmfreeway.com/sfbff</t>
  </si>
  <si>
    <t>2440 16th St #107 San Francisco, CA 93103 United States</t>
  </si>
  <si>
    <t>San Francisco Documentary Festival</t>
  </si>
  <si>
    <t>http://sfindie.com/</t>
  </si>
  <si>
    <t>https://filmfreeway.com/SanFranciscoDocumentaryFestival</t>
  </si>
  <si>
    <t>588 Sutter St. #103 San Francisco, CA 94102</t>
  </si>
  <si>
    <t>San Francisco Frozen Film Festival</t>
  </si>
  <si>
    <t>https://www.frozenfilmfestival.com/</t>
  </si>
  <si>
    <t>https://filmfreeway.com/FrozenFilmFestival</t>
  </si>
  <si>
    <t>600 Embarcadero St San Francisco,, CA 94107</t>
  </si>
  <si>
    <t>San Francisco Greek Film Festival</t>
  </si>
  <si>
    <t>http://grfilm.com/</t>
  </si>
  <si>
    <t>https://filmfreeway.com/SanFranciscoGreekFilmFestival</t>
  </si>
  <si>
    <t>429 Castro Street, San Francisco, California 94114 United States</t>
  </si>
  <si>
    <t>San Francisco Green Film Festival</t>
  </si>
  <si>
    <t>https://www.greenfilmfest.org</t>
  </si>
  <si>
    <t>2440 16th St #107, San Francisco, CA 94103</t>
  </si>
  <si>
    <t>San Francisco Independent Film Festival</t>
  </si>
  <si>
    <t>http://sfindie.com/festivals/sf-indiefest/</t>
  </si>
  <si>
    <t>https://filmfreeway.com/SFIndieFest</t>
  </si>
  <si>
    <t>San Francisco Independent Short Film Festival</t>
  </si>
  <si>
    <t>https://sfindie.com</t>
  </si>
  <si>
    <t>39 Mesa Street, Suite 110, San Francisco, CA 94129</t>
  </si>
  <si>
    <t xml:space="preserve">145 Ninth Street, #300, San Francisco, CA 94103 </t>
  </si>
  <si>
    <t>San Francisco International LGBTQ+ Film Festival</t>
  </si>
  <si>
    <t>https://www.frameline.org/</t>
  </si>
  <si>
    <t>https://filmfreeway.com/Frameline</t>
  </si>
  <si>
    <t>561 San Mateo Ave., San Bruno, California 94066 United States</t>
  </si>
  <si>
    <t>San Francisco International New Concept Film Festival</t>
  </si>
  <si>
    <t>http://www.sfnewfilm.org/</t>
  </si>
  <si>
    <t>https://filmfreeway.com/SanFranciscoInternationalNewConceptFilmFestival</t>
  </si>
  <si>
    <t>San Bruno</t>
  </si>
  <si>
    <t>145 Ninth Street Suite 200 San Francisco, CA 94103</t>
  </si>
  <si>
    <t>https://jfi.org/film-festival</t>
  </si>
  <si>
    <t>https://filmfreeway.com/SanFranciscoJewishFilmFestival</t>
  </si>
  <si>
    <t>2309 Noriega St. #45 SAN FRANCISCO, CA 94132 United States</t>
  </si>
  <si>
    <t>San Francisco Sex Workers Film &amp; Arts Festival</t>
  </si>
  <si>
    <t>http://www.sexworkerfest.com/</t>
  </si>
  <si>
    <t>https://filmfreeway.com/SanFranciscoSexWorkerFilmandArtsFestival</t>
  </si>
  <si>
    <t>San Francisco, CA 04146-0670</t>
  </si>
  <si>
    <t>San Francisco Transgender Film Festival</t>
  </si>
  <si>
    <t>http://sftff.org/</t>
  </si>
  <si>
    <t>https://filmfreeway.com/SanFranciscoTransgenderFilmFestival</t>
  </si>
  <si>
    <t>100 Larkin Street, San Francisco, CA 94102</t>
  </si>
  <si>
    <t>https://www.sfveteransfilmfestival.org/</t>
  </si>
  <si>
    <t>https://filmfreeway.com/SanFranciscoVeteransFilmFestival</t>
  </si>
  <si>
    <t>3088 Olsen Drive, San Jose, California 95128</t>
  </si>
  <si>
    <t>San Jose International Short Film Festival</t>
  </si>
  <si>
    <t>https://www.sjsff.com/</t>
  </si>
  <si>
    <t>https://filmfreeway.com/sjsff</t>
  </si>
  <si>
    <t>San Luis Obispo, CA, 93406</t>
  </si>
  <si>
    <t>817 Palm St, San Luis Obispo, CA 93401</t>
  </si>
  <si>
    <t>San Luis Obispo Jewish Film Festival</t>
  </si>
  <si>
    <t>http://www.jccslo.com/slojff.html</t>
  </si>
  <si>
    <t>303 S. Pacific Ave #102 San Pedro, CA 90731 United States</t>
  </si>
  <si>
    <t>San Pedro International Film Festival</t>
  </si>
  <si>
    <t>http://spiffest.org/</t>
  </si>
  <si>
    <t>https://filmfreeway.com/SPIFFest</t>
  </si>
  <si>
    <t>San Pedro</t>
  </si>
  <si>
    <t>300 N 1st Ave, Sandpoint, Idaho 83864</t>
  </si>
  <si>
    <t>Sandpoint Film Festival</t>
  </si>
  <si>
    <t>http://sandpointfilmfestival.com/</t>
  </si>
  <si>
    <t>https://filmfreeway.com/SandpointFilmFestival</t>
  </si>
  <si>
    <t>Sandpoint</t>
  </si>
  <si>
    <t>Boulder, Colorado United States</t>
  </si>
  <si>
    <t>Dance, Short</t>
  </si>
  <si>
    <t>https://sanssoucifest.org</t>
  </si>
  <si>
    <t>1528 Chapala Street Suite 203 Santa Barbara, CA 93101 United States</t>
  </si>
  <si>
    <t>Santa Barbara International Film Festival</t>
  </si>
  <si>
    <t>http://sbiff.org/</t>
  </si>
  <si>
    <t>https://filmfreeway.com/SBIFF</t>
  </si>
  <si>
    <t>524 Chapala St. Santa Barbara, CA 93101 United States</t>
  </si>
  <si>
    <t>1050 River St., Studio 118 Santa Cruz, CA 95060 United States</t>
  </si>
  <si>
    <t>Santa Cruz Film Festival</t>
  </si>
  <si>
    <t>https://www.santacruzfilmfestival.org/</t>
  </si>
  <si>
    <t>https://filmfreeway.com/SantaCruzFilmFestival</t>
  </si>
  <si>
    <t>60 E. San Francisco Street, Suite 307 Santa Fe, NM 87501 United States</t>
  </si>
  <si>
    <t>Santa Fe Film Festival</t>
  </si>
  <si>
    <t>http://www.santafefilmfestival.com/</t>
  </si>
  <si>
    <t>https://filmfreeway.com/TheSantaFeFilmFestival</t>
  </si>
  <si>
    <t>Santa Fe</t>
  </si>
  <si>
    <t>418 Montezuma Suite 22 Santa Fe, NM 87501 United States</t>
  </si>
  <si>
    <t>Santa Fe Independent Film Festival</t>
  </si>
  <si>
    <t>http://santafeindependentfilmfestival.com/</t>
  </si>
  <si>
    <t>https://filmfreeway.com/SantaFeIndependentFilmFestival</t>
  </si>
  <si>
    <t>601 Santa Monica Blvd, Santa Monica, CA 90401</t>
  </si>
  <si>
    <t>Santa Monica International Film Festival</t>
  </si>
  <si>
    <t>https://www.smff.org/</t>
  </si>
  <si>
    <t>https://filmfreeway.com/santamonica</t>
  </si>
  <si>
    <t>1130 Lincoln Blvd. Santa Monica, CA 90403 United States</t>
  </si>
  <si>
    <t>Santa Monica International Teen Film Festival</t>
  </si>
  <si>
    <t>https://www.smgov.net/teenfilmfest/</t>
  </si>
  <si>
    <t>https://filmfreeway.com/SAMOTeenFilmFest</t>
  </si>
  <si>
    <t>332 Cocoanut Avenue Sarasota, Florida 34236 United States</t>
  </si>
  <si>
    <t>216 E. Broughton St., Savannah, Georgia 31401</t>
  </si>
  <si>
    <t>Savannah Film Festival</t>
  </si>
  <si>
    <t>http://filmfest.scad.edu/</t>
  </si>
  <si>
    <t>https://filmfreeway.com/SCADSavannahFilmFestival</t>
  </si>
  <si>
    <t>Savannah</t>
  </si>
  <si>
    <t>5111 Abercorn Street Savannah, GA 31405 United States</t>
  </si>
  <si>
    <t>Savannah Jewish Film Festival</t>
  </si>
  <si>
    <t>https://www.savannahjea.org/sample/home-1a/community-programs</t>
  </si>
  <si>
    <t>https://filmfreeway.com/SavannahJewishFilmFestival</t>
  </si>
  <si>
    <t>1700 N. Charles st. Baltimore, MD 21201 United States</t>
  </si>
  <si>
    <t>Say It Loud Film Festival</t>
  </si>
  <si>
    <t>https://sayitloudfilmfestival.com/</t>
  </si>
  <si>
    <t>https://filmfreeway.com/SayItLoudFilmFestival</t>
  </si>
  <si>
    <t>104 MEADOW RIVER DR Liverpool, NY 13090 United States</t>
  </si>
  <si>
    <t>Scare-A-Con Film Festival</t>
  </si>
  <si>
    <t>http://scareacon.com/</t>
  </si>
  <si>
    <t>https://filmfreeway.com/ScareAConFilmFestival</t>
  </si>
  <si>
    <t>Liverpool</t>
  </si>
  <si>
    <t>805 East Pine Street, Seattle, Washington 98122 United States</t>
  </si>
  <si>
    <t>Short, Genre - (SciFi, Fantasy, Thriller, Horror, etc.)</t>
  </si>
  <si>
    <t>2101 N 69th Pl Scottsdale, Arizona 85257 United States</t>
  </si>
  <si>
    <t>Scottsdale International Film Festival</t>
  </si>
  <si>
    <t>https://www.scottsdalefilmfestival.com/</t>
  </si>
  <si>
    <t>https://filmfreeway.com/ScottsdaleInternationalFilmFestival</t>
  </si>
  <si>
    <t>Scottsdale</t>
  </si>
  <si>
    <t>25 Harbor Shore Drive, Boston, Massachusetts 02210</t>
  </si>
  <si>
    <t>6801 Hollywood Blvd. Hollywood, CA 90028</t>
  </si>
  <si>
    <t>Screamfest Horror Film Festival</t>
  </si>
  <si>
    <t>https://screamfestla.com/</t>
  </si>
  <si>
    <t>https://filmfreeway.com/ScreamfestHorrorFilmFestival</t>
  </si>
  <si>
    <t>1515 12th Avenue, Seattle, Washington 98122</t>
  </si>
  <si>
    <t xml:space="preserve">Seattle Asian American Film Festival </t>
  </si>
  <si>
    <t>http://seattleaaff.org/2018/</t>
  </si>
  <si>
    <t>https://filmfreeway.com/SeattleAsianAmericanFilmFestival</t>
  </si>
  <si>
    <t>104 17th Ave S Seattle, WA 98144 United States</t>
  </si>
  <si>
    <t>305 Harrison Street, WA 98109</t>
  </si>
  <si>
    <t>3801 E. Mercer Way, Mercer Island WA 98040</t>
  </si>
  <si>
    <t>4329 University Way Northeast, Seattle, Washington 98105</t>
  </si>
  <si>
    <t>Seattle Latino Film Festival</t>
  </si>
  <si>
    <t>https://www.slatinoff.org/</t>
  </si>
  <si>
    <t>https://filmfreeway.com/SeattleLatinoFilmFestival-1480669</t>
  </si>
  <si>
    <t>511 Queen Anne Avenue North, Seattle, Washington 98109 United States</t>
  </si>
  <si>
    <t>Seattle Polish Film Festival</t>
  </si>
  <si>
    <t>http://www.polishfilms.org</t>
  </si>
  <si>
    <t>805 E Pine St, Seattle, WA 98122</t>
  </si>
  <si>
    <t>Seattle Queer Film Festival</t>
  </si>
  <si>
    <t>https://threedollarbillcinema.org/seaqueerfilmfest</t>
  </si>
  <si>
    <t>https://filmfreeway.com/sqff</t>
  </si>
  <si>
    <t>316 S Maynard Ave S #107 Seattle, WA 98104 United States</t>
  </si>
  <si>
    <t>Seattle True Independent Film Festival</t>
  </si>
  <si>
    <t>http://trueindependent.org/</t>
  </si>
  <si>
    <t>https://filmfreeway.com/STIFF</t>
  </si>
  <si>
    <t>282 S. High St Sebastopol, CA 95472 United States</t>
  </si>
  <si>
    <t>2030 W State Rte 89A Ste A3 Sedona, Arizona 86336 United States</t>
  </si>
  <si>
    <t xml:space="preserve">Sedona International Film Festival </t>
  </si>
  <si>
    <t>http://www.sedonafilmfestival.org/</t>
  </si>
  <si>
    <t>https://filmfreeway.com/SedonaInternationalFilmFestival</t>
  </si>
  <si>
    <t>Sedona</t>
  </si>
  <si>
    <t>58 Tourtellot Hill Road Chepachet, RI 02814 United States</t>
  </si>
  <si>
    <t>SENE Film Festival</t>
  </si>
  <si>
    <t>https://www.senefest.com/</t>
  </si>
  <si>
    <t>https://filmfreeway.com/SENE</t>
  </si>
  <si>
    <t>Chepachet</t>
  </si>
  <si>
    <t>Murphys, CA 95247</t>
  </si>
  <si>
    <t>SF Shorts: San Francisco International Festival of Short Films</t>
  </si>
  <si>
    <t>http://www.sfshorts.org/</t>
  </si>
  <si>
    <t>https://filmfreeway.com/SFShorts</t>
  </si>
  <si>
    <t>194 Granite Street Uxbridge, MA 01569</t>
  </si>
  <si>
    <t xml:space="preserve">Shawna Shea Film Festival, The </t>
  </si>
  <si>
    <t>https://www.shawnasheaff.org/</t>
  </si>
  <si>
    <t>https://filmfreeway.com/TheShawnaSheaFilmFestival</t>
  </si>
  <si>
    <t>Uxbridge</t>
  </si>
  <si>
    <t>15021 Ventura Blvd Suite 523 Sherman Oaks, CA 91403 United States</t>
  </si>
  <si>
    <t>Sherman Oaks Film Festival</t>
  </si>
  <si>
    <t>http://shermanoaksfilmfestival.com/</t>
  </si>
  <si>
    <t>https://filmfreeway.com/shermanoaksfilmfest</t>
  </si>
  <si>
    <t>506 West Michigan Street Duluth, MN 55802 United States</t>
  </si>
  <si>
    <t>Short Shorts Film Festival</t>
  </si>
  <si>
    <t>https://duluthplayhouse.org/</t>
  </si>
  <si>
    <t>https://filmfreeway.com/15thAnnualShortShortsFilmFestival</t>
  </si>
  <si>
    <t>11459 Mayfield Rd. #408 Cleveland, Ohio 44106 United States</t>
  </si>
  <si>
    <t xml:space="preserve">Short. Sweet. Film Fest. </t>
  </si>
  <si>
    <t>http://shortsweetfilmfest.com/</t>
  </si>
  <si>
    <t>https://filmfreeway.com/ShortSweetFilmFest</t>
  </si>
  <si>
    <t>2646 North Milwaukee Ave, Chicago, Illinois 60647</t>
  </si>
  <si>
    <t>Shortcut100</t>
  </si>
  <si>
    <t>https://nebulacreatives.com/shortcut-100-2018/</t>
  </si>
  <si>
    <t>https://filmfreeway.com/Shortcut100</t>
  </si>
  <si>
    <t>136 Martin University of Central Missouri Warrensburg, MO 64093 United States</t>
  </si>
  <si>
    <t>Show Me Justice Film Festival</t>
  </si>
  <si>
    <t>http://www.showmejusticefilmfestival.com/</t>
  </si>
  <si>
    <t>https://filmfreeway.com/SMJFF</t>
  </si>
  <si>
    <t>Warrensburg</t>
  </si>
  <si>
    <t>Shriekfest Horror Film Festival</t>
  </si>
  <si>
    <t>http://www.shriekfest.com/</t>
  </si>
  <si>
    <t>https://filmfreeway.com/ShriekfestFilmFestival</t>
  </si>
  <si>
    <t>39 South Magnolia Ave, Orlando, FL 32801</t>
  </si>
  <si>
    <t>http://www.sicknwrongfilm.com</t>
  </si>
  <si>
    <t>https://filmfreeway.com/SicknWrong</t>
  </si>
  <si>
    <t>122 East Chatham Street, Cary, North Carolina 27511</t>
  </si>
  <si>
    <t>Sick Chick Flicks Film Festival</t>
  </si>
  <si>
    <t>https://www.sickchickflicksfilmfestival.com/</t>
  </si>
  <si>
    <t>https://filmfreeway.com/sickchickflicks</t>
  </si>
  <si>
    <t>Cary</t>
  </si>
  <si>
    <t>310 18th St. N. Suite 404 Birmingham, Alabama 35203 United States</t>
  </si>
  <si>
    <t>Sidewalk Film Festival</t>
  </si>
  <si>
    <t>https://www.sidewalkfest.com/</t>
  </si>
  <si>
    <t>https://filmfreeway.com/Sidewalkfilm</t>
  </si>
  <si>
    <t>Birmingham</t>
  </si>
  <si>
    <t>5300 Melrose Avenue Los Angeles, CA 90038 United States</t>
  </si>
  <si>
    <t>Sierra Canyon Film Festival</t>
  </si>
  <si>
    <t>https://www.sierracanyonschool.org/page/arts/scs-film-festival</t>
  </si>
  <si>
    <t>https://filmfreeway.com/SierraCanyonFilmFestival</t>
  </si>
  <si>
    <t>23800 Via Del Rio Yorba Linda, CA 92887 United States</t>
  </si>
  <si>
    <t>Sikhlens: Sikh Arts &amp; Film Festival</t>
  </si>
  <si>
    <t>https://sikhlens.com/</t>
  </si>
  <si>
    <t>https://filmfreeway.com/Sikhlens</t>
  </si>
  <si>
    <t>Yorba Linda</t>
  </si>
  <si>
    <t>135 4th Street, San Francisco, California 94103</t>
  </si>
  <si>
    <t>Silicon Valley International Film Festival</t>
  </si>
  <si>
    <t>http://siliconvalleyfilm.com</t>
  </si>
  <si>
    <t>https://filmfreeway.com/SiliconValleyInternationalFilmFestival</t>
  </si>
  <si>
    <t>3715 Cheyenne Boulevard Sioux City, IA 51104 United States</t>
  </si>
  <si>
    <t>Sioux City International Film Festival</t>
  </si>
  <si>
    <t>http://www.siouxcityfilmfest.org/</t>
  </si>
  <si>
    <t>https://filmfreeway.com/SiouxCityFilmFestival</t>
  </si>
  <si>
    <t>Sioux City</t>
  </si>
  <si>
    <t>6081 Center Drive, Los Angeles, California 90045 United States</t>
  </si>
  <si>
    <t>Sistas Are Doing It For Themselves</t>
  </si>
  <si>
    <t>http://www.bherc.org</t>
  </si>
  <si>
    <t>7 N. Loudoun Street Winchester, VA 22601 United States</t>
  </si>
  <si>
    <t xml:space="preserve">Skyline Indie Film Festival </t>
  </si>
  <si>
    <t>https://www.skylineindiefilmfest.org/</t>
  </si>
  <si>
    <t>https://filmfreeway.com/skylineindiefilmfest</t>
  </si>
  <si>
    <t>Winchester</t>
  </si>
  <si>
    <t>136 Heber Ave, Park City, UT 84060</t>
  </si>
  <si>
    <t xml:space="preserve">Slamdance Film Festival </t>
  </si>
  <si>
    <t>http://www.slamdance.com/</t>
  </si>
  <si>
    <t>https://filmfreeway.com/SlamdanceFilmFestival</t>
  </si>
  <si>
    <t>Park City</t>
  </si>
  <si>
    <t>Lawrence, Kansas United States</t>
  </si>
  <si>
    <t>Genre - (SciFi, Fantasy, Thriller, Horror, etc.), Short</t>
  </si>
  <si>
    <t>Slash &amp; Bash Horror/Sci-Fi Film Festival</t>
  </si>
  <si>
    <t>https://www.facebook.com/TopekaSlashandBash</t>
  </si>
  <si>
    <t>1028 Park St Jacksonville, Fl 32204</t>
  </si>
  <si>
    <t>Smoky Mountains Film Festival</t>
  </si>
  <si>
    <t>http://www.smokymountainfilmfest.com/</t>
  </si>
  <si>
    <t>https://filmfreeway.com/SmokyMountainFilmFest</t>
  </si>
  <si>
    <t>1301 S. 3rd St Burlington, IA 52601 United States</t>
  </si>
  <si>
    <t>http://new.snakealleyfestivaloffilm.com/</t>
  </si>
  <si>
    <t>https://filmfreeway.com/SnakeAlleyFestivalOfFilm</t>
  </si>
  <si>
    <t>Burlington</t>
  </si>
  <si>
    <t>317 Washington Street, Watertown, New York 13601</t>
  </si>
  <si>
    <t>Snowtown Film Festival</t>
  </si>
  <si>
    <t>https://www.snowtownfilmfestival.com/</t>
  </si>
  <si>
    <t>https://filmfreeway.com/SnowtownFilmFestival</t>
  </si>
  <si>
    <t>9425 35th Ave NE Suite E Seattle, WA 98115 United States</t>
  </si>
  <si>
    <t>Social Justice Film Festival</t>
  </si>
  <si>
    <t>http://www.socialjusticefilmfestival.org/</t>
  </si>
  <si>
    <t>https://filmfreeway.com/SocialJusticeFilmFestival</t>
  </si>
  <si>
    <t>Vancouver, British Columbia V6C 3E2 Canada</t>
  </si>
  <si>
    <t>Society for Visual Anthropology Film and Media Festival</t>
  </si>
  <si>
    <t>http://societyforvisualanthropology.org</t>
  </si>
  <si>
    <t>Vancouver</t>
  </si>
  <si>
    <t>BC</t>
  </si>
  <si>
    <t>189 2nd Avenue, New York, New York 10003</t>
  </si>
  <si>
    <t>SOHO International Film Festival</t>
  </si>
  <si>
    <t>http://www.sohofilmfest.com/</t>
  </si>
  <si>
    <t>https://filmfreeway.com/SohoFilmFest</t>
  </si>
  <si>
    <t>60 Woodland Road, Maplewood, New Jersey 07040</t>
  </si>
  <si>
    <t>Somerville International Film Festival</t>
  </si>
  <si>
    <t>http://www.somervillefilmfestival.com/</t>
  </si>
  <si>
    <t>https://filmfreeway.com/SomervilleFilmFestival</t>
  </si>
  <si>
    <t>103 E. Napa St. Suite A Sonoma, California 95476 United States</t>
  </si>
  <si>
    <t>12501 Old Columbia Pike, Silver Spring, MD  20904</t>
  </si>
  <si>
    <t>District Heights, Maryland 20747 United States</t>
  </si>
  <si>
    <t>1758 W. Wilson Ave. Chicago, IL 60640 United States</t>
  </si>
  <si>
    <t>Sound of Silent Film Festival</t>
  </si>
  <si>
    <t>https://www.acmusic.org/productions/sound-of-silent-film-festival-2019/</t>
  </si>
  <si>
    <t>https://filmfreeway.com/SoundofSilentFilmFestival</t>
  </si>
  <si>
    <t>4032 24th Ave S. Minneapolis, MN 55406 United States</t>
  </si>
  <si>
    <t>http://www.soundunseen.com/</t>
  </si>
  <si>
    <t>https://filmfreeway.com/SoundUnseen</t>
  </si>
  <si>
    <t>154 Grand Street, New York, NY 10013 United States</t>
  </si>
  <si>
    <t>South Asian International Film Festival</t>
  </si>
  <si>
    <t>http://www.saiff.org</t>
  </si>
  <si>
    <t>1401 Artesia Blvd., Manhattan Beach, CA 90266 United States</t>
  </si>
  <si>
    <t>South Bay Student Video Festival</t>
  </si>
  <si>
    <t>Manhattan Beach</t>
  </si>
  <si>
    <t>400 Bowie St, Austin, TX 78703</t>
  </si>
  <si>
    <t>4820 Jenkins Avenue, North Charleston, South Carolina 29405</t>
  </si>
  <si>
    <t>South Carolina Underground Film Festival</t>
  </si>
  <si>
    <t>http://www.sc-uff.com/</t>
  </si>
  <si>
    <t>https://filmfreeway.com/SouthCarolinaUndergroundFilmFestival</t>
  </si>
  <si>
    <t>417 S. Main Street Aberdeen, SD 57401 United States</t>
  </si>
  <si>
    <t>South Dakota Film Festival</t>
  </si>
  <si>
    <t>http://southdakotafilmfest.org/</t>
  </si>
  <si>
    <t>https://filmfreeway.com/SouthDakotaFilmFestival</t>
  </si>
  <si>
    <t>Aberdeen</t>
  </si>
  <si>
    <t>7119 W. Sunset Blvd. 306 Los Angeles, CA 90046 United States</t>
  </si>
  <si>
    <t>South East European Film Festival Los Angeles</t>
  </si>
  <si>
    <t>http://seefilmla.org/</t>
  </si>
  <si>
    <t>https://filmfreeway.com/SouthEastEuropeanFilmFestival</t>
  </si>
  <si>
    <t>1500 N PATTERSON ST VALDOSTA, GA 31609</t>
  </si>
  <si>
    <t>http://southgeorgiafilm.com</t>
  </si>
  <si>
    <t>https://filmfreeway.com/SOUTHGEORGIAFILMFESTIVAL/</t>
  </si>
  <si>
    <t>Valdosta</t>
  </si>
  <si>
    <t>26 East 3rd Street Bethlehem, PA 18015 United States</t>
  </si>
  <si>
    <t>South Side Film Festival Bethelham, PA</t>
  </si>
  <si>
    <t>http://southsidefilmfestival.com/</t>
  </si>
  <si>
    <t>https://filmfreeway.com/SouthSideFilmFestivalBethlehemPA</t>
  </si>
  <si>
    <t>Bethlehem</t>
  </si>
  <si>
    <t>1906 S. Closner Blvd. Edinburg, TX 78539 United States</t>
  </si>
  <si>
    <t>South Texas International Film Festival</t>
  </si>
  <si>
    <t>https://stxiff.com/</t>
  </si>
  <si>
    <t>https://filmfreeway.com/STXIFF</t>
  </si>
  <si>
    <t>Edinburg</t>
  </si>
  <si>
    <t>3302 Austin St Corpus Christi, Texas 78411</t>
  </si>
  <si>
    <t>South Texas Underground Film Festival</t>
  </si>
  <si>
    <t>http://www.stuftx.org/</t>
  </si>
  <si>
    <t>https://filmfreeway.com/STUFtx</t>
  </si>
  <si>
    <t>Corpus Christi</t>
  </si>
  <si>
    <t>1411 5th Ave N, Nashville, Tennessee 37208</t>
  </si>
  <si>
    <t>Southeastern International Film Festival</t>
  </si>
  <si>
    <t>http://southeasternfilm.com/</t>
  </si>
  <si>
    <t>https://filmfreeway.com/SoutheasternFilmFestival</t>
  </si>
  <si>
    <t>134 North Railroad Avenue, Willcox, Arizona 85643</t>
  </si>
  <si>
    <t>215 The Alley Southwest, Aiken, South Carolina 29801</t>
  </si>
  <si>
    <t xml:space="preserve">www.southerncity.org </t>
  </si>
  <si>
    <t xml:space="preserve">filmfreeway.com/southerncity </t>
  </si>
  <si>
    <t>Aiken</t>
  </si>
  <si>
    <t>433 Jefferson St, Lafayette, LA 70501</t>
  </si>
  <si>
    <t>Southern Screen Festival</t>
  </si>
  <si>
    <t>http://southernscreen.org/</t>
  </si>
  <si>
    <t>5060 West Alabama St., Houston, TX 77056 United States</t>
  </si>
  <si>
    <t>Short, Social Justice</t>
  </si>
  <si>
    <t>SPE Media Festival</t>
  </si>
  <si>
    <t xml:space="preserve">https://www.spenational.org/spe-media-festival </t>
  </si>
  <si>
    <t>Cape Cod, MA</t>
  </si>
  <si>
    <t>Spectrum Film Festival (LGBTQ)</t>
  </si>
  <si>
    <t>https://mvfilmsociety.com/spectrumfilmfestival</t>
  </si>
  <si>
    <t>700 Luther Dr Mankato, Minnesota 56001 United States</t>
  </si>
  <si>
    <t>901 West Sprague Avenue, Spokane, Washington 99201</t>
  </si>
  <si>
    <t>Spokane International Film Festival</t>
  </si>
  <si>
    <t>https://spokanefilmfestival.org/</t>
  </si>
  <si>
    <t>https://filmfreeway.com/SpokaneInternationalFilmFestival</t>
  </si>
  <si>
    <t>Spokane</t>
  </si>
  <si>
    <t>1212 West Lincoln Highway, DeKalb, Illinois 60115</t>
  </si>
  <si>
    <t>Spook Show Film Festival</t>
  </si>
  <si>
    <t>http://www.spookshowcon.com/</t>
  </si>
  <si>
    <t>https://filmfreeway.com/SpookShowCon</t>
  </si>
  <si>
    <t>Tampa, FL</t>
  </si>
  <si>
    <t>Spooky Empire's International Horror Film Festival</t>
  </si>
  <si>
    <t>http://spookyempire.com</t>
  </si>
  <si>
    <t>8633 Colesville Rd, Silver Spring, MD 20910</t>
  </si>
  <si>
    <t>Spooky Movie International Horror Film Festival</t>
  </si>
  <si>
    <t>http://www.spookyfest.com/</t>
  </si>
  <si>
    <t>https://filmfreeway.com/TheSpookyMovieInternationalHorrorFilmFestival</t>
  </si>
  <si>
    <t>13363 Partridge Road North Stillwater, MN 55082 United States</t>
  </si>
  <si>
    <t>Square Lake Film &amp; Music Festival</t>
  </si>
  <si>
    <t>http://www.squarelakefestival.com/</t>
  </si>
  <si>
    <t>https://filmfreeway.com/SquareLakeFilmMusicFestival</t>
  </si>
  <si>
    <t>80 La Salle Street #16H New York, NY 10027 United States</t>
  </si>
  <si>
    <t>3219 College St Savannah, GA 31404 United States</t>
  </si>
  <si>
    <t>SSU Indie Film Festival</t>
  </si>
  <si>
    <t>http://ssuindiefilmfest.weebly.com/</t>
  </si>
  <si>
    <t>https://filmfreeway.com/SSUIndieFilmFestival</t>
  </si>
  <si>
    <t>804 W St Germain St St Cloud, MN 56301 United States</t>
  </si>
  <si>
    <t>St. Cloud Film Festival</t>
  </si>
  <si>
    <t>http://www.stcloudfilmfest.com/</t>
  </si>
  <si>
    <t>https://filmfreeway.com/StCloudFilmFest</t>
  </si>
  <si>
    <t>St. Cloud</t>
  </si>
  <si>
    <t>180 REMSEN STREET Brooklyn Heights, NY 11201-9902 United States</t>
  </si>
  <si>
    <t xml:space="preserve">St. Francis College's Women's Film Festival </t>
  </si>
  <si>
    <t>https://www.sfc.edu/academics/undergraduate/communicationarts/womensfilmfest</t>
  </si>
  <si>
    <t>https://filmfreeway.com/StFrancisCollegeWomensFilmFestival</t>
  </si>
  <si>
    <t>Brooklyn Heights</t>
  </si>
  <si>
    <t>3547 Olive St. Suite 260 St. Louis, MO 63103 United States</t>
  </si>
  <si>
    <t xml:space="preserve">St. Louis International Film Festival </t>
  </si>
  <si>
    <t>http://www.cinemastlouis.org/</t>
  </si>
  <si>
    <t>2 Millstone Campus Drive, St. Louis, MO 63146</t>
  </si>
  <si>
    <t>St. Louis Jewish Film Festival</t>
  </si>
  <si>
    <t>https://jccstl.com/arts-ideas/st-louis-jewish-film-festival/</t>
  </si>
  <si>
    <t>Staller Center for the Arts, Stony Brook, NY 11794</t>
  </si>
  <si>
    <t>Stony Brook Film Festival</t>
  </si>
  <si>
    <t>https://www.stonybrookfilmfestival.com/</t>
  </si>
  <si>
    <t>https://filmfreeway.com/StonyBrookFilmFestival</t>
  </si>
  <si>
    <t>Stony Brook</t>
  </si>
  <si>
    <t>Studio City Film Festival</t>
  </si>
  <si>
    <t>https://www.studiocityfest.com/</t>
  </si>
  <si>
    <t>https://filmfreeway.com/StudioCityFilmFestival</t>
  </si>
  <si>
    <t xml:space="preserve">Sun Valley, Idaho 83353 </t>
  </si>
  <si>
    <t>1825 Three Kings Dr., Park City, UT 84060</t>
  </si>
  <si>
    <t xml:space="preserve">Sundance Film Festival </t>
  </si>
  <si>
    <t>http://www.sundance.org/festivals/sundance-film-festival#/</t>
  </si>
  <si>
    <t>https://filmfreeway.com/Sundance</t>
  </si>
  <si>
    <t>1731 Market Street, Redding, California 96001</t>
  </si>
  <si>
    <t>Sundial Film Festival</t>
  </si>
  <si>
    <t>https://www.sundialfilmfestival.com/</t>
  </si>
  <si>
    <t>https://filmfreeway.com/SundialFilmFestival</t>
  </si>
  <si>
    <t>Redding</t>
  </si>
  <si>
    <t>Sunnyside, NY 11104 United States</t>
  </si>
  <si>
    <t>Sunnyside Shorts International Film Festival</t>
  </si>
  <si>
    <t>http://www.sunnysideshorts.com</t>
  </si>
  <si>
    <t>https://filmfreeway.com/SunnysideShortsFilmFestival2020</t>
  </si>
  <si>
    <t>Sunnyside</t>
  </si>
  <si>
    <t>1600 Rosecrans 4th Floor Bldg. 7 Manhattan Beach, CA 90266 United States</t>
  </si>
  <si>
    <t>Sunscreen Film Fest West</t>
  </si>
  <si>
    <t>http://ssffwest.com/</t>
  </si>
  <si>
    <t>https://filmfreeway.com/SunscreenWest</t>
  </si>
  <si>
    <t>Los Angeles, CA 91367 United States</t>
  </si>
  <si>
    <t xml:space="preserve">Sunset Film Festival Los Angeles </t>
  </si>
  <si>
    <t>http://www.sunsetfilmfestival.com/</t>
  </si>
  <si>
    <t>https://filmfreeway.com/SunsetFilmFestivalLosAngeles</t>
  </si>
  <si>
    <t>151 2nd Avenue North, Saint Petersburg, Florida 33701</t>
  </si>
  <si>
    <t>Sunshine City Film Festival</t>
  </si>
  <si>
    <t>http://www.sunshinecityfilmfestival.com/</t>
  </si>
  <si>
    <t>https://filmfreeway.com/SunshineCityFilmFestival-1</t>
  </si>
  <si>
    <t>Saint Peterburg</t>
  </si>
  <si>
    <t>1155 Market Street 10th Floor San Francisco, CA 94103 United States</t>
  </si>
  <si>
    <t>Superfest International Disability Film Festival</t>
  </si>
  <si>
    <t>http://www.superfestfilm.com/</t>
  </si>
  <si>
    <t>https://filmfreeway.com/Superfest</t>
  </si>
  <si>
    <t>1153 West Fayette Street, Syracuse, NY 13204 United States</t>
  </si>
  <si>
    <t>Syracuse International Film Festival</t>
  </si>
  <si>
    <t>http://syrfilm.com</t>
  </si>
  <si>
    <t>Syracuse</t>
  </si>
  <si>
    <t>606 S Fawcett AVE Tacoma, Washington 98402 United States</t>
  </si>
  <si>
    <t>Tacoma Film Festival</t>
  </si>
  <si>
    <t>http://www.tacomafilmfestival.com/</t>
  </si>
  <si>
    <t>https://filmfreeway.com/tff</t>
  </si>
  <si>
    <t>3050 Lake Tahoe Blvd, South Lake Tahoe, CA 96150</t>
  </si>
  <si>
    <t>Tahoe Adventure Film Festival</t>
  </si>
  <si>
    <t>http://laketahoefilmfestival.com/?fbclid=IwAR0W9-VjHjYekgbNoNV47gVrUl6xRBhPTPSQxetfDkQx91y_HEMLhuKc1Nw</t>
  </si>
  <si>
    <t>Lake Tahoe</t>
  </si>
  <si>
    <t>3551 Blairstone Rd Suite 105-144 Tallahassee, Florida 32301 United States</t>
  </si>
  <si>
    <t>212 N Market St Suite 200 Wichita, KS 67202 United States</t>
  </si>
  <si>
    <t>Tallgrass Film Festival</t>
  </si>
  <si>
    <t>http://tallgrassfilmfest.com/</t>
  </si>
  <si>
    <t>https://filmfreeway.com/TallgrassFilmFestival</t>
  </si>
  <si>
    <t>Wichita</t>
  </si>
  <si>
    <t>200 South Duval Street, Tallahassee, Florida 32301</t>
  </si>
  <si>
    <t>Tally Shorts Film Festival</t>
  </si>
  <si>
    <t>https://tallyshorts.com/</t>
  </si>
  <si>
    <t>https://filmfreeway.com/TallyShortsFilmFestival</t>
  </si>
  <si>
    <t>11800 N Florida Ave, Tampa, FL 33682-7816</t>
  </si>
  <si>
    <t>Tampa Bay International Gay and Lesbian Film Festival</t>
  </si>
  <si>
    <t>https://tiglff.com/</t>
  </si>
  <si>
    <t>https://filmfreeway.com/TampaInternationalGayLesbianFilmFestival</t>
  </si>
  <si>
    <t>Tampa Bay</t>
  </si>
  <si>
    <t>13009 Community Campus Drive, Tampa, FL 33625</t>
  </si>
  <si>
    <t>Tampa Bay Jewish Film Festival</t>
  </si>
  <si>
    <t>https://www.tbjff.org/</t>
  </si>
  <si>
    <t>3938 S Dale Mabry Hwy, Tampa, FL 33611</t>
  </si>
  <si>
    <t>Tampa Bay Underground Film Festival</t>
  </si>
  <si>
    <t>http://tbuff.org/</t>
  </si>
  <si>
    <t>https://filmfreeway.com/TampaBayUndergroundFilmFestival</t>
  </si>
  <si>
    <t>11800 N Florida Ave STE 17816, Tampa, FL 33682-7816</t>
  </si>
  <si>
    <t>Tampa International Gay and Lesbian Film Festival</t>
  </si>
  <si>
    <t>1977 Old State Rd 3 Questa, New Mexico 87556</t>
  </si>
  <si>
    <t>Tasveer South Asian Film Festival</t>
  </si>
  <si>
    <t>http://tsaff.tasveer.org</t>
  </si>
  <si>
    <t>503 Cedar Lane, Teaneck, NJ 07666</t>
  </si>
  <si>
    <t>Teaneck International Film Festival</t>
  </si>
  <si>
    <t>https://www.teaneckfilmfestival.org/</t>
  </si>
  <si>
    <t>110 N Oak St, Telluride, CO 81435</t>
  </si>
  <si>
    <t>Telluride Film Festival</t>
  </si>
  <si>
    <t>https://telluridefilmfestival.org/</t>
  </si>
  <si>
    <t>https://passes.telluridefilmfestival.org/filmsubmission</t>
  </si>
  <si>
    <t>126 W. Colorado Ave Unit 102-B Telluride, CO 81435 United States</t>
  </si>
  <si>
    <t xml:space="preserve">Telluride Horror Show </t>
  </si>
  <si>
    <t>https://www.telluridehorrorshow.com/</t>
  </si>
  <si>
    <t>https://filmfreeway.com/TellurideHorrorShow</t>
  </si>
  <si>
    <t>Hoboken, NJ 07030 United States</t>
  </si>
  <si>
    <t>Thomas Edison Black Maria Film Festival</t>
  </si>
  <si>
    <t xml:space="preserve">https://www.blackmariafilmfestival.org/page.php?content=content-ourcollection-2019 </t>
  </si>
  <si>
    <t>Hoboken</t>
  </si>
  <si>
    <t>1130 Wealthy Street Southeast, Grand Rapids, Michigan 49506 United States</t>
  </si>
  <si>
    <t>Thriller! Chiller!</t>
  </si>
  <si>
    <t>https://www.thrillerchiller.com</t>
  </si>
  <si>
    <t>Grand Rapids</t>
  </si>
  <si>
    <t>Sarasota, Florida 34239</t>
  </si>
  <si>
    <t>Through Women's Eyes Film Festival</t>
  </si>
  <si>
    <t>http://www.throughwomenseyes.com/</t>
  </si>
  <si>
    <t>https://filmfreeway.com/ThroughWomensEyes</t>
  </si>
  <si>
    <t>3117 16th Street, San Francisco, California 94103</t>
  </si>
  <si>
    <t>Short, Dance</t>
  </si>
  <si>
    <t>1111 N Topanga Canyon Blvd., Topanga, CA 90290 United States</t>
  </si>
  <si>
    <t>Topanga Film Festival</t>
  </si>
  <si>
    <t>https://topangafilminstitute.org</t>
  </si>
  <si>
    <t>Topanga</t>
  </si>
  <si>
    <t>Dallas, TX United States</t>
  </si>
  <si>
    <t>Topaz Film Festival by Women in Film Dallas</t>
  </si>
  <si>
    <t>https://www.wifdallas.org</t>
  </si>
  <si>
    <t>138 Baldwin Street, Johnson City, NY 13790</t>
  </si>
  <si>
    <t>Transient Visions Festival of the Moving Image</t>
  </si>
  <si>
    <t>http://www.transientvisions.org/</t>
  </si>
  <si>
    <t>1122 E Pike St #1313 Seattle, WA 98122 United States</t>
  </si>
  <si>
    <t>Translations: Seattle Transgender Film Festival</t>
  </si>
  <si>
    <t>https://threedollarbillcinema.org/translations/</t>
  </si>
  <si>
    <t>https://filmfreeway.com/Translations</t>
  </si>
  <si>
    <t>233 E Front Street, Traverse City, MI 49684</t>
  </si>
  <si>
    <t>https://www.traversecityfilmfest.org/</t>
  </si>
  <si>
    <t>https://filmfreeway.com/TraverseCityFilmFestival</t>
  </si>
  <si>
    <t>Traverse City</t>
  </si>
  <si>
    <t>2539 South U.S. 1, Fort Pierce, FL 34982</t>
  </si>
  <si>
    <t>205 E. Front Street, Trenton, NJ 08605</t>
  </si>
  <si>
    <t>1300 Jadwin Avenue, Richland, Washington 99354</t>
  </si>
  <si>
    <t>Tri-Cities International Film Festival</t>
  </si>
  <si>
    <t>http://www.trifi.org/</t>
  </si>
  <si>
    <t>https://filmfreeway.com/TriCitiesInternationalFilmFestival</t>
  </si>
  <si>
    <t>Richland</t>
  </si>
  <si>
    <t>2444 E. 20th St Tulsa, okla 74114 United States</t>
  </si>
  <si>
    <t>Tribal Film Festival</t>
  </si>
  <si>
    <t>http://tribalfilmfestival.org/</t>
  </si>
  <si>
    <t>https://filmfreeway.com/TribalFilmFestival</t>
  </si>
  <si>
    <t>Tulsa</t>
  </si>
  <si>
    <t>375 Greenwich St, New York, NY 10013</t>
  </si>
  <si>
    <t>300 Summit Street Box 702574 Hartford, CT 06106 United States</t>
  </si>
  <si>
    <t>Trinity Film Festival</t>
  </si>
  <si>
    <t>http://www.trinityfilmfestival.org/</t>
  </si>
  <si>
    <t>https://filmfreeway.com/TrinityFilmFestival</t>
  </si>
  <si>
    <t>27139 Stanford Inkster, MI 48141 United States</t>
  </si>
  <si>
    <t>Trinity International Film Festival</t>
  </si>
  <si>
    <t>http://trinityinternationalfilmfest.blogspot.com/</t>
  </si>
  <si>
    <t>https://filmfreeway.com/TrinityInternationalFilmFestival</t>
  </si>
  <si>
    <t>Inkster</t>
  </si>
  <si>
    <t>5 South Ninth St., Columbia, MO 65201</t>
  </si>
  <si>
    <t xml:space="preserve">True/False Film Festival </t>
  </si>
  <si>
    <t>http://www.truefalse.org/</t>
  </si>
  <si>
    <t>https://truefalse.org/submit/features-shorts/</t>
  </si>
  <si>
    <t>127 E Congress St., Tucson, AZ 85701</t>
  </si>
  <si>
    <t>Tucson Film &amp; Music Festival</t>
  </si>
  <si>
    <t>www.tucsonfilmandmusicfestival.com</t>
  </si>
  <si>
    <t>https://filmfreeway.com/TucsonFilmFestival</t>
  </si>
  <si>
    <t>3800 E. River Road, Tucson, AZ 85718-6600</t>
  </si>
  <si>
    <t>https://tucsonjcc.org/arts/tijff/</t>
  </si>
  <si>
    <t>96 W. 15th St., Holland, MI 49423 United States</t>
  </si>
  <si>
    <t>Tulipanes Latino Art &amp; Film Festival</t>
  </si>
  <si>
    <t xml:space="preserve">http://www.laup.org/tulipanes </t>
  </si>
  <si>
    <t>Holland</t>
  </si>
  <si>
    <t>2205 East Admiral Blvd. Tulsa, OK 74110 United States</t>
  </si>
  <si>
    <t>Tulsa American Film Festival</t>
  </si>
  <si>
    <t>http://www.tulsaamericanfilmfest.com/</t>
  </si>
  <si>
    <t>https://filmfreeway.com/TulsaAmericanFilmFestival</t>
  </si>
  <si>
    <t>2910 S. 33rd W. Ave., Tulsa, OK 74107</t>
  </si>
  <si>
    <t>Tulsa Overground Film &amp; Music Festival</t>
  </si>
  <si>
    <t>http://tulsaoverground.com/</t>
  </si>
  <si>
    <t>https://filmfreeway.com/TulsaOverground</t>
  </si>
  <si>
    <t>219 N Madison St, Tupelo, MS Tupelo, MS 38802</t>
  </si>
  <si>
    <t>2446 University Ave W Suite 115 St. Paul, Minnesota (MN) 55114 United States</t>
  </si>
  <si>
    <t>Twin Cities Arab Film Festival</t>
  </si>
  <si>
    <t>https://mizna.org/arabfilmfest/</t>
  </si>
  <si>
    <t>https://filmfreeway.com/MiznaTwinCitiesArabFilmFestival</t>
  </si>
  <si>
    <t>Minneapolis, Minnesota 55419</t>
  </si>
  <si>
    <t>Twin Cities Black Film Festival</t>
  </si>
  <si>
    <t>http://www.tcbff.org/</t>
  </si>
  <si>
    <t>https://filmfreeway.com/tcbff</t>
  </si>
  <si>
    <t>1621 West End Blvd. St. Louis Park, mn 55416 United States</t>
  </si>
  <si>
    <t>Twin Cities Film Festival</t>
  </si>
  <si>
    <t>http://twincitiesfilmfest.org/</t>
  </si>
  <si>
    <t>https://filmfreeway.com/TwinCitiesFilmFest</t>
  </si>
  <si>
    <t>4330 Cedar Lake Rd, St Louis Park, MN 55416</t>
  </si>
  <si>
    <t>Twin Cities Jewish Film Festival</t>
  </si>
  <si>
    <t>http://tcjfilmfest.org/</t>
  </si>
  <si>
    <t>https://filmfreeway.com/TwinCitiesJewishFilmFestival</t>
  </si>
  <si>
    <t>St. Louis Park</t>
  </si>
  <si>
    <t>146 Main Ave W, Twin Falls, ID 83301</t>
  </si>
  <si>
    <t>Twin Falls Sandwiches Film Festival</t>
  </si>
  <si>
    <t>https://www.twinfallssandwichesfilmfestival.com/</t>
  </si>
  <si>
    <t>https://filmfreeway.com/TwinFallsSANDWICHESFilmFestival</t>
  </si>
  <si>
    <t>Twin Falls</t>
  </si>
  <si>
    <t>818 Main Street, Woodward, Oklahoma 73801</t>
  </si>
  <si>
    <t>Twister Alley Film Festival</t>
  </si>
  <si>
    <t>http://www.twisteralleyfilmfestival.com/</t>
  </si>
  <si>
    <t>https://filmfreeway.com/TwisterAlleyFilmFestival</t>
  </si>
  <si>
    <t>Woodward</t>
  </si>
  <si>
    <t>2020 Alumni Dr., Rock Hill, SC 29730</t>
  </si>
  <si>
    <t>5009 Storer Ave Cleveland, OH 44102</t>
  </si>
  <si>
    <t>http://www.unitedlatinofilm.com/</t>
  </si>
  <si>
    <t>https://filmfreeway.com/UnitedLatinoFilm</t>
  </si>
  <si>
    <t>590 Escondido Mall Stanford, CA 94305-3023 United States</t>
  </si>
  <si>
    <t>United Nations Association Film Festival (UNAFF)</t>
  </si>
  <si>
    <t>http://www.unaff.org/</t>
  </si>
  <si>
    <t>https://filmfreeway.com/UNAFF</t>
  </si>
  <si>
    <t>Palo Alto</t>
  </si>
  <si>
    <t>71 Hamilton Street, New Brunswick, New Jersey 08901 United States</t>
  </si>
  <si>
    <t>United States Super 8 Film and Digital Video Festival</t>
  </si>
  <si>
    <t>http://njfilmfest.com</t>
  </si>
  <si>
    <t>Palos Verdes Peninsula, CA 90274 United States</t>
  </si>
  <si>
    <t>2000 Lakeshore Drive, New Orleans, Louisiana 70122 United States</t>
  </si>
  <si>
    <t>UNO Film Festival</t>
  </si>
  <si>
    <t xml:space="preserve">https://unofilmfest.wixsite.com/2018 </t>
  </si>
  <si>
    <t>819 NW 2nd Ave Miami, FL 33136 United States</t>
  </si>
  <si>
    <t>Urban Film Festival</t>
  </si>
  <si>
    <t>http://urbanfilmfestivals.com/</t>
  </si>
  <si>
    <t>https://filmfreeway.com/UrbanFilmFestival</t>
  </si>
  <si>
    <t>66 Courtland Street Southeast, Atlanta, Georgia 30303</t>
  </si>
  <si>
    <t>Urban Mediamakers Festival</t>
  </si>
  <si>
    <t>http://www.umff.com/</t>
  </si>
  <si>
    <t>https://filmfreeway.com/UMFF</t>
  </si>
  <si>
    <t>174 W. 4th Street, New York, NY 10014 United States</t>
  </si>
  <si>
    <t>Urbanworld Film Festival</t>
  </si>
  <si>
    <t>https://www.urbanworld.org/</t>
  </si>
  <si>
    <t>https://filmfreeway.com/UrbanworldFilmFestival</t>
  </si>
  <si>
    <t>USA Film Festival</t>
  </si>
  <si>
    <t>https://filmfreeway.com/USAFilmFestival</t>
  </si>
  <si>
    <t>Utah Dance Film Festival</t>
  </si>
  <si>
    <t>http://www.utahdancefilmfestival.org/</t>
  </si>
  <si>
    <t>https://filmfreeway.com/UtahDanceFilmFestival</t>
  </si>
  <si>
    <t>15 Cresent Road,Suite 204 Greenbelt, MD 20770 United States</t>
  </si>
  <si>
    <t>Utopia Film Festival</t>
  </si>
  <si>
    <t>https://www.utopiafilmfestival.org/</t>
  </si>
  <si>
    <t>https://filmfreeway.com/Utopiafest-954719</t>
  </si>
  <si>
    <t>Greenbelt</t>
  </si>
  <si>
    <t>Vail, CO 81657 United States</t>
  </si>
  <si>
    <t>Valley Film Festival, The</t>
  </si>
  <si>
    <t>http://www.valleyfilmfest.com/</t>
  </si>
  <si>
    <t>https://filmfreeway.com/TheValleyFilmFestival</t>
  </si>
  <si>
    <t>60 Lake Street, Burlington, Vermont 05401</t>
  </si>
  <si>
    <t>Vermont International Film Festival</t>
  </si>
  <si>
    <t>http://vtiff.org/</t>
  </si>
  <si>
    <t>https://filmfreeway.com/VTIFF</t>
  </si>
  <si>
    <t>1360 US Hwy 1 Suite 6 Vero Beach, Florida 32960 United States</t>
  </si>
  <si>
    <t>Vero Beach Wine + Film Festival</t>
  </si>
  <si>
    <t>https://vbwff.com/</t>
  </si>
  <si>
    <t>https://filmfreeway.com/VeroBeachWineandFilmFestival</t>
  </si>
  <si>
    <t>Vero Beach</t>
  </si>
  <si>
    <t>One O'Connor Plaza Suite 930 Victoria, TX 77901 United States</t>
  </si>
  <si>
    <t xml:space="preserve">Victoria TX Independent Film Festival, The </t>
  </si>
  <si>
    <t>http://www.vtxiff.com/</t>
  </si>
  <si>
    <t>https://filmfreeway.com/vtxiff</t>
  </si>
  <si>
    <t>Victoria</t>
  </si>
  <si>
    <t>20 City Boulevard West, Orange, California 92868 United States</t>
  </si>
  <si>
    <t>Viet Film Fest</t>
  </si>
  <si>
    <t>http://www.vietfilmfest.com</t>
  </si>
  <si>
    <t>Orange</t>
  </si>
  <si>
    <t>617 West Main Street, Charlottesville, VA 22903</t>
  </si>
  <si>
    <t>Virginia Film Festival</t>
  </si>
  <si>
    <t>http://virgini...festival.org/</t>
  </si>
  <si>
    <t>https://filmfreeway.com/VirginiaFilmFestival</t>
  </si>
  <si>
    <t>Charlottesville</t>
  </si>
  <si>
    <t>28 Gleneida Avenue Carmel, NY 10512 United States</t>
  </si>
  <si>
    <t>VOB Film Festival</t>
  </si>
  <si>
    <t>http://www.vobfilmfestival.com/</t>
  </si>
  <si>
    <t>https://filmfreeway.com/VOBFilmFestival</t>
  </si>
  <si>
    <t>Carmel</t>
  </si>
  <si>
    <t>1172 FIRST AVE Salt Lake City, Utah 84103 United States</t>
  </si>
  <si>
    <t>1529 16th St NW Washington, District of Columbia 20036 United States</t>
  </si>
  <si>
    <t>11911 Freedom Drive Suite 850 Reston, VA 20190 United States</t>
  </si>
  <si>
    <t>Washington West International Film Festival</t>
  </si>
  <si>
    <t>https://wwfilmfest.com/</t>
  </si>
  <si>
    <t>https://filmfreeway.com/WWFilmFestival</t>
  </si>
  <si>
    <t>Reston</t>
  </si>
  <si>
    <t>410 Rodriguez St., Watsonville, California 95076 United States</t>
  </si>
  <si>
    <t>3405 Central Ave NE, Albuquerque, NM</t>
  </si>
  <si>
    <t>Way OUT West Film Fest</t>
  </si>
  <si>
    <t>https://www.wayoutwestfilmfest.com/</t>
  </si>
  <si>
    <t>https://filmfreeway.com/WayOUTWestFilmFest</t>
  </si>
  <si>
    <t>Albuquerque</t>
  </si>
  <si>
    <t>1809 1st Street, Baker City, Oregon 97814</t>
  </si>
  <si>
    <t>Short, Animation, Comedy</t>
  </si>
  <si>
    <t>We Like 'em Short - Animation + Comedy Film Festival</t>
  </si>
  <si>
    <t>http://www.welikeemshort.com/</t>
  </si>
  <si>
    <t>https://filmfreeway.com/WeLikeEmShort</t>
  </si>
  <si>
    <t>Baker City</t>
  </si>
  <si>
    <t>226 North High Street, West Chester, Pennsylvania 19380</t>
  </si>
  <si>
    <t>West Chester International Short Film Festival</t>
  </si>
  <si>
    <t>https://westchesterfilmfestival.com/</t>
  </si>
  <si>
    <t>https://filmfreeway.com/WestChesterShortFilmFestival</t>
  </si>
  <si>
    <t>West Chester</t>
  </si>
  <si>
    <t>270 4th Street Bremerton, WA 98337 United States</t>
  </si>
  <si>
    <t>https://filmfreeway.com/WestSoundFilmFestival</t>
  </si>
  <si>
    <t>Bremerton</t>
  </si>
  <si>
    <t>Charleston, West Virginia 25328 United States</t>
  </si>
  <si>
    <t>West Virginia International Film Festival</t>
  </si>
  <si>
    <t>http://www.wviff.org</t>
  </si>
  <si>
    <t>Charleston</t>
  </si>
  <si>
    <t>Morgantown, West Virginia United States</t>
  </si>
  <si>
    <t>West Virginia Mountaineer Short Film Festival, The</t>
  </si>
  <si>
    <t>https://www.mountaineershortfilmfest.org</t>
  </si>
  <si>
    <t>Morgantown</t>
  </si>
  <si>
    <t>169 East Broad Street, Westfield, New Jersey 07090</t>
  </si>
  <si>
    <t>Westfield International Film Festival</t>
  </si>
  <si>
    <t>https://www.westfieldfilmfest.com/</t>
  </si>
  <si>
    <t>https://filmfreeway.com/WestfieldFilmFestival</t>
  </si>
  <si>
    <t>Westfield</t>
  </si>
  <si>
    <t>136 E Main Street, Weyauwega, Wisconsin 54983</t>
  </si>
  <si>
    <t>Weyauwega International Film Festival</t>
  </si>
  <si>
    <t>http://wegafilm.com/</t>
  </si>
  <si>
    <t>https://filmfreeway.com/WeyauwegaInternationalFilmFestival</t>
  </si>
  <si>
    <t>Weyauwega</t>
  </si>
  <si>
    <t>122 Maryland Ave., NE Washington, DC 20002</t>
  </si>
  <si>
    <t>Misc. Niche, Social Justice</t>
  </si>
  <si>
    <t xml:space="preserve">www.WhistleblowerSummit.com </t>
  </si>
  <si>
    <t xml:space="preserve">filmfreeway.com/WhistleblowerSummit-FilmFestival </t>
  </si>
  <si>
    <t>Fremont, NE 68025</t>
  </si>
  <si>
    <t>White Light City Film Festival</t>
  </si>
  <si>
    <t>https://whitelightcityfilmfestival.com/</t>
  </si>
  <si>
    <t>https://filmfreeway.com/TheWhiteLightCityFilmFestival</t>
  </si>
  <si>
    <t>Fremont</t>
  </si>
  <si>
    <t>955 Massachusetts Ave #361 Cambridge, ma 02139 United States</t>
  </si>
  <si>
    <t>313 Railroad Ave. #101 Nevada City, CA 95959 United States</t>
  </si>
  <si>
    <t>Wild &amp; Scenic Film Festival</t>
  </si>
  <si>
    <t>https://www.wildandscenicfilmfestival.org/</t>
  </si>
  <si>
    <t>https://filmfreeway.com/WildScenicFilmFestival</t>
  </si>
  <si>
    <t xml:space="preserve">Wild Bunch Film Festival, The </t>
  </si>
  <si>
    <t>https://www.thewildbunchfilmfestival.com/</t>
  </si>
  <si>
    <t>https://filmfreeway.com/TheWildBunchFilmFestival</t>
  </si>
  <si>
    <t>New York, New York 10023</t>
  </si>
  <si>
    <t>Wildlife Conservation Film Festival</t>
  </si>
  <si>
    <t>http://www.wcff.org/</t>
  </si>
  <si>
    <t>https://filmfreeway.com/WildlifeConservationFilmFestival</t>
  </si>
  <si>
    <t>Appleton, wisconsin 54912</t>
  </si>
  <si>
    <t>Wildwood Film Festival</t>
  </si>
  <si>
    <t>https://www.wildwoodfilmfestival.com/</t>
  </si>
  <si>
    <t>https://filmfreeway.com/WildwoodFilmFestival</t>
  </si>
  <si>
    <t>Appleton</t>
  </si>
  <si>
    <t>Williamsburg Independent Film Festival</t>
  </si>
  <si>
    <t>http://www.willfilm.org/</t>
  </si>
  <si>
    <t>400 Farm to Market Road 2325, Wimberley, Texas 78676</t>
  </si>
  <si>
    <t>Wimberley Film Festival</t>
  </si>
  <si>
    <t>https://wimberleylibrary.org/</t>
  </si>
  <si>
    <t>https://filmfreeway.com/WimberleyFilmFestival</t>
  </si>
  <si>
    <t>Wimberly</t>
  </si>
  <si>
    <t>31 West 34th Street, 8th Floor, New York, NY 10001</t>
  </si>
  <si>
    <t>Winter Film Awards International Film Festival</t>
  </si>
  <si>
    <t>https://winterfilmawards.com/</t>
  </si>
  <si>
    <t xml:space="preserve">https://filmfreeway.com/WFA </t>
  </si>
  <si>
    <t>1050 University Ave Madison, WI 53706 United States</t>
  </si>
  <si>
    <t>10 Grand Army Plaza, Brooklyn, New York 11238 United States</t>
  </si>
  <si>
    <t xml:space="preserve">Black/African/African American, Women's </t>
  </si>
  <si>
    <t>Women of African Descent Film Festival</t>
  </si>
  <si>
    <t xml:space="preserve">http://www.brooklynartscouncil.org/forum/4994 </t>
  </si>
  <si>
    <t>2781 24th Street, San Francisco, California 94110 United States</t>
  </si>
  <si>
    <t>Women Sports Film Festival</t>
  </si>
  <si>
    <t>https://womensportsfilm.com</t>
  </si>
  <si>
    <t>Brattleboro, VT United State</t>
  </si>
  <si>
    <t>3801 Conshohocken Ave. Suite 307 Philadelphia, PA 19131 United States</t>
  </si>
  <si>
    <t>Women’s International Film Festival South Florida</t>
  </si>
  <si>
    <t>http://www.wom...filmfest.com/</t>
  </si>
  <si>
    <t>https://filmfreeway.com/womensfilmfest</t>
  </si>
  <si>
    <t>Woods Hole, MA 02543</t>
  </si>
  <si>
    <t>Woods Hole Film Festival</t>
  </si>
  <si>
    <t>http://www.woo...festival.org/</t>
  </si>
  <si>
    <t>https://filmfreeway.com/WoodsHoleFilmFestival</t>
  </si>
  <si>
    <t>Woods Hole</t>
  </si>
  <si>
    <t>13 Rock City Road, Woodstock, New York 12498</t>
  </si>
  <si>
    <t>Woodstock Film Festival</t>
  </si>
  <si>
    <t>http://woodstockfilmfestival.org/</t>
  </si>
  <si>
    <t>https://filmfreeway.com/WoodstockFilmFestival</t>
  </si>
  <si>
    <t>Woodstock</t>
  </si>
  <si>
    <t>13 Charles Bach Road Saugerties, New York 12477 United States</t>
  </si>
  <si>
    <t>Woodstock Museum Film Festival</t>
  </si>
  <si>
    <t>http://woodstockmuseum.com/</t>
  </si>
  <si>
    <t>https://filmfreeway.com/WoodstockMuseumFilmFestival</t>
  </si>
  <si>
    <t>Saugerties</t>
  </si>
  <si>
    <t>22 East 12th Street, New York, New York 10003</t>
  </si>
  <si>
    <t xml:space="preserve">Workers Unite Film Festival, The </t>
  </si>
  <si>
    <t>https://www.workersunitefilmfestival.org/</t>
  </si>
  <si>
    <t>https://filmfreeway.com/TheWorkersUniteFilmFestival</t>
  </si>
  <si>
    <t>1746 Post Street, San Francisco, California 94115</t>
  </si>
  <si>
    <t xml:space="preserve">World's Independent Film Festival - San Francisco, The </t>
  </si>
  <si>
    <t>http://www.twiff.org/</t>
  </si>
  <si>
    <t>https://filmfreeway.com/TheWorldIndieFilmFestival</t>
  </si>
  <si>
    <t>9898 Bissonnet Ste #650 Houston, TX 77036 United States</t>
  </si>
  <si>
    <t>Sutton, WV United States</t>
  </si>
  <si>
    <t>WV FILMmakers Festival</t>
  </si>
  <si>
    <t>http://wvfilmmakersfestival.org</t>
  </si>
  <si>
    <t>Sutton</t>
  </si>
  <si>
    <t>Yale University New Haven, CT 06520 United States</t>
  </si>
  <si>
    <t>Yale Student Film Festival</t>
  </si>
  <si>
    <t>http://www.yalestudentfilmfest.com/</t>
  </si>
  <si>
    <t>https://filmfreeway.com/YSFF</t>
  </si>
  <si>
    <t>328 Jackson St, Columbus, IN 47201</t>
  </si>
  <si>
    <t>Yes Film Festival</t>
  </si>
  <si>
    <t>https://www.yesfilmfestival.com/</t>
  </si>
  <si>
    <t>https://filmfreeway.com/YESFilmFestival</t>
  </si>
  <si>
    <t>540 Nepperhan Avenue Suite 556 Yonkers, New York 10704 United States</t>
  </si>
  <si>
    <t>YoFiFest, The Yonkers Film Festival</t>
  </si>
  <si>
    <t>https://www.yofifest.com/</t>
  </si>
  <si>
    <t>https://filmfreeway.com/YoFiFest</t>
  </si>
  <si>
    <t>Yonkers</t>
  </si>
  <si>
    <t>Burbank, CA 91510 United States</t>
  </si>
  <si>
    <t>ZedFest Film Festival</t>
  </si>
  <si>
    <t>http://www.zedfest.org/</t>
  </si>
  <si>
    <t>https://filmfreeway.com/ZedFestFilmFestival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</si>
</sst>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&quot;/&quot;d&quot;/2019&quot;"/>
    <numFmt numFmtId="166" formatCode="mmmm d, yyyy"/>
    <numFmt numFmtId="167" formatCode="m/d/yyyy"/>
    <numFmt numFmtId="168" formatCode="m/d/yy"/>
  </numFmts>
  <fonts count="289">
    <font>
      <sz val="10.0"/>
      <color rgb="FF000000"/>
      <name val="Arial"/>
    </font>
    <font>
      <b/>
      <sz val="9.0"/>
      <color rgb="FFFFFFFF"/>
      <name val="Arial"/>
    </font>
    <font>
      <b/>
      <sz val="11.0"/>
      <color rgb="FFFFFFFF"/>
      <name val="Arial"/>
    </font>
    <font>
      <b/>
      <sz val="10.0"/>
      <color rgb="FFFFFFFF"/>
      <name val="Arial"/>
    </font>
    <font>
      <b/>
      <sz val="11.0"/>
      <color rgb="FFFFFF00"/>
      <name val="Arial"/>
    </font>
    <font>
      <b/>
      <sz val="11.0"/>
      <color rgb="FFFF0000"/>
    </font>
    <font>
      <sz val="9.0"/>
      <color rgb="FF000000"/>
      <name val="Arial"/>
    </font>
    <font>
      <b/>
    </font>
    <font>
      <b/>
      <sz val="12.0"/>
      <color rgb="FF000000"/>
    </font>
    <font>
      <b/>
      <sz val="11.0"/>
      <color rgb="FFFF0000"/>
      <name val="Arial"/>
    </font>
    <font>
      <sz val="14.0"/>
      <color rgb="FFFFFFFF"/>
    </font>
    <font>
      <u/>
      <color rgb="FF1155CC"/>
    </font>
    <font>
      <sz val="13.0"/>
      <color rgb="FFFFFFFF"/>
    </font>
    <font>
      <color rgb="FF1155CC"/>
    </font>
    <font>
      <sz val="10.0"/>
      <color rgb="FF000000"/>
    </font>
    <font>
      <b/>
      <sz val="11.0"/>
      <color rgb="FFFFFFFF"/>
    </font>
    <font/>
    <font>
      <b/>
      <sz val="6.0"/>
    </font>
    <font>
      <b/>
      <sz val="10.0"/>
      <color rgb="FF000000"/>
      <name val="Arial"/>
    </font>
    <font>
      <b/>
      <sz val="11.0"/>
      <color rgb="FFFFFF00"/>
    </font>
    <font>
      <u/>
      <sz val="10.0"/>
      <color rgb="FF1155CC"/>
      <name val="Arial"/>
    </font>
    <font>
      <u/>
      <color rgb="FF1155CC"/>
      <name val="Arial"/>
    </font>
    <font>
      <b/>
      <u/>
      <sz val="11.0"/>
      <color rgb="FFFFFFFF"/>
    </font>
    <font>
      <b/>
      <sz val="8.0"/>
      <color rgb="FF000000"/>
    </font>
    <font>
      <b/>
      <sz val="18.0"/>
      <color rgb="FF000000"/>
    </font>
    <font>
      <b/>
      <u/>
      <sz val="8.0"/>
      <color rgb="FF000000"/>
    </font>
    <font>
      <b/>
      <sz val="10.0"/>
      <color rgb="FF000000"/>
    </font>
    <font>
      <b/>
      <u/>
      <sz val="8.0"/>
      <color rgb="FF000000"/>
    </font>
    <font>
      <b/>
      <u/>
      <sz val="8.0"/>
      <color rgb="FF000000"/>
    </font>
    <font>
      <b/>
      <u/>
      <sz val="8.0"/>
      <color rgb="FF000000"/>
    </font>
    <font>
      <b/>
      <u/>
      <sz val="8.0"/>
      <color rgb="FF000000"/>
    </font>
    <font>
      <u/>
      <color rgb="FF1155CC"/>
    </font>
    <font>
      <b/>
      <u/>
      <sz val="8.0"/>
      <color rgb="FF000000"/>
    </font>
    <font>
      <b/>
      <u/>
      <sz val="8.0"/>
      <color rgb="FF000000"/>
    </font>
    <font>
      <b/>
      <u/>
      <sz val="8.0"/>
      <color rgb="FF000000"/>
    </font>
    <font>
      <b/>
      <u/>
      <sz val="8.0"/>
      <color rgb="FF000000"/>
    </font>
    <font>
      <b/>
      <u/>
      <sz val="8.0"/>
      <color rgb="FF000000"/>
    </font>
    <font>
      <b/>
      <sz val="10.0"/>
      <color rgb="FFFFFFFF"/>
    </font>
    <font>
      <u/>
      <color rgb="FF1155CC"/>
    </font>
    <font>
      <b/>
      <u/>
      <sz val="8.0"/>
      <color rgb="FF000000"/>
    </font>
    <font>
      <b/>
      <sz val="10.0"/>
      <color rgb="FF000000"/>
      <name val="Inherit"/>
    </font>
    <font>
      <b/>
      <u/>
      <sz val="8.0"/>
      <color rgb="FF000000"/>
    </font>
    <font>
      <b/>
      <u/>
      <sz val="8.0"/>
      <color rgb="FF000000"/>
    </font>
    <font>
      <u/>
      <sz val="10.0"/>
      <color rgb="FF1155CC"/>
    </font>
    <font>
      <b/>
      <u/>
      <sz val="8.0"/>
      <color rgb="FF000000"/>
    </font>
    <font>
      <u/>
      <sz val="10.0"/>
      <color rgb="FF1155CC"/>
      <name val="Inherit"/>
    </font>
    <font>
      <sz val="10.0"/>
      <color rgb="FF000000"/>
      <name val="Inherit"/>
    </font>
    <font>
      <b/>
      <u/>
      <sz val="8.0"/>
      <color rgb="FF000000"/>
    </font>
    <font>
      <b/>
      <color rgb="FF000000"/>
      <name val="Arial"/>
    </font>
    <font>
      <u/>
      <color rgb="FF1155CC"/>
      <name val="Arial"/>
    </font>
    <font>
      <u/>
      <color rgb="FF1155CC"/>
      <name val="Arial"/>
    </font>
    <font>
      <name val="Arial"/>
    </font>
    <font>
      <b/>
      <u/>
      <sz val="8.0"/>
      <color rgb="FF000000"/>
    </font>
    <font>
      <b/>
      <u/>
      <sz val="8.0"/>
      <color rgb="FF000000"/>
    </font>
    <font>
      <b/>
      <u/>
      <sz val="8.0"/>
      <color rgb="FF000000"/>
    </font>
    <font>
      <b/>
      <u/>
      <sz val="8.0"/>
      <color rgb="FF000000"/>
    </font>
    <font>
      <color rgb="FF000000"/>
    </font>
    <font>
      <b/>
      <u/>
      <sz val="8.0"/>
      <color rgb="FF000000"/>
    </font>
    <font>
      <b/>
      <u/>
      <sz val="8.0"/>
      <color rgb="FF000000"/>
    </font>
    <font>
      <b/>
      <u/>
      <sz val="8.0"/>
      <color rgb="FF000000"/>
    </font>
    <font>
      <u/>
      <color rgb="FF1155CC"/>
    </font>
    <font>
      <color rgb="FFB7B7B7"/>
      <name val="Arial"/>
    </font>
    <font>
      <color rgb="FFF6B26B"/>
    </font>
    <font>
      <sz val="10.0"/>
    </font>
    <font>
      <sz val="10.0"/>
      <name val="Arial"/>
    </font>
    <font>
      <b/>
      <u/>
      <sz val="8.0"/>
      <color rgb="FF000000"/>
    </font>
    <font>
      <b/>
      <name val="Arial"/>
    </font>
    <font>
      <b/>
      <u/>
      <sz val="8.0"/>
      <color rgb="FF000000"/>
    </font>
    <font>
      <b/>
      <u/>
      <sz val="8.0"/>
      <color rgb="FF000000"/>
    </font>
    <font>
      <color rgb="FF8E7CC3"/>
    </font>
    <font>
      <sz val="10.0"/>
      <color rgb="FFF4CCCC"/>
    </font>
    <font>
      <b/>
      <u/>
      <sz val="8.0"/>
      <color rgb="FF000000"/>
    </font>
    <font>
      <b/>
      <u/>
      <sz val="8.0"/>
      <color rgb="FF000000"/>
    </font>
    <font>
      <color rgb="FFE06666"/>
    </font>
    <font>
      <color rgb="FF00FF00"/>
    </font>
    <font>
      <b/>
      <u/>
      <sz val="8.0"/>
      <color rgb="FF000000"/>
    </font>
    <font>
      <color rgb="FFCCCCCC"/>
      <name val="Arial"/>
    </font>
    <font>
      <sz val="10.0"/>
      <color rgb="FF00FFFF"/>
    </font>
    <font>
      <u/>
      <color rgb="FF1155CC"/>
      <name val="Arial"/>
    </font>
    <font>
      <b/>
      <u/>
      <sz val="8.0"/>
      <color rgb="FFFFFFFF"/>
    </font>
    <font>
      <color rgb="FF000000"/>
      <name val="Arial"/>
    </font>
    <font>
      <u/>
      <sz val="10.0"/>
      <color rgb="FF1155CC"/>
      <name val="Arial"/>
    </font>
    <font>
      <b/>
      <u/>
      <sz val="8.0"/>
      <color rgb="FF000000"/>
    </font>
    <font>
      <b/>
      <u/>
      <sz val="8.0"/>
      <color rgb="FF000000"/>
    </font>
    <font>
      <u/>
      <color rgb="FF1155CC"/>
      <name val="Arial"/>
    </font>
    <font>
      <u/>
      <color rgb="FF1155CC"/>
      <name val="Arial"/>
    </font>
    <font>
      <b/>
      <u/>
      <sz val="8.0"/>
      <color rgb="FF000000"/>
    </font>
    <font>
      <color rgb="FF9900FF"/>
    </font>
    <font>
      <u/>
      <color rgb="FF1155CC"/>
    </font>
    <font>
      <b/>
      <u/>
      <sz val="8.0"/>
      <color rgb="FF000000"/>
    </font>
    <font>
      <sz val="10.0"/>
      <color rgb="FFE06666"/>
      <name val="Inherit"/>
    </font>
    <font>
      <sz val="10.0"/>
      <color rgb="FF1155CC"/>
      <name val="Inherit"/>
    </font>
    <font>
      <b/>
      <u/>
      <sz val="8.0"/>
      <color rgb="FFFFFFFF"/>
    </font>
    <font>
      <sz val="10.0"/>
      <color rgb="FFFFD966"/>
      <name val="Arial"/>
    </font>
    <font>
      <b/>
      <u/>
      <sz val="8.0"/>
      <color rgb="FF000000"/>
    </font>
    <font>
      <sz val="10.0"/>
      <color rgb="FFD4AF37"/>
    </font>
    <font>
      <b/>
      <u/>
      <sz val="8.0"/>
      <color rgb="FF000000"/>
    </font>
    <font>
      <u/>
      <sz val="10.0"/>
      <color rgb="FF1155CC"/>
    </font>
    <font>
      <b/>
      <u/>
      <sz val="8.0"/>
      <color rgb="FF000000"/>
    </font>
    <font>
      <u/>
      <sz val="10.0"/>
      <color rgb="FF1155CC"/>
      <name val="Inherit"/>
    </font>
    <font>
      <b/>
      <u/>
      <sz val="8.0"/>
      <color rgb="FF000000"/>
    </font>
    <font>
      <sz val="10.0"/>
      <color rgb="FF76A5AF"/>
      <name val="Arial"/>
    </font>
    <font>
      <u/>
      <sz val="10.0"/>
      <color rgb="FF1155CC"/>
      <name val="Arial"/>
    </font>
    <font>
      <color rgb="FF76A5AF"/>
    </font>
    <font>
      <u/>
      <color rgb="FF1155CC"/>
    </font>
    <font>
      <b/>
      <u/>
      <sz val="8.0"/>
      <color rgb="FF000000"/>
    </font>
    <font>
      <sz val="10.0"/>
      <color rgb="FF000000"/>
      <name val="Roboto"/>
    </font>
    <font>
      <color rgb="FF000000"/>
      <name val="Roboto"/>
    </font>
    <font>
      <b/>
      <u/>
      <sz val="8.0"/>
      <color rgb="FF000000"/>
    </font>
    <font>
      <b/>
      <u/>
      <sz val="8.0"/>
      <color rgb="FF000000"/>
    </font>
    <font>
      <sz val="10.0"/>
      <color rgb="FF8E7CC3"/>
      <name val="Inherit"/>
    </font>
    <font>
      <u/>
      <color rgb="FF0000FF"/>
    </font>
    <font>
      <u/>
      <color rgb="FF0000FF"/>
    </font>
    <font>
      <color rgb="FFFF9900"/>
    </font>
    <font>
      <color rgb="FFD4AF37"/>
    </font>
    <font>
      <b/>
      <u/>
      <sz val="8.0"/>
      <color rgb="FF000000"/>
    </font>
    <font>
      <color rgb="FFFFD966"/>
    </font>
    <font>
      <sz val="10.0"/>
      <color rgb="FFFFFF00"/>
    </font>
    <font>
      <b/>
      <u/>
      <sz val="8.0"/>
      <color rgb="FF000000"/>
    </font>
    <font>
      <u/>
      <color rgb="FF0000FF"/>
    </font>
    <font>
      <sz val="10.0"/>
      <color rgb="FFFF0000"/>
    </font>
    <font>
      <b/>
      <u/>
      <sz val="8.0"/>
      <color rgb="FF000000"/>
    </font>
    <font>
      <sz val="10.0"/>
      <color rgb="FFD9D2E9"/>
    </font>
    <font>
      <u/>
      <sz val="10.0"/>
      <color rgb="FF1155CC"/>
    </font>
    <font>
      <b/>
      <u/>
      <sz val="8.0"/>
      <color rgb="FF000000"/>
    </font>
    <font>
      <u/>
      <color rgb="FF1155CC"/>
      <name val="Arial"/>
    </font>
    <font>
      <u/>
      <color rgb="FF1155CC"/>
      <name val="Arial"/>
    </font>
    <font>
      <b/>
      <u/>
      <sz val="8.0"/>
      <color rgb="FF000000"/>
    </font>
    <font>
      <color rgb="FFF6B26B"/>
      <name val="Arial"/>
    </font>
    <font>
      <color rgb="FFFFFF00"/>
      <name val="Arial"/>
    </font>
    <font>
      <b/>
      <u/>
      <sz val="8.0"/>
      <color rgb="FF000000"/>
    </font>
    <font>
      <sz val="10.0"/>
      <color rgb="FFE06666"/>
      <name val="Arial"/>
    </font>
    <font>
      <u/>
      <color rgb="FF0000FF"/>
    </font>
    <font>
      <b/>
      <u/>
      <sz val="8.0"/>
      <color rgb="FF000000"/>
    </font>
    <font>
      <color rgb="FFC9DAF8"/>
    </font>
    <font>
      <u/>
      <color rgb="FF1155CC"/>
      <name val="Arial"/>
    </font>
    <font>
      <u/>
      <color rgb="FF1155CC"/>
      <name val="Arial"/>
    </font>
    <font>
      <b/>
      <u/>
      <sz val="8.0"/>
      <color rgb="FF000000"/>
    </font>
    <font>
      <sz val="10.0"/>
      <color rgb="FF93C47D"/>
      <name val="Arial"/>
    </font>
    <font>
      <color rgb="FF6D9EEB"/>
    </font>
    <font>
      <u/>
      <color rgb="FF1155CC"/>
      <name val="Arial"/>
    </font>
    <font>
      <u/>
      <color rgb="FF1155CC"/>
      <name val="Arial"/>
    </font>
    <font>
      <b/>
      <sz val="8.0"/>
      <color rgb="FFFFFFFF"/>
    </font>
    <font>
      <u/>
      <color rgb="FF1155CC"/>
      <name val="Arial"/>
    </font>
    <font>
      <color rgb="FFC27BA0"/>
    </font>
    <font>
      <u/>
      <color rgb="FF1155CC"/>
      <name val="Arial"/>
    </font>
    <font>
      <sz val="10.0"/>
      <color rgb="FFF6B26B"/>
      <name val="Inherit"/>
    </font>
    <font>
      <sz val="10.0"/>
      <color rgb="FF4A86E8"/>
    </font>
    <font>
      <u/>
      <color rgb="FF1155CC"/>
      <name val="Arial"/>
    </font>
    <font>
      <u/>
      <color rgb="FF1155CC"/>
      <name val="Arial"/>
    </font>
    <font>
      <sz val="9.0"/>
    </font>
    <font>
      <color rgb="FFCE9B62"/>
    </font>
    <font>
      <u/>
      <color rgb="FF000000"/>
      <name val="Arial"/>
    </font>
    <font>
      <u/>
      <sz val="10.0"/>
      <color rgb="FF1155CC"/>
      <name val="Arial"/>
    </font>
    <font>
      <u/>
      <sz val="11.0"/>
      <color rgb="FF2863A2"/>
      <name val="OpenSans"/>
    </font>
    <font>
      <strike/>
      <color rgb="FFE06666"/>
      <name val="Arial"/>
    </font>
    <font>
      <u/>
      <sz val="10.0"/>
      <color rgb="FF1155CC"/>
      <name val="Arial"/>
    </font>
    <font>
      <color rgb="FFFF00FF"/>
    </font>
    <font>
      <color rgb="FF1155CC"/>
      <name val="Arial"/>
    </font>
    <font>
      <sz val="6.0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10.0"/>
      <color rgb="FF76A5AF"/>
      <name val="Inherit"/>
    </font>
    <font>
      <sz val="10.0"/>
      <color rgb="FF000000"/>
      <name val="Inconsolata"/>
    </font>
    <font>
      <color rgb="FF93C47D"/>
    </font>
    <font>
      <sz val="11.0"/>
      <color rgb="FF000000"/>
      <name val="Inconsolata"/>
    </font>
    <font>
      <u/>
      <sz val="10.0"/>
      <color rgb="FF1155CC"/>
    </font>
    <font>
      <sz val="10.0"/>
      <color rgb="FFE06666"/>
    </font>
    <font>
      <sz val="10.0"/>
      <color rgb="FFD0E0E3"/>
      <name val="Inherit"/>
    </font>
    <font>
      <sz val="10.0"/>
      <color rgb="FFC27BA0"/>
      <name val="Arial"/>
    </font>
    <font>
      <sz val="10.0"/>
      <color rgb="FF6D9EEB"/>
      <name val="Inherit"/>
    </font>
    <font>
      <sz val="10.0"/>
      <color rgb="FFFFF2CC"/>
      <name val="Inherit"/>
    </font>
    <font>
      <u/>
      <color rgb="FF1155CC"/>
      <name val="Arial"/>
    </font>
    <font>
      <b/>
      <u/>
      <sz val="12.0"/>
      <color rgb="FFFFFFFF"/>
    </font>
    <font>
      <b/>
      <u/>
      <sz val="12.0"/>
      <color rgb="FFFFFFFF"/>
      <name val="Arial"/>
    </font>
    <font>
      <b/>
      <u/>
      <sz val="12.0"/>
      <color rgb="FFFFFFFF"/>
      <name val="Arial"/>
    </font>
    <font>
      <b/>
      <u/>
      <sz val="10.0"/>
      <color rgb="FF0000FF"/>
      <name val="Arial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b/>
      <u/>
      <sz val="12.0"/>
      <color rgb="FFFFFFFF"/>
    </font>
    <font>
      <b/>
      <u/>
      <sz val="11.0"/>
      <color rgb="FF0000FF"/>
      <name val="Arial"/>
    </font>
    <font>
      <b/>
      <color rgb="FF0000FF"/>
      <name val="Arial"/>
    </font>
    <font>
      <b/>
      <u/>
    </font>
    <font>
      <b/>
      <u/>
      <name val="Arial"/>
    </font>
    <font>
      <b/>
      <sz val="10.0"/>
      <name val="Arial"/>
    </font>
    <font>
      <b/>
      <u/>
      <sz val="10.0"/>
      <color rgb="FF0000FF"/>
      <name val="Arial"/>
    </font>
    <font>
      <b/>
      <u/>
    </font>
    <font>
      <b/>
      <u/>
      <sz val="10.0"/>
      <color rgb="FF0000FF"/>
    </font>
    <font>
      <u/>
      <sz val="10.0"/>
    </font>
    <font>
      <b/>
      <sz val="10.0"/>
    </font>
    <font>
      <b/>
      <u/>
      <name val="Arial"/>
    </font>
    <font>
      <b/>
      <u/>
      <sz val="10.0"/>
      <color rgb="FF0000FF"/>
    </font>
    <font>
      <b/>
      <u/>
      <sz val="10.0"/>
      <color rgb="FF0000FF"/>
    </font>
    <font>
      <u/>
      <color rgb="FF1155CC"/>
    </font>
    <font>
      <b/>
      <u/>
      <sz val="12.0"/>
      <color rgb="FFFFFFFF"/>
      <name val="Arial"/>
    </font>
    <font>
      <b/>
      <u/>
    </font>
    <font>
      <b/>
      <u/>
      <sz val="12.0"/>
      <color rgb="FFFFFFFF"/>
    </font>
    <font>
      <b/>
      <u/>
      <color rgb="FF0000FF"/>
      <name val="Arial"/>
    </font>
    <font>
      <b/>
      <u/>
      <sz val="12.0"/>
      <color rgb="FFFFFF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FFFFFF"/>
    </font>
    <font>
      <b/>
      <u/>
      <sz val="12.0"/>
      <color rgb="FF0000FF"/>
      <name val="Arial"/>
    </font>
    <font>
      <b/>
      <u/>
      <color rgb="FF0000FF"/>
    </font>
    <font>
      <sz val="11.0"/>
      <name val="Arial"/>
    </font>
    <font>
      <b/>
      <u/>
      <sz val="12.0"/>
      <color rgb="FFFFFFFF"/>
      <name val="Arial"/>
    </font>
    <font>
      <b/>
      <u/>
      <sz val="11.0"/>
      <color rgb="FF0000FF"/>
      <name val="Arial"/>
    </font>
    <font>
      <b/>
      <u/>
      <sz val="12.0"/>
      <color rgb="FFFFFFFF"/>
      <name val="Arial"/>
    </font>
    <font>
      <b/>
      <sz val="11.0"/>
      <color rgb="FF0000FF"/>
      <name val="Arial"/>
    </font>
    <font>
      <u/>
      <color rgb="FF0000FF"/>
      <name val="Arial"/>
    </font>
    <font>
      <b/>
      <color rgb="FFFFFFFF"/>
      <name val="Arial"/>
    </font>
    <font>
      <sz val="10.0"/>
      <color rgb="FFFFD966"/>
      <name val="Inherit"/>
    </font>
    <font>
      <color rgb="FFD0E0E3"/>
    </font>
    <font>
      <color rgb="FFFFF2CC"/>
    </font>
    <font>
      <color rgb="FFAD0000"/>
    </font>
    <font>
      <b/>
      <sz val="9.0"/>
      <name val="Arial"/>
    </font>
    <font>
      <color rgb="FFD9D2E9"/>
    </font>
    <font>
      <sz val="12.0"/>
      <color rgb="FFFFFFFF"/>
      <name val="Arial"/>
    </font>
    <font>
      <b/>
      <i/>
      <sz val="12.0"/>
      <color rgb="FFFFFFFF"/>
      <name val="Arial"/>
    </font>
    <font>
      <color rgb="FFFFFFFF"/>
      <name val="Arial"/>
    </font>
    <font>
      <u/>
      <color rgb="FF0000FF"/>
    </font>
    <font>
      <sz val="7.0"/>
      <name val="Arial"/>
    </font>
    <font>
      <sz val="7.0"/>
      <color rgb="FF000000"/>
      <name val="Arial"/>
    </font>
    <font>
      <u/>
      <color rgb="FF000000"/>
      <name val="Arial"/>
    </font>
    <font>
      <color rgb="FF93C47D"/>
      <name val="Arial"/>
    </font>
    <font>
      <color rgb="FF8E7CC3"/>
      <name val="Arial"/>
    </font>
    <font>
      <color rgb="FF222222"/>
      <name val="Arial"/>
    </font>
    <font>
      <sz val="10.0"/>
      <color rgb="FF00FF00"/>
    </font>
    <font>
      <b/>
      <i/>
      <color rgb="FFFFFFFF"/>
      <name val="Arial"/>
    </font>
    <font>
      <u/>
      <color rgb="FF0000FF"/>
    </font>
    <font>
      <sz val="10.0"/>
      <color rgb="FF76A5AF"/>
    </font>
    <font>
      <color rgb="FF000000"/>
      <name val="Verdana"/>
    </font>
    <font>
      <b/>
      <u/>
      <sz val="8.0"/>
      <color rgb="FF000000"/>
    </font>
    <font>
      <u/>
      <sz val="11.0"/>
      <color rgb="FF000000"/>
      <name val="OpenSans"/>
    </font>
    <font>
      <color rgb="FFFFD966"/>
      <name val="Arial"/>
    </font>
    <font>
      <color rgb="FFF4CCCC"/>
      <name val="Arial"/>
    </font>
    <font>
      <sz val="10.0"/>
      <color rgb="FFCE9B62"/>
    </font>
    <font>
      <sz val="11.0"/>
      <color rgb="FF2863A2"/>
      <name val="Arial"/>
    </font>
    <font>
      <u/>
      <color rgb="FF1155CC"/>
    </font>
    <font>
      <u/>
      <sz val="10.0"/>
      <color rgb="FF1155CC"/>
      <name val="Inherit"/>
    </font>
    <font>
      <sz val="10.0"/>
      <color rgb="FFFF9900"/>
    </font>
    <font>
      <u/>
      <color rgb="FF1155CC"/>
      <name val="Arial"/>
    </font>
    <font>
      <sz val="10.0"/>
      <color rgb="FF93C47D"/>
      <name val="Inherit"/>
    </font>
    <font>
      <sz val="10.0"/>
      <color rgb="FFF6B26B"/>
      <name val="Arial"/>
    </font>
    <font>
      <color rgb="FFCE9B62"/>
      <name val="Arial"/>
    </font>
    <font>
      <sz val="10.0"/>
      <color rgb="FFAD0000"/>
    </font>
    <font>
      <u/>
      <color rgb="FF1155CC"/>
    </font>
    <font>
      <b/>
      <color rgb="FF000000"/>
    </font>
    <font>
      <sz val="11.0"/>
      <color rgb="FF000000"/>
      <name val="Roboto"/>
    </font>
    <font>
      <sz val="10.0"/>
      <color rgb="FFC27BA0"/>
      <name val="Inherit"/>
    </font>
    <font>
      <sz val="10.0"/>
      <color rgb="FFFF00FF"/>
      <name val="Inherit"/>
    </font>
    <font>
      <u/>
      <color rgb="FF1155CC"/>
      <name val="Arial"/>
    </font>
    <font>
      <u/>
      <color rgb="FF1155CC"/>
      <name val="Arial"/>
    </font>
    <font>
      <u/>
      <sz val="10.0"/>
      <color rgb="FF1155CC"/>
    </font>
    <font>
      <sz val="10.0"/>
      <color rgb="FF6D9EEB"/>
    </font>
    <font>
      <u/>
      <sz val="10.0"/>
      <color rgb="FF1155CC"/>
      <name val="Arial"/>
    </font>
    <font>
      <u/>
      <color rgb="FF1155CC"/>
    </font>
    <font>
      <u/>
      <color rgb="FF1155CC"/>
      <name val="Arial"/>
    </font>
    <font>
      <color rgb="FFFF9900"/>
      <name val="Arial"/>
    </font>
    <font>
      <u/>
      <color rgb="FF0000FF"/>
    </font>
    <font>
      <u/>
      <color rgb="FF1155CC"/>
    </font>
    <font>
      <sz val="10.0"/>
      <color rgb="FF6D9EEB"/>
      <name val="Arial"/>
    </font>
    <font>
      <u/>
      <sz val="10.0"/>
      <color rgb="FF1155CC"/>
      <name val="Inherit"/>
    </font>
    <font>
      <u/>
      <color rgb="FF1155CC"/>
    </font>
    <font>
      <sz val="10.0"/>
      <color rgb="FF8E7CC3"/>
      <name val="Arial"/>
    </font>
    <font>
      <color rgb="FF00FF00"/>
      <name val="Arial"/>
    </font>
    <font>
      <color rgb="FF222222"/>
      <name val="Roboto"/>
    </font>
    <font>
      <sz val="11.0"/>
      <color rgb="FF1F497D"/>
      <name val="Arial"/>
    </font>
    <font>
      <sz val="10.0"/>
      <color rgb="FF1155CC"/>
      <name val="Arial"/>
    </font>
    <font>
      <sz val="10.0"/>
      <color rgb="FFF6B26B"/>
    </font>
    <font>
      <u/>
      <color rgb="FF1155CC"/>
    </font>
    <font>
      <u/>
      <color rgb="FF1155CC"/>
      <name val="Roboto"/>
    </font>
    <font>
      <u/>
      <color rgb="FF000000"/>
      <name val="OpenSans"/>
    </font>
    <font>
      <u/>
      <color rgb="FF1155CC"/>
      <name val="Arial"/>
    </font>
    <font>
      <color rgb="FF000000"/>
      <name val="OpenSans"/>
    </font>
    <font>
      <sz val="10.0"/>
      <color rgb="FF1D2129"/>
      <name val="Arial"/>
    </font>
    <font>
      <u/>
      <color rgb="FF1155CC"/>
    </font>
    <font>
      <u/>
      <color rgb="FF1155CC"/>
    </font>
    <font>
      <u/>
      <sz val="10.0"/>
      <color rgb="FF1155CC"/>
    </font>
    <font>
      <u/>
      <sz val="10.0"/>
      <color rgb="FF1155CC"/>
      <name val="Inherit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</font>
    <font>
      <u/>
      <color rgb="FF1155CC"/>
    </font>
  </fonts>
  <fills count="4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434343"/>
        <bgColor rgb="FF434343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rgb="FF76A5AF"/>
        <bgColor rgb="FF76A5AF"/>
      </patternFill>
    </fill>
    <fill>
      <patternFill patternType="solid">
        <fgColor rgb="FFD9D2E9"/>
        <bgColor rgb="FFD9D2E9"/>
      </patternFill>
    </fill>
    <fill>
      <patternFill patternType="solid">
        <fgColor rgb="FFC27BA0"/>
        <bgColor rgb="FFC27BA0"/>
      </patternFill>
    </fill>
    <fill>
      <patternFill patternType="solid">
        <fgColor rgb="FFF4CCCC"/>
        <bgColor rgb="FFF4CCCC"/>
      </patternFill>
    </fill>
    <fill>
      <patternFill patternType="solid">
        <fgColor rgb="FF9900FF"/>
        <bgColor rgb="FF9900FF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9900"/>
        <bgColor rgb="FFFF9900"/>
      </patternFill>
    </fill>
    <fill>
      <patternFill patternType="solid">
        <fgColor rgb="FFD4AF37"/>
        <bgColor rgb="FFD4AF3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CE9B62"/>
        <bgColor rgb="FFCE9B62"/>
      </patternFill>
    </fill>
    <fill>
      <patternFill patternType="solid">
        <fgColor rgb="FFAD0000"/>
        <bgColor rgb="FFAD0000"/>
      </patternFill>
    </fill>
    <fill>
      <patternFill patternType="solid">
        <fgColor rgb="FFCCCCCC"/>
        <bgColor rgb="FFCCCCCC"/>
      </patternFill>
    </fill>
    <fill>
      <patternFill patternType="solid">
        <fgColor rgb="FFF7F7F7"/>
        <bgColor rgb="FFF7F7F7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rgb="FFD9EAD3"/>
        <bgColor rgb="FFD9EAD3"/>
      </patternFill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990000"/>
        <bgColor rgb="FF990000"/>
      </patternFill>
    </fill>
    <fill>
      <patternFill patternType="solid">
        <fgColor rgb="FF1155CC"/>
        <bgColor rgb="FF1155CC"/>
      </patternFill>
    </fill>
    <fill>
      <patternFill patternType="solid">
        <fgColor rgb="FF134F5C"/>
        <bgColor rgb="FF134F5C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42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top style="thin">
        <color rgb="FF666666"/>
      </top>
    </border>
    <border>
      <right style="thick">
        <color rgb="FF666666"/>
      </right>
    </border>
    <border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999999"/>
      </left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bottom style="thin">
        <color rgb="FFCCCCCC"/>
      </bottom>
    </border>
    <border>
      <right style="thin">
        <color rgb="FFCCCCCC"/>
      </right>
    </border>
    <border>
      <right style="thin">
        <color rgb="FFCCCCCC"/>
      </right>
      <bottom style="thin">
        <color rgb="FFCCCCCC"/>
      </bottom>
    </border>
    <border>
      <right style="thin">
        <color rgb="FFB7B7B7"/>
      </right>
      <top style="thin">
        <color rgb="FFB7B7B7"/>
      </top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B7B7B7"/>
      </right>
      <bottom style="thin">
        <color rgb="FFB7B7B7"/>
      </bottom>
    </border>
    <border>
      <left style="medium">
        <color rgb="FF666666"/>
      </left>
      <right style="medium">
        <color rgb="FF666666"/>
      </right>
      <top style="medium">
        <color rgb="FF666666"/>
      </top>
    </border>
    <border>
      <right/>
    </border>
    <border>
      <right/>
      <top style="thin">
        <color rgb="FFB7B7B7"/>
      </top>
      <bottom style="thin">
        <color rgb="FFB7B7B7"/>
      </bottom>
    </border>
    <border>
      <right style="medium">
        <color rgb="FF666666"/>
      </right>
    </border>
    <border>
      <right style="medium">
        <color rgb="FF666666"/>
      </right>
      <top style="medium">
        <color rgb="FF666666"/>
      </top>
      <bottom style="medium">
        <color rgb="FF666666"/>
      </bottom>
    </border>
  </borders>
  <cellStyleXfs count="1">
    <xf borderId="0" fillId="0" fontId="0" numFmtId="0" applyAlignment="1" applyFont="1"/>
  </cellStyleXfs>
  <cellXfs count="8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textRotation="0" vertical="center" wrapText="1"/>
    </xf>
    <xf borderId="3" fillId="2" fontId="5" numFmtId="4" xfId="0" applyAlignment="1" applyBorder="1" applyFont="1" applyNumberFormat="1">
      <alignment horizontal="center" readingOrder="0" shrinkToFit="0" vertical="center" wrapText="1"/>
    </xf>
    <xf borderId="1" fillId="3" fontId="6" numFmtId="164" xfId="0" applyAlignment="1" applyBorder="1" applyFill="1" applyFont="1" applyNumberFormat="1">
      <alignment horizontal="center" readingOrder="0" shrinkToFit="0" vertical="bottom" wrapText="0"/>
    </xf>
    <xf borderId="1" fillId="3" fontId="7" numFmtId="0" xfId="0" applyAlignment="1" applyBorder="1" applyFont="1">
      <alignment horizontal="left" readingOrder="0" shrinkToFit="0" vertical="center" wrapText="0"/>
    </xf>
    <xf borderId="2" fillId="2" fontId="5" numFmtId="1" xfId="0" applyAlignment="1" applyBorder="1" applyFont="1" applyNumberFormat="1">
      <alignment horizontal="center" readingOrder="0" shrinkToFit="0" vertical="center" wrapText="1"/>
    </xf>
    <xf borderId="0" fillId="4" fontId="8" numFmtId="0" xfId="0" applyAlignment="1" applyFill="1" applyFont="1">
      <alignment horizontal="center" readingOrder="0" shrinkToFit="0" textRotation="0" vertical="center" wrapText="1"/>
    </xf>
    <xf borderId="3" fillId="2" fontId="9" numFmtId="0" xfId="0" applyAlignment="1" applyBorder="1" applyFont="1">
      <alignment horizontal="center" readingOrder="0" shrinkToFit="0" vertical="center" wrapText="1"/>
    </xf>
    <xf borderId="0" fillId="2" fontId="10" numFmtId="0" xfId="0" applyAlignment="1" applyFont="1">
      <alignment readingOrder="0"/>
    </xf>
    <xf borderId="0" fillId="2" fontId="5" numFmtId="0" xfId="0" applyAlignment="1" applyFont="1">
      <alignment horizontal="center" readingOrder="0" shrinkToFit="0" vertical="center" wrapText="1"/>
    </xf>
    <xf borderId="0" fillId="5" fontId="10" numFmtId="0" xfId="0" applyAlignment="1" applyFill="1" applyFont="1">
      <alignment readingOrder="0"/>
    </xf>
    <xf borderId="1" fillId="3" fontId="11" numFmtId="0" xfId="0" applyAlignment="1" applyBorder="1" applyFont="1">
      <alignment readingOrder="0" shrinkToFit="0" vertical="center" wrapText="0"/>
    </xf>
    <xf borderId="0" fillId="5" fontId="12" numFmtId="0" xfId="0" applyAlignment="1" applyFont="1">
      <alignment readingOrder="0"/>
    </xf>
    <xf borderId="1" fillId="3" fontId="13" numFmtId="49" xfId="0" applyAlignment="1" applyBorder="1" applyFont="1" applyNumberFormat="1">
      <alignment horizontal="center" readingOrder="0" shrinkToFit="0" vertical="center" wrapText="0"/>
    </xf>
    <xf borderId="1" fillId="0" fontId="14" numFmtId="0" xfId="0" applyAlignment="1" applyBorder="1" applyFont="1">
      <alignment horizontal="left" readingOrder="0" shrinkToFit="0" vertical="center" wrapText="0"/>
    </xf>
    <xf borderId="4" fillId="2" fontId="15" numFmtId="0" xfId="0" applyAlignment="1" applyBorder="1" applyFont="1">
      <alignment horizontal="center" readingOrder="0" shrinkToFit="0" vertical="center" wrapText="1"/>
    </xf>
    <xf borderId="1" fillId="0" fontId="14" numFmtId="164" xfId="0" applyAlignment="1" applyBorder="1" applyFont="1" applyNumberFormat="1">
      <alignment horizontal="center" readingOrder="0" shrinkToFit="0" wrapText="0"/>
    </xf>
    <xf borderId="2" fillId="2" fontId="15" numFmtId="0" xfId="0" applyAlignment="1" applyBorder="1" applyFont="1">
      <alignment horizontal="center" readingOrder="0" shrinkToFit="0" vertical="center" wrapText="1"/>
    </xf>
    <xf borderId="1" fillId="3" fontId="16" numFmtId="0" xfId="0" applyAlignment="1" applyBorder="1" applyFont="1">
      <alignment readingOrder="0" shrinkToFit="0" wrapText="0"/>
    </xf>
    <xf borderId="0" fillId="2" fontId="12" numFmtId="0" xfId="0" applyAlignment="1" applyFont="1">
      <alignment readingOrder="0"/>
    </xf>
    <xf borderId="2" fillId="2" fontId="15" numFmtId="49" xfId="0" applyAlignment="1" applyBorder="1" applyFont="1" applyNumberFormat="1">
      <alignment horizontal="center" readingOrder="0" shrinkToFit="0" vertical="center" wrapText="1"/>
    </xf>
    <xf borderId="0" fillId="0" fontId="17" numFmtId="0" xfId="0" applyAlignment="1" applyFont="1">
      <alignment readingOrder="0"/>
    </xf>
    <xf borderId="1" fillId="3" fontId="18" numFmtId="0" xfId="0" applyAlignment="1" applyBorder="1" applyFont="1">
      <alignment horizontal="left" readingOrder="0" shrinkToFit="0" vertical="center" wrapText="0"/>
    </xf>
    <xf borderId="2" fillId="2" fontId="19" numFmtId="0" xfId="0" applyAlignment="1" applyBorder="1" applyFont="1">
      <alignment horizontal="center" readingOrder="0" shrinkToFit="0" vertical="center" wrapText="1"/>
    </xf>
    <xf borderId="2" fillId="2" fontId="15" numFmtId="164" xfId="0" applyAlignment="1" applyBorder="1" applyFont="1" applyNumberFormat="1">
      <alignment horizontal="center" readingOrder="0" shrinkToFit="0" vertical="center" wrapText="1"/>
    </xf>
    <xf borderId="2" fillId="2" fontId="15" numFmtId="0" xfId="0" applyAlignment="1" applyBorder="1" applyFont="1">
      <alignment horizontal="center" readingOrder="0" shrinkToFit="0" textRotation="0" vertical="center" wrapText="1"/>
    </xf>
    <xf borderId="1" fillId="3" fontId="20" numFmtId="0" xfId="0" applyAlignment="1" applyBorder="1" applyFont="1">
      <alignment readingOrder="0" shrinkToFit="0" vertical="center" wrapText="0"/>
    </xf>
    <xf borderId="2" fillId="2" fontId="15" numFmtId="0" xfId="0" applyAlignment="1" applyBorder="1" applyFont="1">
      <alignment horizontal="center" readingOrder="0" shrinkToFit="0" textRotation="0" vertical="center" wrapText="1"/>
    </xf>
    <xf borderId="1" fillId="3" fontId="21" numFmtId="49" xfId="0" applyAlignment="1" applyBorder="1" applyFont="1" applyNumberFormat="1">
      <alignment readingOrder="0" shrinkToFit="0" vertical="center" wrapText="0"/>
    </xf>
    <xf borderId="2" fillId="2" fontId="22" numFmtId="0" xfId="0" applyAlignment="1" applyBorder="1" applyFont="1">
      <alignment horizontal="center" readingOrder="0" shrinkToFit="0" textRotation="90" vertical="center" wrapText="1"/>
    </xf>
    <xf borderId="0" fillId="3" fontId="23" numFmtId="0" xfId="0" applyAlignment="1" applyFont="1">
      <alignment horizontal="center" readingOrder="0" shrinkToFit="0" textRotation="0" vertical="center" wrapText="1"/>
    </xf>
    <xf borderId="1" fillId="0" fontId="14" numFmtId="164" xfId="0" applyAlignment="1" applyBorder="1" applyFont="1" applyNumberFormat="1">
      <alignment horizontal="right" readingOrder="0" shrinkToFit="0" wrapText="0"/>
    </xf>
    <xf borderId="1" fillId="3" fontId="0" numFmtId="0" xfId="0" applyAlignment="1" applyBorder="1" applyFont="1">
      <alignment horizontal="left" readingOrder="0" shrinkToFit="0" wrapText="0"/>
    </xf>
    <xf borderId="5" fillId="2" fontId="24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0"/>
    </xf>
    <xf borderId="0" fillId="6" fontId="25" numFmtId="0" xfId="0" applyFill="1" applyFont="1"/>
    <xf borderId="6" fillId="7" fontId="26" numFmtId="0" xfId="0" applyAlignment="1" applyBorder="1" applyFill="1" applyFont="1">
      <alignment horizontal="center" readingOrder="0" shrinkToFit="0" textRotation="90" vertical="center" wrapText="1"/>
    </xf>
    <xf borderId="0" fillId="0" fontId="16" numFmtId="0" xfId="0" applyAlignment="1" applyFont="1">
      <alignment readingOrder="0"/>
    </xf>
    <xf borderId="7" fillId="8" fontId="26" numFmtId="0" xfId="0" applyAlignment="1" applyBorder="1" applyFill="1" applyFont="1">
      <alignment horizontal="center" readingOrder="0" shrinkToFit="0" textRotation="90" vertical="center" wrapText="1"/>
    </xf>
    <xf borderId="0" fillId="0" fontId="16" numFmtId="0" xfId="0" applyFont="1"/>
    <xf borderId="7" fillId="9" fontId="26" numFmtId="0" xfId="0" applyAlignment="1" applyBorder="1" applyFill="1" applyFont="1">
      <alignment horizontal="center" readingOrder="0" shrinkToFit="0" textRotation="90" vertical="center" wrapText="1"/>
    </xf>
    <xf borderId="0" fillId="7" fontId="27" numFmtId="0" xfId="0" applyFont="1"/>
    <xf borderId="7" fillId="10" fontId="26" numFmtId="0" xfId="0" applyAlignment="1" applyBorder="1" applyFill="1" applyFont="1">
      <alignment horizontal="center" readingOrder="0" shrinkToFit="0" textRotation="90" vertical="center" wrapText="1"/>
    </xf>
    <xf borderId="0" fillId="9" fontId="28" numFmtId="0" xfId="0" applyFont="1"/>
    <xf borderId="7" fillId="11" fontId="26" numFmtId="0" xfId="0" applyAlignment="1" applyBorder="1" applyFill="1" applyFont="1">
      <alignment horizontal="center" readingOrder="0" shrinkToFit="0" textRotation="90" vertical="center" wrapText="1"/>
    </xf>
    <xf borderId="0" fillId="12" fontId="29" numFmtId="0" xfId="0" applyFill="1" applyFont="1"/>
    <xf borderId="7" fillId="6" fontId="26" numFmtId="0" xfId="0" applyAlignment="1" applyBorder="1" applyFont="1">
      <alignment horizontal="center" readingOrder="0" shrinkToFit="0" textRotation="90" vertical="center" wrapText="1"/>
    </xf>
    <xf borderId="0" fillId="13" fontId="30" numFmtId="0" xfId="0" applyFill="1" applyFont="1"/>
    <xf borderId="7" fillId="14" fontId="26" numFmtId="0" xfId="0" applyAlignment="1" applyBorder="1" applyFill="1" applyFont="1">
      <alignment horizontal="center" readingOrder="0" shrinkToFit="0" textRotation="90" vertical="center" wrapText="1"/>
    </xf>
    <xf borderId="1" fillId="0" fontId="31" numFmtId="0" xfId="0" applyAlignment="1" applyBorder="1" applyFont="1">
      <alignment readingOrder="0" shrinkToFit="0" vertical="center" wrapText="0"/>
    </xf>
    <xf borderId="0" fillId="15" fontId="32" numFmtId="0" xfId="0" applyFill="1" applyFont="1"/>
    <xf borderId="7" fillId="16" fontId="26" numFmtId="0" xfId="0" applyAlignment="1" applyBorder="1" applyFill="1" applyFont="1">
      <alignment horizontal="center" readingOrder="0" shrinkToFit="0" textRotation="90" vertical="center" wrapText="1"/>
    </xf>
    <xf borderId="0" fillId="17" fontId="33" numFmtId="0" xfId="0" applyFill="1" applyFont="1"/>
    <xf borderId="7" fillId="13" fontId="26" numFmtId="0" xfId="0" applyAlignment="1" applyBorder="1" applyFont="1">
      <alignment horizontal="center" readingOrder="0" shrinkToFit="0" textRotation="90" vertical="center" wrapText="1"/>
    </xf>
    <xf borderId="0" fillId="18" fontId="34" numFmtId="0" xfId="0" applyFill="1" applyFont="1"/>
    <xf borderId="7" fillId="15" fontId="26" numFmtId="0" xfId="0" applyAlignment="1" applyBorder="1" applyFont="1">
      <alignment horizontal="center" readingOrder="0" shrinkToFit="0" textRotation="90" vertical="center" wrapText="1"/>
    </xf>
    <xf borderId="7" fillId="19" fontId="26" numFmtId="0" xfId="0" applyAlignment="1" applyBorder="1" applyFill="1" applyFont="1">
      <alignment horizontal="center" readingOrder="0" shrinkToFit="0" textRotation="90" vertical="center" wrapText="1"/>
    </xf>
    <xf borderId="0" fillId="7" fontId="35" numFmtId="0" xfId="0" applyFont="1"/>
    <xf borderId="7" fillId="20" fontId="26" numFmtId="0" xfId="0" applyAlignment="1" applyBorder="1" applyFill="1" applyFont="1">
      <alignment horizontal="center" readingOrder="0" shrinkToFit="0" textRotation="90" vertical="center" wrapText="1"/>
    </xf>
    <xf borderId="7" fillId="21" fontId="26" numFmtId="0" xfId="0" applyAlignment="1" applyBorder="1" applyFill="1" applyFont="1">
      <alignment horizontal="center" readingOrder="0" shrinkToFit="0" textRotation="90" vertical="center" wrapText="1"/>
    </xf>
    <xf borderId="0" fillId="22" fontId="36" numFmtId="0" xfId="0" applyFill="1" applyFont="1"/>
    <xf borderId="7" fillId="23" fontId="26" numFmtId="0" xfId="0" applyAlignment="1" applyBorder="1" applyFill="1" applyFont="1">
      <alignment horizontal="center" readingOrder="0" shrinkToFit="0" textRotation="90" vertical="center" wrapText="1"/>
    </xf>
    <xf borderId="7" fillId="2" fontId="37" numFmtId="0" xfId="0" applyAlignment="1" applyBorder="1" applyFont="1">
      <alignment horizontal="center" readingOrder="0" shrinkToFit="0" textRotation="90" vertical="center" wrapText="1"/>
    </xf>
    <xf borderId="1" fillId="0" fontId="38" numFmtId="49" xfId="0" applyAlignment="1" applyBorder="1" applyFont="1" applyNumberFormat="1">
      <alignment readingOrder="0" shrinkToFit="0" vertical="center" wrapText="0"/>
    </xf>
    <xf borderId="7" fillId="24" fontId="26" numFmtId="0" xfId="0" applyAlignment="1" applyBorder="1" applyFill="1" applyFont="1">
      <alignment horizontal="center" readingOrder="0" shrinkToFit="0" textRotation="90" vertical="center" wrapText="1"/>
    </xf>
    <xf borderId="7" fillId="25" fontId="26" numFmtId="0" xfId="0" applyAlignment="1" applyBorder="1" applyFill="1" applyFont="1">
      <alignment horizontal="center" readingOrder="0" shrinkToFit="0" textRotation="90" vertical="center" wrapText="1"/>
    </xf>
    <xf borderId="7" fillId="26" fontId="26" numFmtId="0" xfId="0" applyAlignment="1" applyBorder="1" applyFill="1" applyFont="1">
      <alignment horizontal="center" readingOrder="0" shrinkToFit="0" textRotation="90" vertical="center" wrapText="1"/>
    </xf>
    <xf borderId="1" fillId="0" fontId="0" numFmtId="0" xfId="0" applyAlignment="1" applyBorder="1" applyFont="1">
      <alignment readingOrder="0" shrinkToFit="0" wrapText="0"/>
    </xf>
    <xf borderId="0" fillId="0" fontId="23" numFmtId="0" xfId="0" applyAlignment="1" applyFont="1">
      <alignment readingOrder="0"/>
    </xf>
    <xf borderId="8" fillId="7" fontId="23" numFmtId="0" xfId="0" applyAlignment="1" applyBorder="1" applyFont="1">
      <alignment horizontal="center" readingOrder="0" shrinkToFit="0" textRotation="0" vertical="center" wrapText="1"/>
    </xf>
    <xf borderId="0" fillId="9" fontId="39" numFmtId="0" xfId="0" applyFont="1"/>
    <xf borderId="1" fillId="3" fontId="40" numFmtId="0" xfId="0" applyAlignment="1" applyBorder="1" applyFont="1">
      <alignment horizontal="left" readingOrder="0" shrinkToFit="0" vertical="center" wrapText="0"/>
    </xf>
    <xf borderId="0" fillId="18" fontId="41" numFmtId="0" xfId="0" applyFont="1"/>
    <xf borderId="7" fillId="17" fontId="26" numFmtId="0" xfId="0" applyAlignment="1" applyBorder="1" applyFont="1">
      <alignment horizontal="center" readingOrder="0" shrinkToFit="0" textRotation="90" vertical="center" wrapText="1"/>
    </xf>
    <xf borderId="0" fillId="6" fontId="42" numFmtId="0" xfId="0" applyFont="1"/>
    <xf borderId="1" fillId="0" fontId="43" numFmtId="0" xfId="0" applyAlignment="1" applyBorder="1" applyFont="1">
      <alignment readingOrder="0" shrinkToFit="0" vertical="center" wrapText="0"/>
    </xf>
    <xf borderId="7" fillId="27" fontId="26" numFmtId="0" xfId="0" applyAlignment="1" applyBorder="1" applyFill="1" applyFont="1">
      <alignment horizontal="center" readingOrder="0" shrinkToFit="0" textRotation="90" vertical="center" wrapText="1"/>
    </xf>
    <xf borderId="0" fillId="27" fontId="44" numFmtId="0" xfId="0" applyFont="1"/>
    <xf borderId="1" fillId="3" fontId="45" numFmtId="49" xfId="0" applyAlignment="1" applyBorder="1" applyFont="1" applyNumberFormat="1">
      <alignment horizontal="left" readingOrder="0" shrinkToFit="0" vertical="center" wrapText="0"/>
    </xf>
    <xf borderId="1" fillId="3" fontId="46" numFmtId="0" xfId="0" applyAlignment="1" applyBorder="1" applyFont="1">
      <alignment horizontal="left" readingOrder="0" shrinkToFit="0" wrapText="0"/>
    </xf>
    <xf borderId="0" fillId="27" fontId="47" numFmtId="0" xfId="0" applyFont="1"/>
    <xf borderId="1" fillId="3" fontId="48" numFmtId="0" xfId="0" applyAlignment="1" applyBorder="1" applyFont="1">
      <alignment shrinkToFit="0" vertical="center" wrapText="0"/>
    </xf>
    <xf borderId="7" fillId="28" fontId="26" numFmtId="0" xfId="0" applyAlignment="1" applyBorder="1" applyFill="1" applyFont="1">
      <alignment horizontal="center" readingOrder="0" shrinkToFit="0" textRotation="90" vertical="center" wrapText="1"/>
    </xf>
    <xf borderId="1" fillId="0" fontId="49" numFmtId="0" xfId="0" applyAlignment="1" applyBorder="1" applyFont="1">
      <alignment readingOrder="0" shrinkToFit="0" vertical="center" wrapText="0"/>
    </xf>
    <xf borderId="0" fillId="0" fontId="23" numFmtId="0" xfId="0" applyFont="1"/>
    <xf borderId="1" fillId="0" fontId="50" numFmtId="49" xfId="0" applyAlignment="1" applyBorder="1" applyFont="1" applyNumberFormat="1">
      <alignment shrinkToFit="0" vertical="center" wrapText="0"/>
    </xf>
    <xf borderId="0" fillId="8" fontId="23" numFmtId="0" xfId="0" applyAlignment="1" applyFont="1">
      <alignment horizontal="center" readingOrder="0" shrinkToFit="0" textRotation="0" vertical="center" wrapText="1"/>
    </xf>
    <xf borderId="1" fillId="0" fontId="51" numFmtId="0" xfId="0" applyAlignment="1" applyBorder="1" applyFont="1">
      <alignment horizontal="left" readingOrder="0" shrinkToFit="0" vertical="center" wrapText="0"/>
    </xf>
    <xf borderId="0" fillId="10" fontId="52" numFmtId="0" xfId="0" applyFont="1"/>
    <xf borderId="7" fillId="12" fontId="26" numFmtId="0" xfId="0" applyAlignment="1" applyBorder="1" applyFont="1">
      <alignment horizontal="center" readingOrder="0" shrinkToFit="0" textRotation="90" vertical="center" wrapText="1"/>
    </xf>
    <xf borderId="0" fillId="16" fontId="53" numFmtId="0" xfId="0" applyFont="1"/>
    <xf borderId="7" fillId="18" fontId="26" numFmtId="0" xfId="0" applyAlignment="1" applyBorder="1" applyFont="1">
      <alignment horizontal="center" readingOrder="0" shrinkToFit="0" textRotation="90" vertical="center" wrapText="1"/>
    </xf>
    <xf borderId="0" fillId="14" fontId="54" numFmtId="0" xfId="0" applyFont="1"/>
    <xf borderId="9" fillId="29" fontId="26" numFmtId="0" xfId="0" applyAlignment="1" applyBorder="1" applyFill="1" applyFont="1">
      <alignment horizontal="center" readingOrder="0" shrinkToFit="0" textRotation="90" vertical="center" wrapText="1"/>
    </xf>
    <xf borderId="0" fillId="22" fontId="26" numFmtId="0" xfId="0" applyAlignment="1" applyFont="1">
      <alignment horizontal="center" readingOrder="0" shrinkToFit="0" textRotation="90" vertical="center" wrapText="1"/>
    </xf>
    <xf borderId="1" fillId="0" fontId="7" numFmtId="0" xfId="0" applyAlignment="1" applyBorder="1" applyFont="1">
      <alignment horizontal="left" readingOrder="0" shrinkToFit="0" wrapText="0"/>
    </xf>
    <xf borderId="0" fillId="20" fontId="55" numFmtId="0" xfId="0" applyFont="1"/>
    <xf borderId="1" fillId="3" fontId="56" numFmtId="1" xfId="0" applyAlignment="1" applyBorder="1" applyFont="1" applyNumberFormat="1">
      <alignment horizontal="center" readingOrder="0" shrinkToFit="0" wrapText="0"/>
    </xf>
    <xf borderId="1" fillId="3" fontId="0" numFmtId="0" xfId="0" applyAlignment="1" applyBorder="1" applyFont="1">
      <alignment horizontal="left" readingOrder="0" shrinkToFit="0" wrapText="0"/>
    </xf>
    <xf borderId="1" fillId="3" fontId="14" numFmtId="0" xfId="0" applyAlignment="1" applyBorder="1" applyFont="1">
      <alignment horizontal="left" readingOrder="0" shrinkToFit="0" wrapText="0"/>
    </xf>
    <xf borderId="0" fillId="20" fontId="57" numFmtId="0" xfId="0" applyFont="1"/>
    <xf borderId="1" fillId="0" fontId="14" numFmtId="0" xfId="0" applyAlignment="1" applyBorder="1" applyFont="1">
      <alignment horizontal="left" readingOrder="0" shrinkToFit="0" wrapText="0"/>
    </xf>
    <xf borderId="0" fillId="21" fontId="58" numFmtId="0" xfId="0" applyFont="1"/>
    <xf borderId="1" fillId="3" fontId="7" numFmtId="0" xfId="0" applyAlignment="1" applyBorder="1" applyFont="1">
      <alignment horizontal="left" readingOrder="0" shrinkToFit="0" wrapText="0"/>
    </xf>
    <xf borderId="0" fillId="14" fontId="59" numFmtId="0" xfId="0" applyFont="1"/>
    <xf borderId="1" fillId="3" fontId="60" numFmtId="49" xfId="0" applyAlignment="1" applyBorder="1" applyFont="1" applyNumberFormat="1">
      <alignment readingOrder="0" shrinkToFit="0" vertical="center" wrapText="0"/>
    </xf>
    <xf borderId="1" fillId="3" fontId="14" numFmtId="164" xfId="0" applyAlignment="1" applyBorder="1" applyFont="1" applyNumberFormat="1">
      <alignment horizontal="left" readingOrder="0" shrinkToFit="0" vertical="center" wrapText="0"/>
    </xf>
    <xf borderId="1" fillId="3" fontId="14" numFmtId="164" xfId="0" applyAlignment="1" applyBorder="1" applyFont="1" applyNumberFormat="1">
      <alignment horizontal="right" readingOrder="0" shrinkToFit="0" wrapText="0"/>
    </xf>
    <xf borderId="1" fillId="3" fontId="16" numFmtId="164" xfId="0" applyAlignment="1" applyBorder="1" applyFont="1" applyNumberFormat="1">
      <alignment horizontal="right" readingOrder="0" shrinkToFit="0" wrapText="0"/>
    </xf>
    <xf borderId="1" fillId="3" fontId="16" numFmtId="164" xfId="0" applyAlignment="1" applyBorder="1" applyFont="1" applyNumberFormat="1">
      <alignment horizontal="center" readingOrder="0" shrinkToFit="0" wrapText="0"/>
    </xf>
    <xf borderId="0" fillId="9" fontId="23" numFmtId="0" xfId="0" applyAlignment="1" applyFont="1">
      <alignment horizontal="center" readingOrder="0" shrinkToFit="0" textRotation="0" vertical="center" wrapText="1"/>
    </xf>
    <xf borderId="1" fillId="0" fontId="61" numFmtId="164" xfId="0" applyAlignment="1" applyBorder="1" applyFont="1" applyNumberFormat="1">
      <alignment vertical="bottom"/>
    </xf>
    <xf borderId="0" fillId="2" fontId="56" numFmtId="0" xfId="0" applyFont="1"/>
    <xf borderId="10" fillId="3" fontId="16" numFmtId="0" xfId="0" applyBorder="1" applyFont="1"/>
    <xf borderId="10" fillId="9" fontId="62" numFmtId="0" xfId="0" applyAlignment="1" applyBorder="1" applyFont="1">
      <alignment readingOrder="0"/>
    </xf>
    <xf borderId="10" fillId="3" fontId="63" numFmtId="0" xfId="0" applyAlignment="1" applyBorder="1" applyFont="1">
      <alignment horizontal="center"/>
    </xf>
    <xf borderId="1" fillId="0" fontId="51" numFmtId="1" xfId="0" applyAlignment="1" applyBorder="1" applyFont="1" applyNumberFormat="1">
      <alignment horizontal="center" shrinkToFit="0" vertical="bottom" wrapText="0"/>
    </xf>
    <xf borderId="1" fillId="0" fontId="51" numFmtId="164" xfId="0" applyAlignment="1" applyBorder="1" applyFont="1" applyNumberFormat="1">
      <alignment shrinkToFit="0" vertical="bottom" wrapText="0"/>
    </xf>
    <xf borderId="1" fillId="0" fontId="64" numFmtId="0" xfId="0" applyAlignment="1" applyBorder="1" applyFont="1">
      <alignment readingOrder="0" vertical="bottom"/>
    </xf>
    <xf borderId="0" fillId="13" fontId="65" numFmtId="0" xfId="0" applyFont="1"/>
    <xf borderId="1" fillId="0" fontId="51" numFmtId="0" xfId="0" applyAlignment="1" applyBorder="1" applyFont="1">
      <alignment horizontal="left" readingOrder="0" vertical="bottom"/>
    </xf>
    <xf borderId="1" fillId="0" fontId="66" numFmtId="0" xfId="0" applyAlignment="1" applyBorder="1" applyFont="1">
      <alignment shrinkToFit="0" vertical="bottom" wrapText="0"/>
    </xf>
    <xf borderId="1" fillId="0" fontId="66" numFmtId="0" xfId="0" applyAlignment="1" applyBorder="1" applyFont="1">
      <alignment shrinkToFit="0" vertical="center" wrapText="0"/>
    </xf>
    <xf borderId="0" fillId="11" fontId="67" numFmtId="0" xfId="0" applyFont="1"/>
    <xf borderId="1" fillId="0" fontId="51" numFmtId="0" xfId="0" applyAlignment="1" applyBorder="1" applyFont="1">
      <alignment shrinkToFit="0" vertical="bottom" wrapText="0"/>
    </xf>
    <xf borderId="1" fillId="0" fontId="51" numFmtId="0" xfId="0" applyAlignment="1" applyBorder="1" applyFont="1">
      <alignment vertical="bottom"/>
    </xf>
    <xf borderId="1" fillId="0" fontId="51" numFmtId="164" xfId="0" applyAlignment="1" applyBorder="1" applyFont="1" applyNumberFormat="1">
      <alignment vertical="bottom"/>
    </xf>
    <xf borderId="0" fillId="21" fontId="68" numFmtId="0" xfId="0" applyFont="1"/>
    <xf borderId="10" fillId="3" fontId="69" numFmtId="0" xfId="0" applyAlignment="1" applyBorder="1" applyFont="1">
      <alignment readingOrder="0"/>
    </xf>
    <xf borderId="10" fillId="3" fontId="70" numFmtId="0" xfId="0" applyAlignment="1" applyBorder="1" applyFont="1">
      <alignment horizontal="center" readingOrder="0"/>
    </xf>
    <xf borderId="0" fillId="16" fontId="71" numFmtId="0" xfId="0" applyFont="1"/>
    <xf borderId="1" fillId="3" fontId="18" numFmtId="0" xfId="0" applyAlignment="1" applyBorder="1" applyFont="1">
      <alignment horizontal="left" readingOrder="0" shrinkToFit="0" wrapText="0"/>
    </xf>
    <xf borderId="1" fillId="3" fontId="14" numFmtId="0" xfId="0" applyAlignment="1" applyBorder="1" applyFont="1">
      <alignment horizontal="left" readingOrder="0" shrinkToFit="0" textRotation="0" vertical="center" wrapText="0"/>
    </xf>
    <xf borderId="0" fillId="8" fontId="72" numFmtId="0" xfId="0" applyFont="1"/>
    <xf borderId="0" fillId="10" fontId="23" numFmtId="0" xfId="0" applyAlignment="1" applyFont="1">
      <alignment horizontal="center" readingOrder="0" shrinkToFit="0" textRotation="0" vertical="center" wrapText="1"/>
    </xf>
    <xf borderId="0" fillId="2" fontId="56" numFmtId="0" xfId="0" applyAlignment="1" applyFont="1">
      <alignment readingOrder="0"/>
    </xf>
    <xf borderId="10" fillId="3" fontId="73" numFmtId="0" xfId="0" applyAlignment="1" applyBorder="1" applyFont="1">
      <alignment readingOrder="0"/>
    </xf>
    <xf borderId="10" fillId="27" fontId="74" numFmtId="0" xfId="0" applyAlignment="1" applyBorder="1" applyFont="1">
      <alignment readingOrder="0"/>
    </xf>
    <xf borderId="1" fillId="3" fontId="48" numFmtId="0" xfId="0" applyAlignment="1" applyBorder="1" applyFont="1">
      <alignment shrinkToFit="0" vertical="bottom" wrapText="0"/>
    </xf>
    <xf borderId="1" fillId="0" fontId="51" numFmtId="164" xfId="0" applyAlignment="1" applyBorder="1" applyFont="1" applyNumberFormat="1">
      <alignment horizontal="right" shrinkToFit="0" vertical="bottom" wrapText="0"/>
    </xf>
    <xf borderId="1" fillId="0" fontId="51" numFmtId="164" xfId="0" applyAlignment="1" applyBorder="1" applyFont="1" applyNumberFormat="1">
      <alignment horizontal="center" shrinkToFit="0" vertical="bottom" wrapText="0"/>
    </xf>
    <xf borderId="0" fillId="12" fontId="75" numFmtId="0" xfId="0" applyFont="1"/>
    <xf borderId="1" fillId="30" fontId="76" numFmtId="164" xfId="0" applyAlignment="1" applyBorder="1" applyFill="1" applyFont="1" applyNumberFormat="1">
      <alignment shrinkToFit="0" vertical="bottom" wrapText="0"/>
    </xf>
    <xf borderId="10" fillId="26" fontId="77" numFmtId="0" xfId="0" applyAlignment="1" applyBorder="1" applyFont="1">
      <alignment horizontal="center" readingOrder="0"/>
    </xf>
    <xf borderId="1" fillId="0" fontId="56" numFmtId="1" xfId="0" applyAlignment="1" applyBorder="1" applyFont="1" applyNumberFormat="1">
      <alignment horizontal="center" readingOrder="0" shrinkToFit="0" wrapText="0"/>
    </xf>
    <xf borderId="1" fillId="3" fontId="78" numFmtId="0" xfId="0" applyAlignment="1" applyBorder="1" applyFont="1">
      <alignment readingOrder="0" shrinkToFit="0" vertical="center" wrapText="0"/>
    </xf>
    <xf borderId="1" fillId="0" fontId="16" numFmtId="164" xfId="0" applyAlignment="1" applyBorder="1" applyFont="1" applyNumberFormat="1">
      <alignment horizontal="right" readingOrder="0" shrinkToFit="0" wrapText="0"/>
    </xf>
    <xf borderId="1" fillId="0" fontId="18" numFmtId="0" xfId="0" applyAlignment="1" applyBorder="1" applyFont="1">
      <alignment horizontal="left" readingOrder="0" shrinkToFit="0" vertical="center" wrapText="0"/>
    </xf>
    <xf borderId="0" fillId="2" fontId="79" numFmtId="0" xfId="0" applyFont="1"/>
    <xf borderId="1" fillId="0" fontId="14" numFmtId="164" xfId="0" applyAlignment="1" applyBorder="1" applyFont="1" applyNumberFormat="1">
      <alignment horizontal="left" readingOrder="0" shrinkToFit="0" vertical="center" wrapText="0"/>
    </xf>
    <xf borderId="1" fillId="3" fontId="80" numFmtId="0" xfId="0" applyAlignment="1" applyBorder="1" applyFont="1">
      <alignment horizontal="left" readingOrder="0" shrinkToFit="0" wrapText="0"/>
    </xf>
    <xf borderId="0" fillId="2" fontId="0" numFmtId="0" xfId="0" applyAlignment="1" applyFont="1">
      <alignment readingOrder="0"/>
    </xf>
    <xf borderId="1" fillId="0" fontId="81" numFmtId="49" xfId="0" applyAlignment="1" applyBorder="1" applyFont="1" applyNumberFormat="1">
      <alignment readingOrder="0" shrinkToFit="0" vertical="center" wrapText="0"/>
    </xf>
    <xf borderId="1" fillId="3" fontId="48" numFmtId="0" xfId="0" applyAlignment="1" applyBorder="1" applyFont="1">
      <alignment shrinkToFit="0" vertical="center" wrapText="0"/>
    </xf>
    <xf borderId="0" fillId="15" fontId="82" numFmtId="0" xfId="0" applyFont="1"/>
    <xf borderId="10" fillId="3" fontId="16" numFmtId="0" xfId="0" applyAlignment="1" applyBorder="1" applyFont="1">
      <alignment readingOrder="0"/>
    </xf>
    <xf borderId="0" fillId="23" fontId="83" numFmtId="0" xfId="0" applyFont="1"/>
    <xf borderId="10" fillId="3" fontId="63" numFmtId="0" xfId="0" applyAlignment="1" applyBorder="1" applyFont="1">
      <alignment horizontal="center" readingOrder="0"/>
    </xf>
    <xf borderId="0" fillId="11" fontId="23" numFmtId="0" xfId="0" applyAlignment="1" applyFont="1">
      <alignment horizontal="center" readingOrder="0" shrinkToFit="0" textRotation="0" vertical="center" wrapText="1"/>
    </xf>
    <xf borderId="10" fillId="17" fontId="70" numFmtId="0" xfId="0" applyAlignment="1" applyBorder="1" applyFont="1">
      <alignment horizontal="center" readingOrder="0"/>
    </xf>
    <xf borderId="1" fillId="3" fontId="84" numFmtId="0" xfId="0" applyAlignment="1" applyBorder="1" applyFont="1">
      <alignment shrinkToFit="0" vertical="center" wrapText="0"/>
    </xf>
    <xf borderId="1" fillId="3" fontId="85" numFmtId="49" xfId="0" applyAlignment="1" applyBorder="1" applyFont="1" applyNumberFormat="1">
      <alignment shrinkToFit="0" vertical="center" wrapText="0"/>
    </xf>
    <xf borderId="1" fillId="3" fontId="80" numFmtId="0" xfId="0" applyAlignment="1" applyBorder="1" applyFont="1">
      <alignment horizontal="left" readingOrder="0" shrinkToFit="0" vertical="center" wrapText="0"/>
    </xf>
    <xf borderId="1" fillId="3" fontId="80" numFmtId="164" xfId="0" applyAlignment="1" applyBorder="1" applyFont="1" applyNumberFormat="1">
      <alignment horizontal="right" readingOrder="0" shrinkToFit="0" vertical="bottom" wrapText="0"/>
    </xf>
    <xf borderId="1" fillId="3" fontId="80" numFmtId="0" xfId="0" applyAlignment="1" applyBorder="1" applyFont="1">
      <alignment shrinkToFit="0" vertical="bottom" wrapText="0"/>
    </xf>
    <xf borderId="0" fillId="17" fontId="86" numFmtId="0" xfId="0" applyFont="1"/>
    <xf borderId="10" fillId="18" fontId="87" numFmtId="0" xfId="0" applyAlignment="1" applyBorder="1" applyFont="1">
      <alignment readingOrder="0"/>
    </xf>
    <xf borderId="1" fillId="0" fontId="56" numFmtId="1" xfId="0" applyAlignment="1" applyBorder="1" applyFont="1" applyNumberFormat="1">
      <alignment horizontal="center" readingOrder="0" shrinkToFit="0" wrapText="0"/>
    </xf>
    <xf borderId="1" fillId="0" fontId="80" numFmtId="0" xfId="0" applyAlignment="1" applyBorder="1" applyFont="1">
      <alignment readingOrder="0" shrinkToFit="0" vertical="bottom" wrapText="0"/>
    </xf>
    <xf borderId="1" fillId="0" fontId="88" numFmtId="49" xfId="0" applyAlignment="1" applyBorder="1" applyFont="1" applyNumberFormat="1">
      <alignment readingOrder="0" shrinkToFit="0" vertical="center" wrapText="0"/>
    </xf>
    <xf borderId="10" fillId="7" fontId="73" numFmtId="0" xfId="0" applyAlignment="1" applyBorder="1" applyFont="1">
      <alignment readingOrder="0"/>
    </xf>
    <xf borderId="1" fillId="3" fontId="46" numFmtId="1" xfId="0" applyAlignment="1" applyBorder="1" applyFont="1" applyNumberFormat="1">
      <alignment horizontal="center" readingOrder="0" shrinkToFit="0" wrapText="0"/>
    </xf>
    <xf borderId="1" fillId="3" fontId="40" numFmtId="0" xfId="0" applyAlignment="1" applyBorder="1" applyFont="1">
      <alignment horizontal="left" readingOrder="0" shrinkToFit="0" wrapText="0"/>
    </xf>
    <xf borderId="1" fillId="0" fontId="0" numFmtId="0" xfId="0" applyAlignment="1" applyBorder="1" applyFont="1">
      <alignment readingOrder="0" shrinkToFit="0" vertical="bottom" wrapText="0"/>
    </xf>
    <xf borderId="0" fillId="23" fontId="89" numFmtId="0" xfId="0" applyFont="1"/>
    <xf borderId="0" fillId="2" fontId="46" numFmtId="0" xfId="0" applyAlignment="1" applyFont="1">
      <alignment horizontal="left" readingOrder="0"/>
    </xf>
    <xf borderId="10" fillId="7" fontId="90" numFmtId="0" xfId="0" applyAlignment="1" applyBorder="1" applyFont="1">
      <alignment horizontal="left" readingOrder="0"/>
    </xf>
    <xf borderId="1" fillId="3" fontId="40" numFmtId="0" xfId="0" applyAlignment="1" applyBorder="1" applyFont="1">
      <alignment horizontal="left" readingOrder="0" shrinkToFit="0" vertical="center" wrapText="0"/>
    </xf>
    <xf borderId="10" fillId="3" fontId="46" numFmtId="0" xfId="0" applyAlignment="1" applyBorder="1" applyFont="1">
      <alignment horizontal="left" readingOrder="0"/>
    </xf>
    <xf borderId="1" fillId="3" fontId="91" numFmtId="49" xfId="0" applyAlignment="1" applyBorder="1" applyFont="1" applyNumberFormat="1">
      <alignment horizontal="center" readingOrder="0" shrinkToFit="0" vertical="center" wrapText="0"/>
    </xf>
    <xf borderId="10" fillId="3" fontId="14" numFmtId="0" xfId="0" applyAlignment="1" applyBorder="1" applyFont="1">
      <alignment shrinkToFit="0" textRotation="90" wrapText="1"/>
    </xf>
    <xf borderId="10" fillId="3" fontId="14" numFmtId="0" xfId="0" applyBorder="1" applyFont="1"/>
    <xf borderId="0" fillId="2" fontId="92" numFmtId="0" xfId="0" applyFont="1"/>
    <xf borderId="10" fillId="3" fontId="14" numFmtId="0" xfId="0" applyAlignment="1" applyBorder="1" applyFont="1">
      <alignment horizontal="center"/>
    </xf>
    <xf borderId="1" fillId="0" fontId="18" numFmtId="0" xfId="0" applyAlignment="1" applyBorder="1" applyFont="1">
      <alignment horizontal="left" readingOrder="0" shrinkToFit="0" wrapText="0"/>
    </xf>
    <xf borderId="0" fillId="6" fontId="23" numFmtId="0" xfId="0" applyAlignment="1" applyFont="1">
      <alignment horizontal="center" readingOrder="0" shrinkToFit="0" textRotation="0" vertical="center" wrapText="1"/>
    </xf>
    <xf borderId="1" fillId="0" fontId="18" numFmtId="0" xfId="0" applyAlignment="1" applyBorder="1" applyFont="1">
      <alignment horizontal="left" readingOrder="0" shrinkToFit="0" vertical="center" wrapText="0"/>
    </xf>
    <xf borderId="1" fillId="30" fontId="76" numFmtId="164" xfId="0" applyAlignment="1" applyBorder="1" applyFont="1" applyNumberFormat="1">
      <alignment vertical="bottom"/>
    </xf>
    <xf borderId="10" fillId="3" fontId="0" numFmtId="0" xfId="0" applyAlignment="1" applyBorder="1" applyFont="1">
      <alignment readingOrder="0"/>
    </xf>
    <xf borderId="10" fillId="8" fontId="93" numFmtId="0" xfId="0" applyAlignment="1" applyBorder="1" applyFont="1">
      <alignment readingOrder="0"/>
    </xf>
    <xf borderId="11" fillId="0" fontId="7" numFmtId="0" xfId="0" applyAlignment="1" applyBorder="1" applyFont="1">
      <alignment horizontal="left" readingOrder="0" shrinkToFit="0" vertical="center" wrapText="0"/>
    </xf>
    <xf borderId="1" fillId="3" fontId="80" numFmtId="1" xfId="0" applyAlignment="1" applyBorder="1" applyFont="1" applyNumberFormat="1">
      <alignment horizontal="center" readingOrder="0" shrinkToFit="0" wrapText="0"/>
    </xf>
    <xf borderId="0" fillId="8" fontId="94" numFmtId="0" xfId="0" applyFont="1"/>
    <xf borderId="12" fillId="0" fontId="14" numFmtId="164" xfId="0" applyAlignment="1" applyBorder="1" applyFont="1" applyNumberFormat="1">
      <alignment horizontal="right" readingOrder="0" shrinkToFit="0" wrapText="0"/>
    </xf>
    <xf borderId="1" fillId="22" fontId="95" numFmtId="0" xfId="0" applyAlignment="1" applyBorder="1" applyFont="1">
      <alignment horizontal="center" readingOrder="0" shrinkToFit="0" wrapText="0"/>
    </xf>
    <xf borderId="1" fillId="0" fontId="14" numFmtId="0" xfId="0" applyAlignment="1" applyBorder="1" applyFont="1">
      <alignment horizontal="center" readingOrder="0" shrinkToFit="0" wrapText="0"/>
    </xf>
    <xf borderId="11" fillId="3" fontId="40" numFmtId="0" xfId="0" applyAlignment="1" applyBorder="1" applyFont="1">
      <alignment horizontal="left" readingOrder="0" shrinkToFit="0" vertical="center" wrapText="0"/>
    </xf>
    <xf borderId="1" fillId="30" fontId="76" numFmtId="0" xfId="0" applyAlignment="1" applyBorder="1" applyFont="1">
      <alignment vertical="bottom"/>
    </xf>
    <xf borderId="1" fillId="3" fontId="18" numFmtId="0" xfId="0" applyAlignment="1" applyBorder="1" applyFont="1">
      <alignment horizontal="left" readingOrder="0" shrinkToFit="0" wrapText="0"/>
    </xf>
    <xf borderId="0" fillId="10" fontId="96" numFmtId="0" xfId="0" applyFont="1"/>
    <xf borderId="13" fillId="0" fontId="97" numFmtId="0" xfId="0" applyAlignment="1" applyBorder="1" applyFont="1">
      <alignment readingOrder="0" shrinkToFit="0" vertical="center" wrapText="0"/>
    </xf>
    <xf borderId="0" fillId="28" fontId="98" numFmtId="0" xfId="0" applyFont="1"/>
    <xf borderId="0" fillId="2" fontId="0" numFmtId="0" xfId="0" applyAlignment="1" applyFont="1">
      <alignment horizontal="left" readingOrder="0"/>
    </xf>
    <xf borderId="13" fillId="3" fontId="99" numFmtId="49" xfId="0" applyAlignment="1" applyBorder="1" applyFont="1" applyNumberFormat="1">
      <alignment horizontal="left" readingOrder="0" shrinkToFit="0" vertical="center" wrapText="0"/>
    </xf>
    <xf borderId="0" fillId="24" fontId="100" numFmtId="0" xfId="0" applyFont="1"/>
    <xf borderId="13" fillId="0" fontId="14" numFmtId="0" xfId="0" applyAlignment="1" applyBorder="1" applyFont="1">
      <alignment horizontal="left" readingOrder="0" shrinkToFit="0" vertical="center" wrapText="0"/>
    </xf>
    <xf borderId="10" fillId="3" fontId="0" numFmtId="0" xfId="0" applyAlignment="1" applyBorder="1" applyFont="1">
      <alignment horizontal="left" readingOrder="0"/>
    </xf>
    <xf borderId="10" fillId="14" fontId="101" numFmtId="0" xfId="0" applyAlignment="1" applyBorder="1" applyFont="1">
      <alignment horizontal="left" readingOrder="0"/>
    </xf>
    <xf borderId="1" fillId="3" fontId="0" numFmtId="1" xfId="0" applyAlignment="1" applyBorder="1" applyFont="1" applyNumberFormat="1">
      <alignment horizontal="center" readingOrder="0" shrinkToFit="0" wrapText="0"/>
    </xf>
    <xf borderId="0" fillId="14" fontId="23" numFmtId="0" xfId="0" applyAlignment="1" applyFont="1">
      <alignment horizontal="center" readingOrder="0" shrinkToFit="0" textRotation="0" vertical="center" wrapText="1"/>
    </xf>
    <xf borderId="1" fillId="3" fontId="66" numFmtId="0" xfId="0" applyAlignment="1" applyBorder="1" applyFont="1">
      <alignment shrinkToFit="0" vertical="center" wrapText="0"/>
    </xf>
    <xf borderId="1" fillId="3" fontId="102" numFmtId="49" xfId="0" applyAlignment="1" applyBorder="1" applyFont="1" applyNumberFormat="1">
      <alignment horizontal="left" readingOrder="0" shrinkToFit="0" vertical="center" wrapText="0"/>
    </xf>
    <xf borderId="10" fillId="14" fontId="103" numFmtId="0" xfId="0" applyAlignment="1" applyBorder="1" applyFont="1">
      <alignment readingOrder="0"/>
    </xf>
    <xf borderId="11" fillId="0" fontId="104" numFmtId="49" xfId="0" applyAlignment="1" applyBorder="1" applyFont="1" applyNumberFormat="1">
      <alignment readingOrder="0" shrinkToFit="0" vertical="center" wrapText="0"/>
    </xf>
    <xf borderId="12" fillId="0" fontId="0" numFmtId="0" xfId="0" applyAlignment="1" applyBorder="1" applyFont="1">
      <alignment readingOrder="0" shrinkToFit="0" wrapText="0"/>
    </xf>
    <xf borderId="0" fillId="19" fontId="105" numFmtId="0" xfId="0" applyFont="1"/>
    <xf borderId="1" fillId="3" fontId="14" numFmtId="0" xfId="0" applyAlignment="1" applyBorder="1" applyFont="1">
      <alignment horizontal="left" readingOrder="0" shrinkToFit="0" vertical="center" wrapText="0"/>
    </xf>
    <xf borderId="1" fillId="3" fontId="16" numFmtId="0" xfId="0" applyAlignment="1" applyBorder="1" applyFont="1">
      <alignment horizontal="center" readingOrder="0" shrinkToFit="0" wrapText="0"/>
    </xf>
    <xf borderId="1" fillId="0" fontId="61" numFmtId="0" xfId="0" applyAlignment="1" applyBorder="1" applyFont="1">
      <alignment vertical="bottom"/>
    </xf>
    <xf borderId="0" fillId="16" fontId="23" numFmtId="0" xfId="0" applyAlignment="1" applyFont="1">
      <alignment horizontal="center" readingOrder="0" shrinkToFit="0" textRotation="0" vertical="center" wrapText="1"/>
    </xf>
    <xf borderId="1" fillId="3" fontId="106" numFmtId="0" xfId="0" applyAlignment="1" applyBorder="1" applyFont="1">
      <alignment readingOrder="0"/>
    </xf>
    <xf borderId="1" fillId="3" fontId="107" numFmtId="0" xfId="0" applyAlignment="1" applyBorder="1" applyFont="1">
      <alignment horizontal="left" readingOrder="0"/>
    </xf>
    <xf borderId="1" fillId="3" fontId="40" numFmtId="0" xfId="0" applyAlignment="1" applyBorder="1" applyFont="1">
      <alignment horizontal="left" readingOrder="0" shrinkToFit="0" wrapText="0"/>
    </xf>
    <xf borderId="1" fillId="3" fontId="14" numFmtId="165" xfId="0" applyAlignment="1" applyBorder="1" applyFont="1" applyNumberFormat="1">
      <alignment horizontal="center" readingOrder="0" shrinkToFit="0" wrapText="0"/>
    </xf>
    <xf borderId="0" fillId="11" fontId="108" numFmtId="0" xfId="0" applyFont="1"/>
    <xf borderId="1" fillId="30" fontId="76" numFmtId="165" xfId="0" applyAlignment="1" applyBorder="1" applyFont="1" applyNumberFormat="1">
      <alignment vertical="bottom"/>
    </xf>
    <xf borderId="0" fillId="22" fontId="109" numFmtId="0" xfId="0" applyFont="1"/>
    <xf borderId="10" fillId="11" fontId="110" numFmtId="0" xfId="0" applyAlignment="1" applyBorder="1" applyFont="1">
      <alignment horizontal="left" readingOrder="0"/>
    </xf>
    <xf borderId="1" fillId="0" fontId="111" numFmtId="0" xfId="0" applyAlignment="1" applyBorder="1" applyFont="1">
      <alignment readingOrder="0" vertical="center"/>
    </xf>
    <xf borderId="1" fillId="0" fontId="112" numFmtId="49" xfId="0" applyAlignment="1" applyBorder="1" applyFont="1" applyNumberFormat="1">
      <alignment readingOrder="0" shrinkToFit="0" vertical="center" wrapText="0"/>
    </xf>
    <xf borderId="0" fillId="2" fontId="0" numFmtId="0" xfId="0" applyAlignment="1" applyFont="1">
      <alignment readingOrder="0" shrinkToFit="0" vertical="bottom" wrapText="0"/>
    </xf>
    <xf borderId="10" fillId="3" fontId="113" numFmtId="0" xfId="0" applyAlignment="1" applyBorder="1" applyFont="1">
      <alignment readingOrder="0"/>
    </xf>
    <xf borderId="10" fillId="22" fontId="114" numFmtId="0" xfId="0" applyAlignment="1" applyBorder="1" applyFont="1">
      <alignment readingOrder="0"/>
    </xf>
    <xf borderId="0" fillId="24" fontId="115" numFmtId="0" xfId="0" applyFont="1"/>
    <xf borderId="0" fillId="13" fontId="23" numFmtId="0" xfId="0" applyAlignment="1" applyFont="1">
      <alignment horizontal="center" readingOrder="0" shrinkToFit="0" textRotation="0" vertical="center" wrapText="1"/>
    </xf>
    <xf borderId="10" fillId="8" fontId="116" numFmtId="0" xfId="0" applyAlignment="1" applyBorder="1" applyFont="1">
      <alignment readingOrder="0"/>
    </xf>
    <xf borderId="10" fillId="24" fontId="117" numFmtId="0" xfId="0" applyAlignment="1" applyBorder="1" applyFont="1">
      <alignment horizontal="center" readingOrder="0"/>
    </xf>
    <xf borderId="0" fillId="26" fontId="118" numFmtId="0" xfId="0" applyFont="1"/>
    <xf borderId="0" fillId="0" fontId="119" numFmtId="49" xfId="0" applyAlignment="1" applyFont="1" applyNumberFormat="1">
      <alignment readingOrder="0" shrinkToFit="0" vertical="center" wrapText="0"/>
    </xf>
    <xf borderId="0" fillId="0" fontId="14" numFmtId="0" xfId="0" applyAlignment="1" applyFont="1">
      <alignment horizontal="left" readingOrder="0" shrinkToFit="0" vertical="center" wrapText="0"/>
    </xf>
    <xf borderId="10" fillId="23" fontId="120" numFmtId="0" xfId="0" applyAlignment="1" applyBorder="1" applyFont="1">
      <alignment horizontal="center" readingOrder="0"/>
    </xf>
    <xf borderId="0" fillId="29" fontId="121" numFmtId="0" xfId="0" applyFont="1"/>
    <xf borderId="10" fillId="15" fontId="122" numFmtId="0" xfId="0" applyAlignment="1" applyBorder="1" applyFont="1">
      <alignment readingOrder="0" shrinkToFit="0" textRotation="0" wrapText="1"/>
    </xf>
    <xf borderId="0" fillId="15" fontId="23" numFmtId="0" xfId="0" applyAlignment="1" applyFont="1">
      <alignment horizontal="center" readingOrder="0" shrinkToFit="0" textRotation="0" vertical="center" wrapText="1"/>
    </xf>
    <xf borderId="1" fillId="3" fontId="123" numFmtId="0" xfId="0" applyAlignment="1" applyBorder="1" applyFont="1">
      <alignment readingOrder="0" shrinkToFit="0" vertical="center" wrapText="0"/>
    </xf>
    <xf borderId="1" fillId="3" fontId="48" numFmtId="0" xfId="0" applyAlignment="1" applyBorder="1" applyFont="1">
      <alignment horizontal="left" shrinkToFit="0" vertical="bottom" wrapText="0"/>
    </xf>
    <xf borderId="1" fillId="0" fontId="51" numFmtId="1" xfId="0" applyAlignment="1" applyBorder="1" applyFont="1" applyNumberFormat="1">
      <alignment vertical="bottom"/>
    </xf>
    <xf borderId="0" fillId="28" fontId="124" numFmtId="0" xfId="0" applyFont="1"/>
    <xf borderId="1" fillId="0" fontId="51" numFmtId="0" xfId="0" applyAlignment="1" applyBorder="1" applyFont="1">
      <alignment vertical="bottom"/>
    </xf>
    <xf borderId="1" fillId="0" fontId="51" numFmtId="0" xfId="0" applyAlignment="1" applyBorder="1" applyFont="1">
      <alignment shrinkToFit="0" vertical="bottom" wrapText="0"/>
    </xf>
    <xf borderId="1" fillId="0" fontId="66" numFmtId="0" xfId="0" applyAlignment="1" applyBorder="1" applyFont="1">
      <alignment vertical="center"/>
    </xf>
    <xf borderId="0" fillId="19" fontId="23" numFmtId="0" xfId="0" applyAlignment="1" applyFont="1">
      <alignment horizontal="center" readingOrder="0" shrinkToFit="0" textRotation="0" vertical="center" wrapText="1"/>
    </xf>
    <xf borderId="1" fillId="0" fontId="125" numFmtId="0" xfId="0" applyAlignment="1" applyBorder="1" applyFont="1">
      <alignment readingOrder="0" vertical="center"/>
    </xf>
    <xf borderId="1" fillId="0" fontId="126" numFmtId="49" xfId="0" applyAlignment="1" applyBorder="1" applyFont="1" applyNumberFormat="1">
      <alignment readingOrder="0" shrinkToFit="0" vertical="center" wrapText="0"/>
    </xf>
    <xf borderId="1" fillId="0" fontId="51" numFmtId="164" xfId="0" applyAlignment="1" applyBorder="1" applyFont="1" applyNumberFormat="1">
      <alignment horizontal="left" readingOrder="0" shrinkToFit="0" vertical="center" wrapText="0"/>
    </xf>
    <xf borderId="1" fillId="0" fontId="51" numFmtId="164" xfId="0" applyAlignment="1" applyBorder="1" applyFont="1" applyNumberFormat="1">
      <alignment horizontal="right" readingOrder="0" vertical="bottom"/>
    </xf>
    <xf borderId="1" fillId="0" fontId="51" numFmtId="164" xfId="0" applyAlignment="1" applyBorder="1" applyFont="1" applyNumberFormat="1">
      <alignment horizontal="right" vertical="bottom"/>
    </xf>
    <xf borderId="0" fillId="25" fontId="127" numFmtId="0" xfId="0" applyFont="1"/>
    <xf borderId="1" fillId="0" fontId="51" numFmtId="0" xfId="0" applyAlignment="1" applyBorder="1" applyFont="1">
      <alignment readingOrder="0" vertical="bottom"/>
    </xf>
    <xf borderId="0" fillId="2" fontId="51" numFmtId="0" xfId="0" applyAlignment="1" applyFont="1">
      <alignment vertical="bottom"/>
    </xf>
    <xf borderId="10" fillId="3" fontId="51" numFmtId="0" xfId="0" applyAlignment="1" applyBorder="1" applyFont="1">
      <alignment vertical="bottom"/>
    </xf>
    <xf borderId="10" fillId="9" fontId="128" numFmtId="0" xfId="0" applyAlignment="1" applyBorder="1" applyFont="1">
      <alignment vertical="bottom"/>
    </xf>
    <xf borderId="10" fillId="24" fontId="129" numFmtId="0" xfId="0" applyAlignment="1" applyBorder="1" applyFont="1">
      <alignment horizontal="center" vertical="bottom"/>
    </xf>
    <xf borderId="10" fillId="3" fontId="51" numFmtId="0" xfId="0" applyAlignment="1" applyBorder="1" applyFont="1">
      <alignment vertical="bottom"/>
    </xf>
    <xf borderId="0" fillId="25" fontId="130" numFmtId="0" xfId="0" applyFont="1"/>
    <xf borderId="10" fillId="7" fontId="131" numFmtId="0" xfId="0" applyAlignment="1" applyBorder="1" applyFont="1">
      <alignment horizontal="left" readingOrder="0"/>
    </xf>
    <xf borderId="0" fillId="20" fontId="23" numFmtId="0" xfId="0" applyAlignment="1" applyFont="1">
      <alignment horizontal="center" readingOrder="0" shrinkToFit="0" textRotation="0" vertical="center" wrapText="1"/>
    </xf>
    <xf borderId="1" fillId="3" fontId="91" numFmtId="49" xfId="0" applyAlignment="1" applyBorder="1" applyFont="1" applyNumberFormat="1">
      <alignment horizontal="left" readingOrder="0" shrinkToFit="0" vertical="center" wrapText="0"/>
    </xf>
    <xf borderId="0" fillId="0" fontId="132" numFmtId="0" xfId="0" applyAlignment="1" applyFont="1">
      <alignment readingOrder="0"/>
    </xf>
    <xf borderId="10" fillId="21" fontId="113" numFmtId="0" xfId="0" applyAlignment="1" applyBorder="1" applyFont="1">
      <alignment readingOrder="0"/>
    </xf>
    <xf borderId="0" fillId="26" fontId="133" numFmtId="0" xfId="0" applyFont="1"/>
    <xf borderId="10" fillId="19" fontId="134" numFmtId="0" xfId="0" applyAlignment="1" applyBorder="1" applyFont="1">
      <alignment readingOrder="0"/>
    </xf>
    <xf borderId="1" fillId="0" fontId="135" numFmtId="0" xfId="0" applyAlignment="1" applyBorder="1" applyFont="1">
      <alignment shrinkToFit="0" vertical="center" wrapText="0"/>
    </xf>
    <xf borderId="1" fillId="0" fontId="51" numFmtId="0" xfId="0" applyAlignment="1" applyBorder="1" applyFont="1">
      <alignment readingOrder="0" shrinkToFit="0" vertical="bottom" wrapText="0"/>
    </xf>
    <xf borderId="1" fillId="0" fontId="136" numFmtId="49" xfId="0" applyAlignment="1" applyBorder="1" applyFont="1" applyNumberFormat="1">
      <alignment shrinkToFit="0" vertical="center" wrapText="0"/>
    </xf>
    <xf borderId="0" fillId="21" fontId="23" numFmtId="0" xfId="0" applyAlignment="1" applyFont="1">
      <alignment horizontal="center" readingOrder="0" shrinkToFit="0" textRotation="0" vertical="center" wrapText="1"/>
    </xf>
    <xf borderId="1" fillId="0" fontId="51" numFmtId="164" xfId="0" applyAlignment="1" applyBorder="1" applyFont="1" applyNumberFormat="1">
      <alignment horizontal="right" readingOrder="0" shrinkToFit="0" vertical="bottom" wrapText="0"/>
    </xf>
    <xf borderId="10" fillId="2" fontId="63" numFmtId="0" xfId="0" applyAlignment="1" applyBorder="1" applyFont="1">
      <alignment horizontal="center" readingOrder="0"/>
    </xf>
    <xf borderId="1" fillId="0" fontId="51" numFmtId="164" xfId="0" applyAlignment="1" applyBorder="1" applyFont="1" applyNumberFormat="1">
      <alignment horizontal="center" vertical="bottom"/>
    </xf>
    <xf borderId="1" fillId="0" fontId="64" numFmtId="0" xfId="0" applyAlignment="1" applyBorder="1" applyFont="1">
      <alignment shrinkToFit="0" vertical="bottom" wrapText="0"/>
    </xf>
    <xf borderId="1" fillId="0" fontId="51" numFmtId="14" xfId="0" applyAlignment="1" applyBorder="1" applyFont="1" applyNumberFormat="1">
      <alignment horizontal="right" vertical="bottom"/>
    </xf>
    <xf borderId="1" fillId="0" fontId="51" numFmtId="0" xfId="0" applyAlignment="1" applyBorder="1" applyFont="1">
      <alignment horizontal="left" shrinkToFit="0" vertical="bottom" wrapText="0"/>
    </xf>
    <xf borderId="1" fillId="0" fontId="51" numFmtId="164" xfId="0" applyAlignment="1" applyBorder="1" applyFont="1" applyNumberFormat="1">
      <alignment horizontal="left" shrinkToFit="0" vertical="center" wrapText="0"/>
    </xf>
    <xf borderId="1" fillId="0" fontId="13" numFmtId="49" xfId="0" applyAlignment="1" applyBorder="1" applyFont="1" applyNumberFormat="1">
      <alignment horizontal="center" readingOrder="0" shrinkToFit="0" vertical="center" wrapText="0"/>
    </xf>
    <xf borderId="1" fillId="0" fontId="16" numFmtId="0" xfId="0" applyAlignment="1" applyBorder="1" applyFont="1">
      <alignment readingOrder="0" shrinkToFit="0" wrapText="0"/>
    </xf>
    <xf borderId="0" fillId="23" fontId="23" numFmtId="0" xfId="0" applyAlignment="1" applyFont="1">
      <alignment horizontal="center" readingOrder="0" shrinkToFit="0" textRotation="0" vertical="center" wrapText="1"/>
    </xf>
    <xf borderId="1" fillId="0" fontId="0" numFmtId="1" xfId="0" applyAlignment="1" applyBorder="1" applyFont="1" applyNumberFormat="1">
      <alignment horizontal="center" readingOrder="0" shrinkToFit="0" wrapText="0"/>
    </xf>
    <xf borderId="10" fillId="7" fontId="131" numFmtId="0" xfId="0" applyAlignment="1" applyBorder="1" applyFont="1">
      <alignment readingOrder="0"/>
    </xf>
    <xf borderId="0" fillId="29" fontId="137" numFmtId="0" xfId="0" applyFont="1"/>
    <xf borderId="10" fillId="10" fontId="138" numFmtId="0" xfId="0" applyAlignment="1" applyBorder="1" applyFont="1">
      <alignment readingOrder="0"/>
    </xf>
    <xf borderId="1" fillId="3" fontId="63" numFmtId="0" xfId="0" applyAlignment="1" applyBorder="1" applyFont="1">
      <alignment horizontal="left" readingOrder="0" shrinkToFit="0" wrapText="0"/>
    </xf>
    <xf borderId="1" fillId="3" fontId="16" numFmtId="0" xfId="0" applyAlignment="1" applyBorder="1" applyFont="1">
      <alignment horizontal="left" readingOrder="0" shrinkToFit="0" wrapText="0"/>
    </xf>
    <xf borderId="1" fillId="3" fontId="66" numFmtId="0" xfId="0" applyAlignment="1" applyBorder="1" applyFont="1">
      <alignment shrinkToFit="0" wrapText="0"/>
    </xf>
    <xf borderId="10" fillId="6" fontId="139" numFmtId="0" xfId="0" applyAlignment="1" applyBorder="1" applyFont="1">
      <alignment readingOrder="0"/>
    </xf>
    <xf borderId="1" fillId="0" fontId="140" numFmtId="0" xfId="0" applyAlignment="1" applyBorder="1" applyFont="1">
      <alignment shrinkToFit="0" wrapText="0"/>
    </xf>
    <xf borderId="1" fillId="0" fontId="141" numFmtId="49" xfId="0" applyAlignment="1" applyBorder="1" applyFont="1" applyNumberFormat="1">
      <alignment shrinkToFit="0" wrapText="0"/>
    </xf>
    <xf borderId="1" fillId="0" fontId="51" numFmtId="0" xfId="0" applyAlignment="1" applyBorder="1" applyFont="1">
      <alignment shrinkToFit="0" wrapText="0"/>
    </xf>
    <xf borderId="1" fillId="0" fontId="48" numFmtId="0" xfId="0" applyAlignment="1" applyBorder="1" applyFont="1">
      <alignment shrinkToFit="0" wrapText="0"/>
    </xf>
    <xf borderId="0" fillId="2" fontId="142" numFmtId="0" xfId="0" applyAlignment="1" applyFont="1">
      <alignment horizontal="center" readingOrder="0" shrinkToFit="0" textRotation="0" vertical="center" wrapText="1"/>
    </xf>
    <xf borderId="1" fillId="0" fontId="143" numFmtId="49" xfId="0" applyAlignment="1" applyBorder="1" applyFont="1" applyNumberFormat="1">
      <alignment shrinkToFit="0" wrapText="0"/>
    </xf>
    <xf borderId="1" fillId="0" fontId="80" numFmtId="0" xfId="0" applyAlignment="1" applyBorder="1" applyFont="1">
      <alignment shrinkToFit="0" wrapText="0"/>
    </xf>
    <xf borderId="10" fillId="16" fontId="144" numFmtId="0" xfId="0" applyAlignment="1" applyBorder="1" applyFont="1">
      <alignment readingOrder="0"/>
    </xf>
    <xf borderId="1" fillId="0" fontId="80" numFmtId="164" xfId="0" applyAlignment="1" applyBorder="1" applyFont="1" applyNumberFormat="1">
      <alignment horizontal="right" shrinkToFit="0" vertical="bottom" wrapText="0"/>
    </xf>
    <xf borderId="1" fillId="3" fontId="0" numFmtId="0" xfId="0" applyAlignment="1" applyBorder="1" applyFont="1">
      <alignment shrinkToFit="0" textRotation="0" wrapText="0"/>
    </xf>
    <xf borderId="1" fillId="0" fontId="80" numFmtId="0" xfId="0" applyAlignment="1" applyBorder="1" applyFont="1">
      <alignment shrinkToFit="0" vertical="bottom" wrapText="0"/>
    </xf>
    <xf borderId="1" fillId="3" fontId="80" numFmtId="0" xfId="0" applyAlignment="1" applyBorder="1" applyFont="1">
      <alignment horizontal="left" shrinkToFit="0" textRotation="0" wrapText="0"/>
    </xf>
    <xf borderId="1" fillId="3" fontId="66" numFmtId="0" xfId="0" applyAlignment="1" applyBorder="1" applyFont="1">
      <alignment shrinkToFit="0" vertical="bottom" wrapText="0"/>
    </xf>
    <xf borderId="1" fillId="3" fontId="48" numFmtId="0" xfId="0" applyAlignment="1" applyBorder="1" applyFont="1">
      <alignment shrinkToFit="0" wrapText="0"/>
    </xf>
    <xf borderId="1" fillId="3" fontId="145" numFmtId="49" xfId="0" applyAlignment="1" applyBorder="1" applyFont="1" applyNumberFormat="1">
      <alignment shrinkToFit="0" wrapText="0"/>
    </xf>
    <xf borderId="1" fillId="3" fontId="46" numFmtId="1" xfId="0" applyAlignment="1" applyBorder="1" applyFont="1" applyNumberFormat="1">
      <alignment horizontal="center" readingOrder="0" shrinkToFit="0" wrapText="0"/>
    </xf>
    <xf borderId="1" fillId="3" fontId="91" numFmtId="49" xfId="0" applyAlignment="1" applyBorder="1" applyFont="1" applyNumberFormat="1">
      <alignment horizontal="center" readingOrder="0" shrinkToFit="0" vertical="center" wrapText="0"/>
    </xf>
    <xf borderId="0" fillId="24" fontId="23" numFmtId="0" xfId="0" applyAlignment="1" applyFont="1">
      <alignment horizontal="center" readingOrder="0" shrinkToFit="0" textRotation="0" vertical="center" wrapText="1"/>
    </xf>
    <xf borderId="1" fillId="0" fontId="66" numFmtId="0" xfId="0" applyAlignment="1" applyBorder="1" applyFont="1">
      <alignment shrinkToFit="0" wrapText="0"/>
    </xf>
    <xf borderId="10" fillId="9" fontId="146" numFmtId="0" xfId="0" applyAlignment="1" applyBorder="1" applyFont="1">
      <alignment horizontal="left" readingOrder="0"/>
    </xf>
    <xf borderId="1" fillId="3" fontId="48" numFmtId="0" xfId="0" applyAlignment="1" applyBorder="1" applyFont="1">
      <alignment shrinkToFit="0" wrapText="0"/>
    </xf>
    <xf borderId="1" fillId="3" fontId="0" numFmtId="49" xfId="0" applyAlignment="1" applyBorder="1" applyFont="1" applyNumberFormat="1">
      <alignment horizontal="left" readingOrder="0" shrinkToFit="0" wrapText="0"/>
    </xf>
    <xf borderId="1" fillId="3" fontId="18" numFmtId="49" xfId="0" applyAlignment="1" applyBorder="1" applyFont="1" applyNumberFormat="1">
      <alignment horizontal="left" readingOrder="0" shrinkToFit="0" wrapText="0"/>
    </xf>
    <xf borderId="1" fillId="3" fontId="18" numFmtId="49" xfId="0" applyAlignment="1" applyBorder="1" applyFont="1" applyNumberFormat="1">
      <alignment horizontal="left" readingOrder="0" shrinkToFit="0" vertical="center" wrapText="0"/>
    </xf>
    <xf borderId="1" fillId="0" fontId="66" numFmtId="0" xfId="0" applyBorder="1" applyFont="1"/>
    <xf borderId="1" fillId="3" fontId="0" numFmtId="49" xfId="0" applyAlignment="1" applyBorder="1" applyFont="1" applyNumberFormat="1">
      <alignment horizontal="left" readingOrder="0" shrinkToFit="0" wrapText="0"/>
    </xf>
    <xf borderId="0" fillId="2" fontId="0" numFmtId="49" xfId="0" applyAlignment="1" applyFont="1" applyNumberFormat="1">
      <alignment horizontal="left" readingOrder="0"/>
    </xf>
    <xf borderId="10" fillId="7" fontId="131" numFmtId="49" xfId="0" applyAlignment="1" applyBorder="1" applyFont="1" applyNumberFormat="1">
      <alignment horizontal="left" readingOrder="0"/>
    </xf>
    <xf borderId="10" fillId="3" fontId="0" numFmtId="49" xfId="0" applyAlignment="1" applyBorder="1" applyFont="1" applyNumberFormat="1">
      <alignment horizontal="left" readingOrder="0"/>
    </xf>
    <xf borderId="0" fillId="25" fontId="23" numFmtId="0" xfId="0" applyAlignment="1" applyFont="1">
      <alignment horizontal="center" readingOrder="0" shrinkToFit="0" textRotation="0" vertical="center" wrapText="1"/>
    </xf>
    <xf borderId="1" fillId="3" fontId="7" numFmtId="0" xfId="0" applyAlignment="1" applyBorder="1" applyFont="1">
      <alignment horizontal="left" readingOrder="0" shrinkToFit="0" vertical="center" wrapText="0"/>
    </xf>
    <xf borderId="1" fillId="3" fontId="66" numFmtId="0" xfId="0" applyAlignment="1" applyBorder="1" applyFont="1">
      <alignment shrinkToFit="0" wrapText="0"/>
    </xf>
    <xf borderId="10" fillId="25" fontId="147" numFmtId="0" xfId="0" applyAlignment="1" applyBorder="1" applyFont="1">
      <alignment horizontal="center" readingOrder="0"/>
    </xf>
    <xf borderId="1" fillId="3" fontId="148" numFmtId="0" xfId="0" applyAlignment="1" applyBorder="1" applyFont="1">
      <alignment shrinkToFit="0" wrapText="0"/>
    </xf>
    <xf borderId="1" fillId="3" fontId="149" numFmtId="49" xfId="0" applyAlignment="1" applyBorder="1" applyFont="1" applyNumberFormat="1">
      <alignment shrinkToFit="0" wrapText="0"/>
    </xf>
    <xf borderId="1" fillId="3" fontId="80" numFmtId="0" xfId="0" applyAlignment="1" applyBorder="1" applyFont="1">
      <alignment shrinkToFit="0" wrapText="0"/>
    </xf>
    <xf borderId="1" fillId="3" fontId="80" numFmtId="164" xfId="0" applyAlignment="1" applyBorder="1" applyFont="1" applyNumberFormat="1">
      <alignment horizontal="right" shrinkToFit="0" vertical="bottom" wrapText="0"/>
    </xf>
    <xf borderId="1" fillId="3" fontId="51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horizontal="left" readingOrder="0" shrinkToFit="0" vertical="center" wrapText="0"/>
    </xf>
    <xf borderId="0" fillId="26" fontId="23" numFmtId="0" xfId="0" applyAlignment="1" applyFont="1">
      <alignment horizontal="center" readingOrder="0" shrinkToFit="0" textRotation="0" vertical="center" wrapText="1"/>
    </xf>
    <xf borderId="1" fillId="0" fontId="48" numFmtId="0" xfId="0" applyAlignment="1" applyBorder="1" applyFont="1">
      <alignment shrinkToFit="0" wrapText="0"/>
    </xf>
    <xf borderId="0" fillId="17" fontId="23" numFmtId="0" xfId="0" applyAlignment="1" applyFont="1">
      <alignment horizontal="center" readingOrder="0" shrinkToFit="0" textRotation="0" vertical="center" wrapText="1"/>
    </xf>
    <xf borderId="10" fillId="2" fontId="14" numFmtId="0" xfId="0" applyAlignment="1" applyBorder="1" applyFont="1">
      <alignment horizontal="center" readingOrder="0"/>
    </xf>
    <xf borderId="1" fillId="3" fontId="66" numFmtId="0" xfId="0" applyAlignment="1" applyBorder="1" applyFont="1">
      <alignment shrinkToFit="0" vertical="center" wrapText="0"/>
    </xf>
    <xf borderId="1" fillId="0" fontId="16" numFmtId="164" xfId="0" applyAlignment="1" applyBorder="1" applyFont="1" applyNumberFormat="1">
      <alignment horizontal="left" readingOrder="0" shrinkToFit="0" vertical="center" wrapText="0"/>
    </xf>
    <xf borderId="1" fillId="0" fontId="16" numFmtId="164" xfId="0" applyAlignment="1" applyBorder="1" applyFont="1" applyNumberFormat="1">
      <alignment horizontal="center" readingOrder="0" shrinkToFit="0" wrapText="0"/>
    </xf>
    <xf borderId="0" fillId="27" fontId="23" numFmtId="0" xfId="0" applyAlignment="1" applyFont="1">
      <alignment horizontal="center" readingOrder="0" shrinkToFit="0" textRotation="0" vertical="center" wrapText="1"/>
    </xf>
    <xf borderId="1" fillId="0" fontId="150" numFmtId="164" xfId="0" applyAlignment="1" applyBorder="1" applyFont="1" applyNumberFormat="1">
      <alignment horizontal="center" readingOrder="0"/>
    </xf>
    <xf borderId="1" fillId="0" fontId="16" numFmtId="0" xfId="0" applyAlignment="1" applyBorder="1" applyFont="1">
      <alignment horizontal="center" readingOrder="0" shrinkToFit="0" wrapText="0"/>
    </xf>
    <xf borderId="1" fillId="0" fontId="6" numFmtId="164" xfId="0" applyAlignment="1" applyBorder="1" applyFont="1" applyNumberFormat="1">
      <alignment horizontal="center" readingOrder="0" shrinkToFit="0" vertical="bottom" wrapText="0"/>
    </xf>
    <xf borderId="0" fillId="28" fontId="23" numFmtId="0" xfId="0" applyAlignment="1" applyFont="1">
      <alignment horizontal="center" readingOrder="0" shrinkToFit="0" textRotation="0" vertical="center" wrapText="1"/>
    </xf>
    <xf borderId="10" fillId="28" fontId="151" numFmtId="0" xfId="0" applyAlignment="1" applyBorder="1" applyFont="1">
      <alignment readingOrder="0"/>
    </xf>
    <xf borderId="1" fillId="3" fontId="18" numFmtId="0" xfId="0" applyAlignment="1" applyBorder="1" applyFont="1">
      <alignment horizontal="left" readingOrder="0" shrinkToFit="0" vertical="center" wrapText="0"/>
    </xf>
    <xf borderId="1" fillId="3" fontId="152" numFmtId="1" xfId="0" applyAlignment="1" applyBorder="1" applyFont="1" applyNumberFormat="1">
      <alignment horizontal="center" shrinkToFit="0" vertical="bottom" wrapText="0"/>
    </xf>
    <xf borderId="1" fillId="3" fontId="153" numFmtId="49" xfId="0" applyAlignment="1" applyBorder="1" applyFont="1" applyNumberFormat="1">
      <alignment readingOrder="0" shrinkToFit="0" vertical="center" wrapText="0"/>
    </xf>
    <xf borderId="1" fillId="31" fontId="154" numFmtId="0" xfId="0" applyAlignment="1" applyBorder="1" applyFill="1" applyFont="1">
      <alignment shrinkToFit="0" vertical="bottom" wrapText="0"/>
    </xf>
    <xf borderId="1" fillId="3" fontId="0" numFmtId="0" xfId="0" applyAlignment="1" applyBorder="1" applyFont="1">
      <alignment readingOrder="0" shrinkToFit="0" wrapText="0"/>
    </xf>
    <xf borderId="1" fillId="3" fontId="0" numFmtId="0" xfId="0" applyAlignment="1" applyBorder="1" applyFont="1">
      <alignment shrinkToFit="0" vertical="bottom" wrapText="0"/>
    </xf>
    <xf borderId="1" fillId="3" fontId="80" numFmtId="0" xfId="0" applyAlignment="1" applyBorder="1" applyFont="1">
      <alignment horizontal="left" shrinkToFit="0" vertical="bottom" wrapText="0"/>
    </xf>
    <xf borderId="1" fillId="3" fontId="48" numFmtId="0" xfId="0" applyAlignment="1" applyBorder="1" applyFont="1">
      <alignment shrinkToFit="0" vertical="bottom" wrapText="0"/>
    </xf>
    <xf borderId="0" fillId="12" fontId="23" numFmtId="0" xfId="0" applyAlignment="1" applyFont="1">
      <alignment horizontal="center" readingOrder="0" shrinkToFit="0" textRotation="0" vertical="center" wrapText="1"/>
    </xf>
    <xf borderId="1" fillId="3" fontId="51" numFmtId="164" xfId="0" applyAlignment="1" applyBorder="1" applyFont="1" applyNumberFormat="1">
      <alignment vertical="bottom"/>
    </xf>
    <xf borderId="0" fillId="2" fontId="51" numFmtId="0" xfId="0" applyAlignment="1" applyFont="1">
      <alignment vertical="bottom"/>
    </xf>
    <xf borderId="10" fillId="7" fontId="155" numFmtId="0" xfId="0" applyAlignment="1" applyBorder="1" applyFont="1">
      <alignment vertical="bottom"/>
    </xf>
    <xf borderId="1" fillId="3" fontId="18" numFmtId="0" xfId="0" applyAlignment="1" applyBorder="1" applyFont="1">
      <alignment horizontal="left" readingOrder="0" shrinkToFit="0" vertical="center" wrapText="0"/>
    </xf>
    <xf borderId="1" fillId="3" fontId="156" numFmtId="49" xfId="0" applyAlignment="1" applyBorder="1" applyFont="1" applyNumberFormat="1">
      <alignment horizontal="left" readingOrder="0" shrinkToFit="0" vertical="center" wrapText="0"/>
    </xf>
    <xf borderId="1" fillId="3" fontId="0" numFmtId="0" xfId="0" applyAlignment="1" applyBorder="1" applyFont="1">
      <alignment horizontal="left" readingOrder="0" shrinkToFit="0" wrapText="0"/>
    </xf>
    <xf borderId="0" fillId="18" fontId="23" numFmtId="0" xfId="0" applyAlignment="1" applyFont="1">
      <alignment horizontal="center" readingOrder="0" shrinkToFit="0" textRotation="0" vertical="center" wrapText="1"/>
    </xf>
    <xf borderId="10" fillId="12" fontId="157" numFmtId="0" xfId="0" applyAlignment="1" applyBorder="1" applyFont="1">
      <alignment readingOrder="0"/>
    </xf>
    <xf borderId="1" fillId="3" fontId="158" numFmtId="49" xfId="0" applyAlignment="1" applyBorder="1" applyFont="1" applyNumberFormat="1">
      <alignment horizontal="center" shrinkToFit="0" wrapText="0"/>
    </xf>
    <xf borderId="0" fillId="29" fontId="23" numFmtId="0" xfId="0" applyAlignment="1" applyFont="1">
      <alignment horizontal="center" readingOrder="0" shrinkToFit="0" textRotation="0" vertical="center" wrapText="1"/>
    </xf>
    <xf borderId="1" fillId="0" fontId="51" numFmtId="0" xfId="0" applyAlignment="1" applyBorder="1" applyFont="1">
      <alignment horizontal="left" readingOrder="0" shrinkToFit="0" vertical="bottom" wrapText="0"/>
    </xf>
    <xf borderId="0" fillId="22" fontId="23" numFmtId="0" xfId="0" applyAlignment="1" applyFont="1">
      <alignment horizontal="center" readingOrder="0" shrinkToFit="0" textRotation="0" vertical="center" wrapText="1"/>
    </xf>
    <xf borderId="1" fillId="3" fontId="14" numFmtId="0" xfId="0" applyAlignment="1" applyBorder="1" applyFont="1">
      <alignment horizontal="center" readingOrder="0" shrinkToFit="0" wrapText="0"/>
    </xf>
    <xf borderId="10" fillId="11" fontId="69" numFmtId="0" xfId="0" applyAlignment="1" applyBorder="1" applyFont="1">
      <alignment readingOrder="0"/>
    </xf>
    <xf borderId="0" fillId="3" fontId="159" numFmtId="0" xfId="0" applyAlignment="1" applyFont="1">
      <alignment textRotation="0"/>
    </xf>
    <xf borderId="1" fillId="3" fontId="48" numFmtId="0" xfId="0" applyAlignment="1" applyBorder="1" applyFont="1">
      <alignment shrinkToFit="0" vertical="bottom" wrapText="0"/>
    </xf>
    <xf borderId="1" fillId="0" fontId="160" numFmtId="0" xfId="0" applyAlignment="1" applyBorder="1" applyFont="1">
      <alignment shrinkToFit="0" vertical="bottom" wrapText="0"/>
    </xf>
    <xf borderId="1" fillId="0" fontId="161" numFmtId="49" xfId="0" applyAlignment="1" applyBorder="1" applyFont="1" applyNumberFormat="1">
      <alignment shrinkToFit="0" vertical="bottom" wrapText="0"/>
    </xf>
    <xf borderId="1" fillId="3" fontId="80" numFmtId="0" xfId="0" applyAlignment="1" applyBorder="1" applyFont="1">
      <alignment shrinkToFit="0" vertical="bottom" wrapText="0"/>
    </xf>
    <xf borderId="1" fillId="0" fontId="80" numFmtId="164" xfId="0" applyAlignment="1" applyBorder="1" applyFont="1" applyNumberFormat="1">
      <alignment horizontal="center" shrinkToFit="0" vertical="bottom" wrapText="0"/>
    </xf>
    <xf borderId="1" fillId="3" fontId="66" numFmtId="0" xfId="0" applyAlignment="1" applyBorder="1" applyFont="1">
      <alignment shrinkToFit="0" vertical="bottom" wrapText="0"/>
    </xf>
    <xf borderId="1" fillId="3" fontId="162" numFmtId="0" xfId="0" applyAlignment="1" applyBorder="1" applyFont="1">
      <alignment shrinkToFit="0" vertical="bottom" wrapText="0"/>
    </xf>
    <xf borderId="1" fillId="3" fontId="163" numFmtId="49" xfId="0" applyAlignment="1" applyBorder="1" applyFont="1" applyNumberFormat="1">
      <alignment shrinkToFit="0" vertical="bottom" wrapText="0"/>
    </xf>
    <xf borderId="1" fillId="3" fontId="51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horizontal="left" readingOrder="0" shrinkToFit="0" vertical="center" wrapText="1"/>
    </xf>
    <xf borderId="1" fillId="3" fontId="48" numFmtId="0" xfId="0" applyAlignment="1" applyBorder="1" applyFont="1">
      <alignment shrinkToFit="0" vertical="bottom" wrapText="0"/>
    </xf>
    <xf borderId="1" fillId="3" fontId="164" numFmtId="0" xfId="0" applyAlignment="1" applyBorder="1" applyFont="1">
      <alignment shrinkToFit="0" vertical="bottom" wrapText="0"/>
    </xf>
    <xf borderId="1" fillId="3" fontId="80" numFmtId="0" xfId="0" applyAlignment="1" applyBorder="1" applyFont="1">
      <alignment shrinkToFit="0" vertical="bottom" wrapText="0"/>
    </xf>
    <xf borderId="1" fillId="0" fontId="51" numFmtId="0" xfId="0" applyAlignment="1" applyBorder="1" applyFont="1">
      <alignment horizontal="left" readingOrder="0" shrinkToFit="0" vertical="center" wrapText="1"/>
    </xf>
    <xf borderId="0" fillId="0" fontId="159" numFmtId="0" xfId="0" applyAlignment="1" applyFont="1">
      <alignment textRotation="0"/>
    </xf>
    <xf borderId="1" fillId="3" fontId="48" numFmtId="49" xfId="0" applyAlignment="1" applyBorder="1" applyFont="1" applyNumberFormat="1">
      <alignment shrinkToFit="0" vertical="bottom" wrapText="0"/>
    </xf>
    <xf borderId="1" fillId="3" fontId="80" numFmtId="49" xfId="0" applyAlignment="1" applyBorder="1" applyFont="1" applyNumberFormat="1">
      <alignment shrinkToFit="0" vertical="bottom" wrapText="0"/>
    </xf>
    <xf borderId="1" fillId="0" fontId="66" numFmtId="0" xfId="0" applyAlignment="1" applyBorder="1" applyFont="1">
      <alignment shrinkToFit="0" vertical="bottom" wrapText="0"/>
    </xf>
    <xf borderId="1" fillId="0" fontId="80" numFmtId="0" xfId="0" applyAlignment="1" applyBorder="1" applyFont="1">
      <alignment shrinkToFit="0" vertical="bottom" wrapText="0"/>
    </xf>
    <xf borderId="1" fillId="0" fontId="51" numFmtId="0" xfId="0" applyAlignment="1" applyBorder="1" applyFont="1">
      <alignment shrinkToFit="0" vertical="bottom" wrapText="0"/>
    </xf>
    <xf borderId="1" fillId="0" fontId="48" numFmtId="0" xfId="0" applyAlignment="1" applyBorder="1" applyFont="1">
      <alignment shrinkToFit="0" vertical="bottom" wrapText="0"/>
    </xf>
    <xf borderId="1" fillId="0" fontId="165" numFmtId="49" xfId="0" applyAlignment="1" applyBorder="1" applyFont="1" applyNumberFormat="1">
      <alignment shrinkToFit="0" vertical="bottom" wrapText="0"/>
    </xf>
    <xf borderId="10" fillId="14" fontId="166" numFmtId="0" xfId="0" applyAlignment="1" applyBorder="1" applyFont="1">
      <alignment horizontal="left" readingOrder="0"/>
    </xf>
    <xf borderId="1" fillId="3" fontId="167" numFmtId="0" xfId="0" applyAlignment="1" applyBorder="1" applyFont="1">
      <alignment readingOrder="0"/>
    </xf>
    <xf borderId="1" fillId="3" fontId="107" numFmtId="0" xfId="0" applyAlignment="1" applyBorder="1" applyFont="1">
      <alignment horizontal="left" shrinkToFit="0" vertical="bottom" wrapText="0"/>
    </xf>
    <xf borderId="10" fillId="10" fontId="168" numFmtId="0" xfId="0" applyAlignment="1" applyBorder="1" applyFont="1">
      <alignment readingOrder="0"/>
    </xf>
    <xf borderId="1" fillId="3" fontId="51" numFmtId="0" xfId="0" applyAlignment="1" applyBorder="1" applyFont="1">
      <alignment horizontal="left" readingOrder="0" shrinkToFit="0" vertical="center" wrapText="0"/>
    </xf>
    <xf borderId="1" fillId="3" fontId="169" numFmtId="0" xfId="0" applyAlignment="1" applyBorder="1" applyFont="1">
      <alignment horizontal="left" readingOrder="0"/>
    </xf>
    <xf borderId="1" fillId="0" fontId="158" numFmtId="49" xfId="0" applyAlignment="1" applyBorder="1" applyFont="1" applyNumberFormat="1">
      <alignment horizontal="center" shrinkToFit="0" vertical="bottom" wrapText="0"/>
    </xf>
    <xf borderId="1" fillId="0" fontId="51" numFmtId="1" xfId="0" applyAlignment="1" applyBorder="1" applyFont="1" applyNumberFormat="1">
      <alignment horizontal="center" vertical="bottom"/>
    </xf>
    <xf borderId="1" fillId="0" fontId="14" numFmtId="1" xfId="0" applyAlignment="1" applyBorder="1" applyFont="1" applyNumberFormat="1">
      <alignment horizontal="center" readingOrder="0" shrinkToFit="0" wrapText="0"/>
    </xf>
    <xf borderId="1" fillId="0" fontId="26" numFmtId="0" xfId="0" applyAlignment="1" applyBorder="1" applyFont="1">
      <alignment horizontal="left" readingOrder="0" shrinkToFit="0" wrapText="0"/>
    </xf>
    <xf borderId="1" fillId="0" fontId="26" numFmtId="0" xfId="0" applyAlignment="1" applyBorder="1" applyFont="1">
      <alignment horizontal="left" readingOrder="0" shrinkToFit="0" vertical="center" wrapText="0"/>
    </xf>
    <xf borderId="1" fillId="0" fontId="170" numFmtId="49" xfId="0" applyAlignment="1" applyBorder="1" applyFont="1" applyNumberFormat="1">
      <alignment readingOrder="0" shrinkToFit="0" vertical="center" wrapText="0"/>
    </xf>
    <xf borderId="1" fillId="0" fontId="14" numFmtId="0" xfId="0" applyAlignment="1" applyBorder="1" applyFont="1">
      <alignment readingOrder="0" shrinkToFit="0" wrapText="0"/>
    </xf>
    <xf borderId="0" fillId="2" fontId="14" numFmtId="0" xfId="0" applyAlignment="1" applyFont="1">
      <alignment readingOrder="0"/>
    </xf>
    <xf borderId="10" fillId="7" fontId="171" numFmtId="0" xfId="0" applyAlignment="1" applyBorder="1" applyFont="1">
      <alignment readingOrder="0"/>
    </xf>
    <xf borderId="10" fillId="3" fontId="14" numFmtId="0" xfId="0" applyAlignment="1" applyBorder="1" applyFont="1">
      <alignment readingOrder="0"/>
    </xf>
    <xf borderId="0" fillId="3" fontId="169" numFmtId="0" xfId="0" applyFont="1"/>
    <xf borderId="10" fillId="20" fontId="172" numFmtId="0" xfId="0" applyAlignment="1" applyBorder="1" applyFont="1">
      <alignment horizontal="left" readingOrder="0"/>
    </xf>
    <xf borderId="0" fillId="7" fontId="23" numFmtId="0" xfId="0" applyFont="1"/>
    <xf borderId="10" fillId="16" fontId="173" numFmtId="0" xfId="0" applyAlignment="1" applyBorder="1" applyFont="1">
      <alignment readingOrder="0"/>
    </xf>
    <xf borderId="0" fillId="3" fontId="23" numFmtId="0" xfId="0" applyFont="1"/>
    <xf borderId="0" fillId="3" fontId="23" numFmtId="0" xfId="0" applyAlignment="1" applyFont="1">
      <alignment readingOrder="0"/>
    </xf>
    <xf borderId="10" fillId="6" fontId="174" numFmtId="0" xfId="0" applyAlignment="1" applyBorder="1" applyFont="1">
      <alignment horizontal="left" readingOrder="0"/>
    </xf>
    <xf borderId="10" fillId="13" fontId="175" numFmtId="0" xfId="0" applyAlignment="1" applyBorder="1" applyFont="1">
      <alignment horizontal="left" readingOrder="0"/>
    </xf>
    <xf borderId="1" fillId="3" fontId="176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shrinkToFit="0" wrapText="0"/>
    </xf>
    <xf borderId="0" fillId="0" fontId="16" numFmtId="0" xfId="0" applyAlignment="1" applyFont="1">
      <alignment shrinkToFit="0" wrapText="0"/>
    </xf>
    <xf borderId="14" fillId="32" fontId="177" numFmtId="0" xfId="0" applyAlignment="1" applyBorder="1" applyFill="1" applyFont="1">
      <alignment horizontal="center" readingOrder="0" shrinkToFit="0" wrapText="1"/>
    </xf>
    <xf borderId="15" fillId="33" fontId="178" numFmtId="0" xfId="0" applyAlignment="1" applyBorder="1" applyFill="1" applyFont="1">
      <alignment horizontal="center" readingOrder="0" shrinkToFit="0" vertical="center" wrapText="0"/>
    </xf>
    <xf borderId="16" fillId="0" fontId="16" numFmtId="0" xfId="0" applyBorder="1" applyFont="1"/>
    <xf borderId="17" fillId="0" fontId="16" numFmtId="0" xfId="0" applyBorder="1" applyFont="1"/>
    <xf borderId="0" fillId="3" fontId="179" numFmtId="0" xfId="0" applyAlignment="1" applyFont="1">
      <alignment horizontal="center" readingOrder="0" shrinkToFit="0" wrapText="0"/>
    </xf>
    <xf borderId="18" fillId="34" fontId="180" numFmtId="0" xfId="0" applyAlignment="1" applyBorder="1" applyFill="1" applyFont="1">
      <alignment horizontal="center" readingOrder="0" shrinkToFit="0" vertical="top" wrapText="1"/>
    </xf>
    <xf borderId="15" fillId="15" fontId="16" numFmtId="0" xfId="0" applyBorder="1" applyFont="1"/>
    <xf borderId="16" fillId="15" fontId="16" numFmtId="0" xfId="0" applyBorder="1" applyFont="1"/>
    <xf borderId="17" fillId="15" fontId="16" numFmtId="0" xfId="0" applyBorder="1" applyFont="1"/>
    <xf borderId="0" fillId="3" fontId="66" numFmtId="0" xfId="0" applyAlignment="1" applyFont="1">
      <alignment readingOrder="0" shrinkToFit="0" vertical="center" wrapText="1"/>
    </xf>
    <xf borderId="0" fillId="0" fontId="16" numFmtId="0" xfId="0" applyAlignment="1" applyFont="1">
      <alignment horizontal="right" shrinkToFit="0" wrapText="0"/>
    </xf>
    <xf borderId="19" fillId="34" fontId="48" numFmtId="49" xfId="0" applyAlignment="1" applyBorder="1" applyFont="1" applyNumberFormat="1">
      <alignment horizontal="center" readingOrder="0" vertical="bottom"/>
    </xf>
    <xf borderId="20" fillId="15" fontId="66" numFmtId="0" xfId="0" applyAlignment="1" applyBorder="1" applyFont="1">
      <alignment horizontal="center" readingOrder="0" shrinkToFit="0" vertical="bottom" wrapText="1"/>
    </xf>
    <xf borderId="21" fillId="0" fontId="16" numFmtId="0" xfId="0" applyBorder="1" applyFont="1"/>
    <xf borderId="22" fillId="34" fontId="181" numFmtId="49" xfId="0" applyAlignment="1" applyBorder="1" applyFont="1" applyNumberFormat="1">
      <alignment horizontal="center" readingOrder="0" vertical="top"/>
    </xf>
    <xf borderId="20" fillId="15" fontId="182" numFmtId="0" xfId="0" applyAlignment="1" applyBorder="1" applyFont="1">
      <alignment horizontal="center" readingOrder="0" shrinkToFit="0" vertical="bottom" wrapText="1"/>
    </xf>
    <xf borderId="20" fillId="15" fontId="64" numFmtId="0" xfId="0" applyAlignment="1" applyBorder="1" applyFont="1">
      <alignment horizontal="center" readingOrder="0" shrinkToFit="0" vertical="top" wrapText="1"/>
    </xf>
    <xf borderId="14" fillId="35" fontId="183" numFmtId="0" xfId="0" applyAlignment="1" applyBorder="1" applyFill="1" applyFont="1">
      <alignment horizontal="center" readingOrder="0" shrinkToFit="0" vertical="center" wrapText="1"/>
    </xf>
    <xf borderId="20" fillId="15" fontId="184" numFmtId="0" xfId="0" applyAlignment="1" applyBorder="1" applyFont="1">
      <alignment horizontal="center" readingOrder="0" shrinkToFit="0" vertical="bottom" wrapText="1"/>
    </xf>
    <xf borderId="0" fillId="3" fontId="185" numFmtId="0" xfId="0" applyAlignment="1" applyFont="1">
      <alignment horizontal="center" readingOrder="0" shrinkToFit="0" vertical="top" wrapText="1"/>
    </xf>
    <xf borderId="18" fillId="36" fontId="186" numFmtId="0" xfId="0" applyAlignment="1" applyBorder="1" applyFill="1" applyFont="1">
      <alignment readingOrder="0"/>
    </xf>
    <xf borderId="20" fillId="15" fontId="0" numFmtId="0" xfId="0" applyAlignment="1" applyBorder="1" applyFont="1">
      <alignment horizontal="center" readingOrder="0" shrinkToFit="0" vertical="top" wrapText="1"/>
    </xf>
    <xf borderId="0" fillId="3" fontId="16" numFmtId="0" xfId="0" applyFont="1"/>
    <xf borderId="19" fillId="36" fontId="16" numFmtId="0" xfId="0" applyAlignment="1" applyBorder="1" applyFont="1">
      <alignment readingOrder="0"/>
    </xf>
    <xf borderId="19" fillId="36" fontId="16" numFmtId="0" xfId="0" applyAlignment="1" applyBorder="1" applyFont="1">
      <alignment readingOrder="0" shrinkToFit="0" wrapText="1"/>
    </xf>
    <xf borderId="20" fillId="15" fontId="6" numFmtId="0" xfId="0" applyAlignment="1" applyBorder="1" applyFont="1">
      <alignment horizontal="center" readingOrder="0"/>
    </xf>
    <xf borderId="0" fillId="3" fontId="187" numFmtId="0" xfId="0" applyAlignment="1" applyFont="1">
      <alignment horizontal="center" readingOrder="0" shrinkToFit="0" vertical="center" wrapText="1"/>
    </xf>
    <xf borderId="19" fillId="36" fontId="16" numFmtId="0" xfId="0" applyAlignment="1" applyBorder="1" applyFont="1">
      <alignment readingOrder="0" shrinkToFit="0" wrapText="0"/>
    </xf>
    <xf borderId="20" fillId="15" fontId="188" numFmtId="0" xfId="0" applyAlignment="1" applyBorder="1" applyFont="1">
      <alignment horizontal="center" readingOrder="0" shrinkToFit="0" vertical="bottom" wrapText="1"/>
    </xf>
    <xf borderId="20" fillId="0" fontId="16" numFmtId="0" xfId="0" applyBorder="1" applyFont="1"/>
    <xf borderId="19" fillId="36" fontId="16" numFmtId="0" xfId="0" applyBorder="1" applyFont="1"/>
    <xf borderId="20" fillId="15" fontId="189" numFmtId="0" xfId="0" applyAlignment="1" applyBorder="1" applyFont="1">
      <alignment horizontal="center" vertical="bottom"/>
    </xf>
    <xf borderId="0" fillId="3" fontId="51" numFmtId="0" xfId="0" applyAlignment="1" applyFont="1">
      <alignment horizontal="center" readingOrder="0" shrinkToFit="0" vertical="center" wrapText="1"/>
    </xf>
    <xf borderId="19" fillId="36" fontId="190" numFmtId="0" xfId="0" applyAlignment="1" applyBorder="1" applyFont="1">
      <alignment readingOrder="0" shrinkToFit="0" wrapText="0"/>
    </xf>
    <xf borderId="20" fillId="15" fontId="63" numFmtId="0" xfId="0" applyAlignment="1" applyBorder="1" applyFont="1">
      <alignment horizontal="center" readingOrder="0" vertical="top"/>
    </xf>
    <xf borderId="20" fillId="15" fontId="191" numFmtId="0" xfId="0" applyAlignment="1" applyBorder="1" applyFont="1">
      <alignment horizontal="center" readingOrder="0" vertical="bottom"/>
    </xf>
    <xf borderId="0" fillId="0" fontId="16" numFmtId="0" xfId="0" applyAlignment="1" applyFont="1">
      <alignment shrinkToFit="0" vertical="bottom" wrapText="0"/>
    </xf>
    <xf borderId="20" fillId="15" fontId="63" numFmtId="0" xfId="0" applyAlignment="1" applyBorder="1" applyFont="1">
      <alignment horizontal="center" readingOrder="0" vertical="top"/>
    </xf>
    <xf borderId="0" fillId="3" fontId="51" numFmtId="0" xfId="0" applyAlignment="1" applyFont="1">
      <alignment horizontal="center" readingOrder="0" shrinkToFit="0" vertical="bottom" wrapText="1"/>
    </xf>
    <xf borderId="20" fillId="15" fontId="192" numFmtId="0" xfId="0" applyAlignment="1" applyBorder="1" applyFont="1">
      <alignment horizontal="left" readingOrder="0"/>
    </xf>
    <xf borderId="20" fillId="15" fontId="193" numFmtId="0" xfId="0" applyAlignment="1" applyBorder="1" applyFont="1">
      <alignment horizontal="center" readingOrder="0"/>
    </xf>
    <xf borderId="0" fillId="3" fontId="194" numFmtId="0" xfId="0" applyAlignment="1" applyFont="1">
      <alignment horizontal="center" readingOrder="0" shrinkToFit="0" wrapText="1"/>
    </xf>
    <xf borderId="20" fillId="15" fontId="195" numFmtId="0" xfId="0" applyAlignment="1" applyBorder="1" applyFont="1">
      <alignment horizontal="center" readingOrder="0"/>
    </xf>
    <xf borderId="0" fillId="3" fontId="51" numFmtId="0" xfId="0" applyAlignment="1" applyFont="1">
      <alignment horizontal="center" vertical="bottom"/>
    </xf>
    <xf borderId="23" fillId="15" fontId="196" numFmtId="0" xfId="0" applyAlignment="1" applyBorder="1" applyFont="1">
      <alignment horizontal="center" readingOrder="0"/>
    </xf>
    <xf borderId="1" fillId="0" fontId="197" numFmtId="0" xfId="0" applyAlignment="1" applyBorder="1" applyFont="1">
      <alignment readingOrder="0" shrinkToFit="0" vertical="center" wrapText="0"/>
    </xf>
    <xf borderId="24" fillId="0" fontId="16" numFmtId="0" xfId="0" applyBorder="1" applyFont="1"/>
    <xf borderId="25" fillId="0" fontId="16" numFmtId="0" xfId="0" applyBorder="1" applyFont="1"/>
    <xf borderId="0" fillId="3" fontId="16" numFmtId="0" xfId="0" applyAlignment="1" applyFont="1">
      <alignment horizontal="center" readingOrder="0"/>
    </xf>
    <xf borderId="26" fillId="37" fontId="198" numFmtId="0" xfId="0" applyAlignment="1" applyBorder="1" applyFill="1" applyFont="1">
      <alignment horizontal="center" readingOrder="0" shrinkToFit="0" vertical="center" wrapText="0"/>
    </xf>
    <xf borderId="27" fillId="0" fontId="16" numFmtId="0" xfId="0" applyBorder="1" applyFont="1"/>
    <xf borderId="28" fillId="0" fontId="16" numFmtId="0" xfId="0" applyBorder="1" applyFont="1"/>
    <xf borderId="0" fillId="3" fontId="199" numFmtId="0" xfId="0" applyAlignment="1" applyFont="1">
      <alignment horizontal="center" readingOrder="0"/>
    </xf>
    <xf borderId="15" fillId="38" fontId="66" numFmtId="0" xfId="0" applyAlignment="1" applyBorder="1" applyFill="1" applyFont="1">
      <alignment horizontal="center" readingOrder="0" shrinkToFit="0" vertical="center" wrapText="1"/>
    </xf>
    <xf borderId="22" fillId="36" fontId="16" numFmtId="0" xfId="0" applyAlignment="1" applyBorder="1" applyFont="1">
      <alignment shrinkToFit="0" wrapText="0"/>
    </xf>
    <xf borderId="18" fillId="39" fontId="200" numFmtId="0" xfId="0" applyAlignment="1" applyBorder="1" applyFill="1" applyFont="1">
      <alignment horizontal="center" readingOrder="0" shrinkToFit="0" wrapText="1"/>
    </xf>
    <xf borderId="23" fillId="38" fontId="201" numFmtId="0" xfId="0" applyAlignment="1" applyBorder="1" applyFont="1">
      <alignment horizontal="center" readingOrder="0" shrinkToFit="0" vertical="top" wrapText="1"/>
    </xf>
    <xf borderId="18" fillId="17" fontId="56" numFmtId="0" xfId="0" applyAlignment="1" applyBorder="1" applyFont="1">
      <alignment readingOrder="0" shrinkToFit="0" wrapText="0"/>
    </xf>
    <xf borderId="19" fillId="17" fontId="80" numFmtId="0" xfId="0" applyAlignment="1" applyBorder="1" applyFont="1">
      <alignment horizontal="left" readingOrder="0"/>
    </xf>
    <xf borderId="26" fillId="40" fontId="202" numFmtId="0" xfId="0" applyAlignment="1" applyBorder="1" applyFill="1" applyFont="1">
      <alignment horizontal="center" readingOrder="0" shrinkToFit="0" vertical="center" wrapText="1"/>
    </xf>
    <xf borderId="15" fillId="19" fontId="51" numFmtId="0" xfId="0" applyAlignment="1" applyBorder="1" applyFont="1">
      <alignment horizontal="center" readingOrder="0" shrinkToFit="0" vertical="bottom" wrapText="0"/>
    </xf>
    <xf borderId="20" fillId="19" fontId="203" numFmtId="0" xfId="0" applyAlignment="1" applyBorder="1" applyFont="1">
      <alignment horizontal="center" vertical="bottom"/>
    </xf>
    <xf borderId="20" fillId="19" fontId="51" numFmtId="0" xfId="0" applyAlignment="1" applyBorder="1" applyFont="1">
      <alignment horizontal="center" readingOrder="0" vertical="top"/>
    </xf>
    <xf borderId="22" fillId="17" fontId="16" numFmtId="0" xfId="0" applyAlignment="1" applyBorder="1" applyFont="1">
      <alignment readingOrder="0"/>
    </xf>
    <xf borderId="20" fillId="19" fontId="51" numFmtId="0" xfId="0" applyAlignment="1" applyBorder="1" applyFont="1">
      <alignment horizontal="center" readingOrder="0"/>
    </xf>
    <xf borderId="0" fillId="19" fontId="51" numFmtId="0" xfId="0" applyAlignment="1" applyFont="1">
      <alignment horizontal="center" readingOrder="0"/>
    </xf>
    <xf borderId="21" fillId="19" fontId="51" numFmtId="0" xfId="0" applyAlignment="1" applyBorder="1" applyFont="1">
      <alignment horizontal="center" readingOrder="0"/>
    </xf>
    <xf borderId="20" fillId="19" fontId="204" numFmtId="0" xfId="0" applyAlignment="1" applyBorder="1" applyFont="1">
      <alignment horizontal="center" readingOrder="0"/>
    </xf>
    <xf borderId="18" fillId="41" fontId="205" numFmtId="0" xfId="0" applyAlignment="1" applyBorder="1" applyFill="1" applyFont="1">
      <alignment horizontal="center" readingOrder="0" shrinkToFit="0" wrapText="0"/>
    </xf>
    <xf borderId="20" fillId="19" fontId="16" numFmtId="0" xfId="0" applyBorder="1" applyFont="1"/>
    <xf borderId="0" fillId="19" fontId="16" numFmtId="0" xfId="0" applyFont="1"/>
    <xf borderId="21" fillId="19" fontId="16" numFmtId="0" xfId="0" applyBorder="1" applyFont="1"/>
    <xf borderId="18" fillId="20" fontId="16" numFmtId="0" xfId="0" applyAlignment="1" applyBorder="1" applyFont="1">
      <alignment readingOrder="0" shrinkToFit="0" vertical="center" wrapText="1"/>
    </xf>
    <xf borderId="20" fillId="19" fontId="206" numFmtId="0" xfId="0" applyAlignment="1" applyBorder="1" applyFont="1">
      <alignment horizontal="center" readingOrder="0" vertical="bottom"/>
    </xf>
    <xf borderId="19" fillId="20" fontId="207" numFmtId="0" xfId="0" applyAlignment="1" applyBorder="1" applyFont="1">
      <alignment horizontal="center" readingOrder="0" shrinkToFit="0" vertical="center" wrapText="1"/>
    </xf>
    <xf borderId="20" fillId="19" fontId="80" numFmtId="0" xfId="0" applyAlignment="1" applyBorder="1" applyFont="1">
      <alignment vertical="bottom"/>
    </xf>
    <xf borderId="19" fillId="20" fontId="7" numFmtId="166" xfId="0" applyAlignment="1" applyBorder="1" applyFont="1" applyNumberFormat="1">
      <alignment horizontal="center" readingOrder="0" shrinkToFit="0" vertical="bottom" wrapText="1"/>
    </xf>
    <xf borderId="19" fillId="20" fontId="16" numFmtId="0" xfId="0" applyAlignment="1" applyBorder="1" applyFont="1">
      <alignment shrinkToFit="0" wrapText="1"/>
    </xf>
    <xf borderId="0" fillId="3" fontId="51" numFmtId="0" xfId="0" applyFont="1"/>
    <xf borderId="19" fillId="20" fontId="16" numFmtId="0" xfId="0" applyAlignment="1" applyBorder="1" applyFont="1">
      <alignment readingOrder="0"/>
    </xf>
    <xf borderId="20" fillId="19" fontId="208" numFmtId="0" xfId="0" applyAlignment="1" applyBorder="1" applyFont="1">
      <alignment horizontal="center" readingOrder="0" shrinkToFit="0" vertical="bottom" wrapText="0"/>
    </xf>
    <xf borderId="0" fillId="3" fontId="209" numFmtId="0" xfId="0" applyAlignment="1" applyFont="1">
      <alignment horizontal="center" readingOrder="0" shrinkToFit="0" wrapText="1"/>
    </xf>
    <xf borderId="1" fillId="0" fontId="64" numFmtId="0" xfId="0" applyAlignment="1" applyBorder="1" applyFont="1">
      <alignment readingOrder="0" shrinkToFit="0" vertical="bottom" wrapText="0"/>
    </xf>
    <xf borderId="19" fillId="20" fontId="80" numFmtId="0" xfId="0" applyAlignment="1" applyBorder="1" applyFont="1">
      <alignment horizontal="left" readingOrder="0"/>
    </xf>
    <xf borderId="20" fillId="19" fontId="210" numFmtId="0" xfId="0" applyAlignment="1" applyBorder="1" applyFont="1">
      <alignment horizontal="center" readingOrder="0"/>
    </xf>
    <xf borderId="0" fillId="3" fontId="66" numFmtId="0" xfId="0" applyAlignment="1" applyFont="1">
      <alignment horizontal="left" readingOrder="0"/>
    </xf>
    <xf borderId="23" fillId="19" fontId="80" numFmtId="0" xfId="0" applyAlignment="1" applyBorder="1" applyFont="1">
      <alignment readingOrder="0" vertical="bottom"/>
    </xf>
    <xf borderId="0" fillId="3" fontId="48" numFmtId="0" xfId="0" applyAlignment="1" applyFont="1">
      <alignment readingOrder="0"/>
    </xf>
    <xf borderId="0" fillId="3" fontId="51" numFmtId="0" xfId="0" applyAlignment="1" applyFont="1">
      <alignment horizontal="center" readingOrder="0" shrinkToFit="0" vertical="bottom" wrapText="0"/>
    </xf>
    <xf borderId="19" fillId="20" fontId="16" numFmtId="0" xfId="0" applyBorder="1" applyFont="1"/>
    <xf borderId="15" fillId="42" fontId="211" numFmtId="0" xfId="0" applyAlignment="1" applyBorder="1" applyFill="1" applyFont="1">
      <alignment horizontal="center" readingOrder="0" shrinkToFit="0" wrapText="1"/>
    </xf>
    <xf borderId="0" fillId="3" fontId="185" numFmtId="0" xfId="0" applyAlignment="1" applyFont="1">
      <alignment horizontal="center" readingOrder="0"/>
    </xf>
    <xf borderId="15" fillId="43" fontId="51" numFmtId="0" xfId="0" applyAlignment="1" applyBorder="1" applyFill="1" applyFont="1">
      <alignment horizontal="center" readingOrder="0"/>
    </xf>
    <xf borderId="1" fillId="0" fontId="18" numFmtId="0" xfId="0" applyAlignment="1" applyBorder="1" applyFont="1">
      <alignment horizontal="left" readingOrder="0" shrinkToFit="0" wrapText="0"/>
    </xf>
    <xf borderId="20" fillId="43" fontId="80" numFmtId="0" xfId="0" applyAlignment="1" applyBorder="1" applyFont="1">
      <alignment horizontal="center" readingOrder="0"/>
    </xf>
    <xf borderId="23" fillId="43" fontId="80" numFmtId="0" xfId="0" applyAlignment="1" applyBorder="1" applyFont="1">
      <alignment horizontal="center" readingOrder="0"/>
    </xf>
    <xf borderId="0" fillId="3" fontId="212" numFmtId="0" xfId="0" applyAlignment="1" applyFont="1">
      <alignment horizontal="center" readingOrder="0"/>
    </xf>
    <xf borderId="0" fillId="3" fontId="56" numFmtId="0" xfId="0" applyAlignment="1" applyFont="1">
      <alignment horizontal="center" readingOrder="0"/>
    </xf>
    <xf borderId="22" fillId="20" fontId="213" numFmtId="0" xfId="0" applyAlignment="1" applyBorder="1" applyFont="1">
      <alignment readingOrder="0" shrinkToFit="0" vertical="center" wrapText="1"/>
    </xf>
    <xf borderId="0" fillId="3" fontId="51" numFmtId="0" xfId="0" applyAlignment="1" applyFont="1">
      <alignment readingOrder="0" shrinkToFit="0" vertical="center" wrapText="1"/>
    </xf>
    <xf borderId="0" fillId="42" fontId="214" numFmtId="49" xfId="0" applyAlignment="1" applyFont="1" applyNumberFormat="1">
      <alignment horizontal="center" shrinkToFit="0" vertical="center" wrapText="1"/>
    </xf>
    <xf borderId="0" fillId="42" fontId="214" numFmtId="49" xfId="0" applyAlignment="1" applyFont="1" applyNumberFormat="1">
      <alignment horizontal="center" readingOrder="0" shrinkToFit="0" vertical="center" wrapText="1"/>
    </xf>
    <xf borderId="0" fillId="2" fontId="214" numFmtId="164" xfId="0" applyAlignment="1" applyFont="1" applyNumberFormat="1">
      <alignment horizontal="center" shrinkToFit="0" vertical="center" wrapText="1"/>
    </xf>
    <xf borderId="0" fillId="2" fontId="214" numFmtId="49" xfId="0" applyAlignment="1" applyFont="1" applyNumberFormat="1">
      <alignment horizontal="center" readingOrder="0" shrinkToFit="0" vertical="center" wrapText="1"/>
    </xf>
    <xf borderId="0" fillId="2" fontId="214" numFmtId="49" xfId="0" applyAlignment="1" applyFont="1" applyNumberFormat="1">
      <alignment horizontal="center" shrinkToFit="0" vertical="center" wrapText="1"/>
    </xf>
    <xf borderId="0" fillId="2" fontId="214" numFmtId="49" xfId="0" applyAlignment="1" applyFont="1" applyNumberFormat="1">
      <alignment horizontal="center" shrinkToFit="0" vertical="center" wrapText="1"/>
    </xf>
    <xf borderId="0" fillId="3" fontId="51" numFmtId="49" xfId="0" applyAlignment="1" applyFont="1" applyNumberFormat="1">
      <alignment shrinkToFit="0" vertical="bottom" wrapText="0"/>
    </xf>
    <xf borderId="0" fillId="3" fontId="51" numFmtId="49" xfId="0" applyAlignment="1" applyFont="1" applyNumberFormat="1">
      <alignment horizontal="left" shrinkToFit="0" vertical="bottom" wrapText="0"/>
    </xf>
    <xf borderId="0" fillId="3" fontId="169" numFmtId="49" xfId="0" applyAlignment="1" applyFont="1" applyNumberFormat="1">
      <alignment readingOrder="0"/>
    </xf>
    <xf borderId="0" fillId="3" fontId="51" numFmtId="164" xfId="0" applyAlignment="1" applyFont="1" applyNumberFormat="1">
      <alignment horizontal="left" readingOrder="0" shrinkToFit="0" vertical="bottom" wrapText="0"/>
    </xf>
    <xf borderId="1" fillId="3" fontId="14" numFmtId="164" xfId="0" applyAlignment="1" applyBorder="1" applyFont="1" applyNumberFormat="1">
      <alignment horizontal="center" readingOrder="0" shrinkToFit="0" wrapText="0"/>
    </xf>
    <xf borderId="10" fillId="8" fontId="215" numFmtId="0" xfId="0" applyAlignment="1" applyBorder="1" applyFont="1">
      <alignment horizontal="left" readingOrder="0"/>
    </xf>
    <xf borderId="0" fillId="0" fontId="51" numFmtId="0" xfId="0" applyAlignment="1" applyFont="1">
      <alignment readingOrder="0" vertical="bottom"/>
    </xf>
    <xf borderId="0" fillId="3" fontId="51" numFmtId="49" xfId="0" applyAlignment="1" applyFont="1" applyNumberFormat="1">
      <alignment readingOrder="0" shrinkToFit="0" vertical="bottom" wrapText="0"/>
    </xf>
    <xf borderId="0" fillId="3" fontId="80" numFmtId="0" xfId="0" applyAlignment="1" applyFont="1">
      <alignment readingOrder="0" shrinkToFit="0" vertical="bottom" wrapText="0"/>
    </xf>
    <xf borderId="0" fillId="3" fontId="80" numFmtId="49" xfId="0" applyAlignment="1" applyFont="1" applyNumberFormat="1">
      <alignment horizontal="center" readingOrder="0" shrinkToFit="0" wrapText="0"/>
    </xf>
    <xf borderId="0" fillId="44" fontId="51" numFmtId="164" xfId="0" applyAlignment="1" applyFill="1" applyFont="1" applyNumberFormat="1">
      <alignment horizontal="left" readingOrder="0" shrinkToFit="0" vertical="center" wrapText="0"/>
    </xf>
    <xf borderId="0" fillId="44" fontId="51" numFmtId="0" xfId="0" applyAlignment="1" applyFont="1">
      <alignment readingOrder="0" vertical="center"/>
    </xf>
    <xf borderId="0" fillId="44" fontId="51" numFmtId="49" xfId="0" applyAlignment="1" applyFont="1" applyNumberFormat="1">
      <alignment readingOrder="0" shrinkToFit="0" vertical="bottom" wrapText="1"/>
    </xf>
    <xf borderId="0" fillId="44" fontId="80" numFmtId="0" xfId="0" applyAlignment="1" applyFont="1">
      <alignment readingOrder="0" shrinkToFit="0" vertical="center" wrapText="1"/>
    </xf>
    <xf borderId="1" fillId="3" fontId="46" numFmtId="0" xfId="0" applyAlignment="1" applyBorder="1" applyFont="1">
      <alignment horizontal="left" readingOrder="0" shrinkToFit="0" vertical="center" wrapText="0"/>
    </xf>
    <xf borderId="0" fillId="0" fontId="51" numFmtId="0" xfId="0" applyAlignment="1" applyFont="1">
      <alignment vertical="bottom"/>
    </xf>
    <xf borderId="1" fillId="0" fontId="80" numFmtId="0" xfId="0" applyAlignment="1" applyBorder="1" applyFont="1">
      <alignment horizontal="left" shrinkToFit="0" vertical="bottom" wrapText="0"/>
    </xf>
    <xf borderId="10" fillId="20" fontId="216" numFmtId="0" xfId="0" applyAlignment="1" applyBorder="1" applyFont="1">
      <alignment readingOrder="0"/>
    </xf>
    <xf borderId="1" fillId="3" fontId="46" numFmtId="1" xfId="0" applyAlignment="1" applyBorder="1" applyFont="1" applyNumberFormat="1">
      <alignment horizontal="center" readingOrder="0" shrinkToFit="0" wrapText="0"/>
    </xf>
    <xf borderId="0" fillId="3" fontId="80" numFmtId="49" xfId="0" applyAlignment="1" applyFont="1" applyNumberFormat="1">
      <alignment horizontal="center" shrinkToFit="0" wrapText="0"/>
    </xf>
    <xf borderId="10" fillId="13" fontId="217" numFmtId="0" xfId="0" applyAlignment="1" applyBorder="1" applyFont="1">
      <alignment readingOrder="0"/>
    </xf>
    <xf borderId="26" fillId="34" fontId="51" numFmtId="49" xfId="0" applyAlignment="1" applyBorder="1" applyFont="1" applyNumberFormat="1">
      <alignment vertical="center"/>
    </xf>
    <xf borderId="27" fillId="34" fontId="51" numFmtId="49" xfId="0" applyAlignment="1" applyBorder="1" applyFont="1" applyNumberFormat="1">
      <alignment vertical="center"/>
    </xf>
    <xf borderId="10" fillId="29" fontId="218" numFmtId="0" xfId="0" applyAlignment="1" applyBorder="1" applyFont="1">
      <alignment readingOrder="0"/>
    </xf>
    <xf borderId="27" fillId="34" fontId="219" numFmtId="164" xfId="0" applyAlignment="1" applyBorder="1" applyFont="1" applyNumberFormat="1">
      <alignment horizontal="left" readingOrder="0" shrinkToFit="0" vertical="center" wrapText="0"/>
    </xf>
    <xf borderId="27" fillId="34" fontId="219" numFmtId="49" xfId="0" applyAlignment="1" applyBorder="1" applyFont="1" applyNumberFormat="1">
      <alignment readingOrder="0" shrinkToFit="0" vertical="center" wrapText="0"/>
    </xf>
    <xf borderId="28" fillId="34" fontId="51" numFmtId="49" xfId="0" applyAlignment="1" applyBorder="1" applyFont="1" applyNumberFormat="1">
      <alignment vertical="center"/>
    </xf>
    <xf borderId="10" fillId="15" fontId="220" numFmtId="0" xfId="0" applyAlignment="1" applyBorder="1" applyFont="1">
      <alignment readingOrder="0"/>
    </xf>
    <xf borderId="0" fillId="0" fontId="51" numFmtId="0" xfId="0" applyAlignment="1" applyFont="1">
      <alignment vertical="bottom"/>
    </xf>
    <xf borderId="0" fillId="3" fontId="107" numFmtId="49" xfId="0" applyAlignment="1" applyFont="1" applyNumberFormat="1">
      <alignment readingOrder="0"/>
    </xf>
    <xf borderId="0" fillId="3" fontId="51" numFmtId="49" xfId="0" applyAlignment="1" applyFont="1" applyNumberFormat="1">
      <alignment vertical="bottom"/>
    </xf>
    <xf borderId="0" fillId="3" fontId="80" numFmtId="49" xfId="0" applyAlignment="1" applyFont="1" applyNumberFormat="1">
      <alignment shrinkToFit="0" vertical="bottom" wrapText="0"/>
    </xf>
    <xf borderId="0" fillId="45" fontId="221" numFmtId="49" xfId="0" applyAlignment="1" applyFill="1" applyFont="1" applyNumberFormat="1">
      <alignment vertical="center"/>
    </xf>
    <xf borderId="26" fillId="45" fontId="1" numFmtId="164" xfId="0" applyAlignment="1" applyBorder="1" applyFont="1" applyNumberFormat="1">
      <alignment horizontal="left" readingOrder="0" shrinkToFit="0" vertical="center" wrapText="0"/>
    </xf>
    <xf borderId="27" fillId="45" fontId="222" numFmtId="49" xfId="0" applyAlignment="1" applyBorder="1" applyFont="1" applyNumberFormat="1">
      <alignment horizontal="center" readingOrder="0" shrinkToFit="0" vertical="center" wrapText="0"/>
    </xf>
    <xf borderId="0" fillId="2" fontId="223" numFmtId="49" xfId="0" applyAlignment="1" applyFont="1" applyNumberFormat="1">
      <alignment vertical="center"/>
    </xf>
    <xf borderId="27" fillId="2" fontId="1" numFmtId="164" xfId="0" applyAlignment="1" applyBorder="1" applyFont="1" applyNumberFormat="1">
      <alignment horizontal="left" readingOrder="0" shrinkToFit="0" vertical="center" wrapText="0"/>
    </xf>
    <xf borderId="24" fillId="2" fontId="1" numFmtId="49" xfId="0" applyAlignment="1" applyBorder="1" applyFont="1" applyNumberFormat="1">
      <alignment readingOrder="0" shrinkToFit="0" vertical="center" wrapText="0"/>
    </xf>
    <xf borderId="24" fillId="2" fontId="223" numFmtId="49" xfId="0" applyAlignment="1" applyBorder="1" applyFont="1" applyNumberFormat="1">
      <alignment vertical="center"/>
    </xf>
    <xf borderId="25" fillId="2" fontId="223" numFmtId="49" xfId="0" applyAlignment="1" applyBorder="1" applyFont="1" applyNumberFormat="1">
      <alignment vertical="center"/>
    </xf>
    <xf borderId="0" fillId="46" fontId="51" numFmtId="49" xfId="0" applyAlignment="1" applyFill="1" applyFont="1" applyNumberFormat="1">
      <alignment vertical="center"/>
    </xf>
    <xf borderId="27" fillId="46" fontId="219" numFmtId="164" xfId="0" applyAlignment="1" applyBorder="1" applyFont="1" applyNumberFormat="1">
      <alignment horizontal="left" readingOrder="0" shrinkToFit="0" vertical="center" wrapText="0"/>
    </xf>
    <xf borderId="27" fillId="46" fontId="219" numFmtId="49" xfId="0" applyAlignment="1" applyBorder="1" applyFont="1" applyNumberFormat="1">
      <alignment readingOrder="0" shrinkToFit="0" vertical="center" wrapText="0"/>
    </xf>
    <xf borderId="27" fillId="46" fontId="51" numFmtId="49" xfId="0" applyAlignment="1" applyBorder="1" applyFont="1" applyNumberFormat="1">
      <alignment vertical="center"/>
    </xf>
    <xf borderId="28" fillId="46" fontId="51" numFmtId="49" xfId="0" applyAlignment="1" applyBorder="1" applyFont="1" applyNumberFormat="1">
      <alignment vertical="center"/>
    </xf>
    <xf borderId="26" fillId="17" fontId="51" numFmtId="49" xfId="0" applyAlignment="1" applyBorder="1" applyFont="1" applyNumberFormat="1">
      <alignment vertical="center"/>
    </xf>
    <xf borderId="27" fillId="17" fontId="51" numFmtId="49" xfId="0" applyAlignment="1" applyBorder="1" applyFont="1" applyNumberFormat="1">
      <alignment vertical="center"/>
    </xf>
    <xf borderId="27" fillId="17" fontId="219" numFmtId="164" xfId="0" applyAlignment="1" applyBorder="1" applyFont="1" applyNumberFormat="1">
      <alignment horizontal="left" readingOrder="0" shrinkToFit="0" vertical="center" wrapText="0"/>
    </xf>
    <xf borderId="27" fillId="17" fontId="219" numFmtId="49" xfId="0" applyAlignment="1" applyBorder="1" applyFont="1" applyNumberFormat="1">
      <alignment readingOrder="0" shrinkToFit="0" vertical="center" wrapText="0"/>
    </xf>
    <xf borderId="28" fillId="17" fontId="51" numFmtId="49" xfId="0" applyAlignment="1" applyBorder="1" applyFont="1" applyNumberFormat="1">
      <alignment vertical="center"/>
    </xf>
    <xf borderId="0" fillId="3" fontId="80" numFmtId="49" xfId="0" applyAlignment="1" applyFont="1" applyNumberFormat="1">
      <alignment horizontal="center" shrinkToFit="0" vertical="bottom" wrapText="0"/>
    </xf>
    <xf borderId="1" fillId="0" fontId="224" numFmtId="0" xfId="0" applyAlignment="1" applyBorder="1" applyFont="1">
      <alignment readingOrder="0" shrinkToFit="0" vertical="center" wrapText="0"/>
    </xf>
    <xf borderId="29" fillId="3" fontId="46" numFmtId="0" xfId="0" applyAlignment="1" applyBorder="1" applyFont="1">
      <alignment horizontal="left" readingOrder="0" shrinkToFit="0" wrapText="0"/>
    </xf>
    <xf borderId="0" fillId="0" fontId="16" numFmtId="167" xfId="0" applyAlignment="1" applyFont="1" applyNumberFormat="1">
      <alignment horizontal="left" readingOrder="0"/>
    </xf>
    <xf borderId="0" fillId="0" fontId="16" numFmtId="0" xfId="0" applyAlignment="1" applyFont="1">
      <alignment readingOrder="0" shrinkToFit="0" wrapText="0"/>
    </xf>
    <xf borderId="0" fillId="3" fontId="80" numFmtId="49" xfId="0" applyAlignment="1" applyFont="1" applyNumberFormat="1">
      <alignment horizontal="left" shrinkToFit="0" vertical="bottom" wrapText="0"/>
    </xf>
    <xf borderId="0" fillId="0" fontId="51" numFmtId="49" xfId="0" applyAlignment="1" applyFont="1" applyNumberFormat="1">
      <alignment vertical="bottom"/>
    </xf>
    <xf borderId="26" fillId="30" fontId="225" numFmtId="49" xfId="0" applyAlignment="1" applyBorder="1" applyFont="1" applyNumberFormat="1">
      <alignment readingOrder="0" shrinkToFit="0" vertical="center" wrapText="0"/>
    </xf>
    <xf borderId="27" fillId="30" fontId="225" numFmtId="49" xfId="0" applyAlignment="1" applyBorder="1" applyFont="1" applyNumberFormat="1">
      <alignment horizontal="left" shrinkToFit="0" vertical="center" wrapText="0"/>
    </xf>
    <xf borderId="27" fillId="30" fontId="219" numFmtId="164" xfId="0" applyAlignment="1" applyBorder="1" applyFont="1" applyNumberFormat="1">
      <alignment horizontal="left" readingOrder="0" shrinkToFit="0" vertical="center" wrapText="0"/>
    </xf>
    <xf borderId="27" fillId="30" fontId="219" numFmtId="49" xfId="0" applyAlignment="1" applyBorder="1" applyFont="1" applyNumberFormat="1">
      <alignment readingOrder="0" shrinkToFit="0" vertical="center" wrapText="0"/>
    </xf>
    <xf borderId="27" fillId="30" fontId="225" numFmtId="49" xfId="0" applyAlignment="1" applyBorder="1" applyFont="1" applyNumberFormat="1">
      <alignment readingOrder="0" shrinkToFit="0" vertical="center" wrapText="0"/>
    </xf>
    <xf borderId="27" fillId="30" fontId="226" numFmtId="0" xfId="0" applyAlignment="1" applyBorder="1" applyFont="1">
      <alignment readingOrder="0" shrinkToFit="0" vertical="center" wrapText="0"/>
    </xf>
    <xf borderId="28" fillId="30" fontId="225" numFmtId="49" xfId="0" applyAlignment="1" applyBorder="1" applyFont="1" applyNumberFormat="1">
      <alignment shrinkToFit="0" vertical="center" wrapText="0"/>
    </xf>
    <xf borderId="0" fillId="3" fontId="51" numFmtId="49" xfId="0" applyAlignment="1" applyFont="1" applyNumberFormat="1">
      <alignment horizontal="left" readingOrder="0" shrinkToFit="0" vertical="bottom" wrapText="0"/>
    </xf>
    <xf borderId="29" fillId="3" fontId="16" numFmtId="0" xfId="0" applyAlignment="1" applyBorder="1" applyFont="1">
      <alignment horizontal="left" readingOrder="0" shrinkToFit="0" wrapText="0"/>
    </xf>
    <xf borderId="0" fillId="3" fontId="80" numFmtId="49" xfId="0" applyAlignment="1" applyFont="1" applyNumberFormat="1">
      <alignment readingOrder="0" shrinkToFit="0" vertical="bottom" wrapText="0"/>
    </xf>
    <xf borderId="1" fillId="0" fontId="227" numFmtId="1" xfId="0" applyAlignment="1" applyBorder="1" applyFont="1" applyNumberFormat="1">
      <alignment horizontal="center" shrinkToFit="0" vertical="bottom" wrapText="0"/>
    </xf>
    <xf borderId="1" fillId="3" fontId="80" numFmtId="0" xfId="0" applyAlignment="1" applyBorder="1" applyFont="1">
      <alignment horizontal="left" readingOrder="0" shrinkToFit="0" vertical="bottom" wrapText="0"/>
    </xf>
    <xf borderId="0" fillId="3" fontId="80" numFmtId="49" xfId="0" applyAlignment="1" applyFont="1" applyNumberFormat="1">
      <alignment horizontal="left" readingOrder="0" shrinkToFit="0" vertical="bottom" wrapText="0"/>
    </xf>
    <xf borderId="0" fillId="3" fontId="80" numFmtId="164" xfId="0" applyAlignment="1" applyFont="1" applyNumberFormat="1">
      <alignment horizontal="left" readingOrder="0" shrinkToFit="0" vertical="bottom" wrapText="0"/>
    </xf>
    <xf borderId="10" fillId="10" fontId="228" numFmtId="0" xfId="0" applyAlignment="1" applyBorder="1" applyFont="1">
      <alignment vertical="bottom"/>
    </xf>
    <xf borderId="10" fillId="11" fontId="229" numFmtId="0" xfId="0" applyAlignment="1" applyBorder="1" applyFont="1">
      <alignment vertical="bottom"/>
    </xf>
    <xf borderId="0" fillId="3" fontId="80" numFmtId="164" xfId="0" applyAlignment="1" applyFont="1" applyNumberFormat="1">
      <alignment horizontal="left" shrinkToFit="0" vertical="bottom" wrapText="0"/>
    </xf>
    <xf borderId="30" fillId="3" fontId="80" numFmtId="49" xfId="0" applyAlignment="1" applyBorder="1" applyFont="1" applyNumberFormat="1">
      <alignment horizontal="center" shrinkToFit="0" wrapText="0"/>
    </xf>
    <xf borderId="0" fillId="0" fontId="230" numFmtId="49" xfId="0" applyAlignment="1" applyFont="1" applyNumberFormat="1">
      <alignment shrinkToFit="0" vertical="bottom" wrapText="0"/>
    </xf>
    <xf borderId="10" fillId="27" fontId="231" numFmtId="0" xfId="0" applyAlignment="1" applyBorder="1" applyFont="1">
      <alignment readingOrder="0"/>
    </xf>
    <xf borderId="30" fillId="3" fontId="80" numFmtId="49" xfId="0" applyAlignment="1" applyBorder="1" applyFont="1" applyNumberFormat="1">
      <alignment shrinkToFit="0" vertical="bottom" wrapText="0"/>
    </xf>
    <xf borderId="30" fillId="3" fontId="51" numFmtId="49" xfId="0" applyAlignment="1" applyBorder="1" applyFont="1" applyNumberFormat="1">
      <alignment shrinkToFit="0" vertical="bottom" wrapText="0"/>
    </xf>
    <xf borderId="31" fillId="3" fontId="80" numFmtId="164" xfId="0" applyAlignment="1" applyBorder="1" applyFont="1" applyNumberFormat="1">
      <alignment horizontal="left" shrinkToFit="0" vertical="bottom" wrapText="0"/>
    </xf>
    <xf borderId="32" fillId="3" fontId="80" numFmtId="49" xfId="0" applyAlignment="1" applyBorder="1" applyFont="1" applyNumberFormat="1">
      <alignment shrinkToFit="0" vertical="bottom" wrapText="0"/>
    </xf>
    <xf borderId="32" fillId="3" fontId="51" numFmtId="49" xfId="0" applyAlignment="1" applyBorder="1" applyFont="1" applyNumberFormat="1">
      <alignment shrinkToFit="0" vertical="bottom" wrapText="0"/>
    </xf>
    <xf borderId="0" fillId="45" fontId="232" numFmtId="49" xfId="0" applyAlignment="1" applyFont="1" applyNumberFormat="1">
      <alignment horizontal="center" shrinkToFit="0" vertical="bottom" wrapText="0"/>
    </xf>
    <xf borderId="0" fillId="45" fontId="51" numFmtId="49" xfId="0" applyAlignment="1" applyFont="1" applyNumberFormat="1">
      <alignment shrinkToFit="0" vertical="bottom" wrapText="0"/>
    </xf>
    <xf borderId="0" fillId="43" fontId="51" numFmtId="49" xfId="0" applyAlignment="1" applyFont="1" applyNumberFormat="1">
      <alignment shrinkToFit="0" vertical="bottom" wrapText="0"/>
    </xf>
    <xf borderId="0" fillId="43" fontId="51" numFmtId="49" xfId="0" applyAlignment="1" applyFont="1" applyNumberFormat="1">
      <alignment horizontal="left" shrinkToFit="0" vertical="bottom" wrapText="0"/>
    </xf>
    <xf borderId="0" fillId="43" fontId="51" numFmtId="164" xfId="0" applyAlignment="1" applyFont="1" applyNumberFormat="1">
      <alignment horizontal="left" shrinkToFit="0" vertical="bottom" wrapText="0"/>
    </xf>
    <xf borderId="0" fillId="43" fontId="230" numFmtId="49" xfId="0" applyAlignment="1" applyFont="1" applyNumberFormat="1">
      <alignment shrinkToFit="0" vertical="bottom" wrapText="0"/>
    </xf>
    <xf borderId="0" fillId="43" fontId="80" numFmtId="49" xfId="0" applyAlignment="1" applyFont="1" applyNumberFormat="1">
      <alignment shrinkToFit="0" vertical="bottom" wrapText="0"/>
    </xf>
    <xf borderId="0" fillId="43" fontId="80" numFmtId="0" xfId="0" applyAlignment="1" applyFont="1">
      <alignment readingOrder="0" shrinkToFit="0" vertical="bottom" wrapText="0"/>
    </xf>
    <xf borderId="0" fillId="43" fontId="51" numFmtId="49" xfId="0" applyAlignment="1" applyFont="1" applyNumberFormat="1">
      <alignment horizontal="left" readingOrder="0" shrinkToFit="0" vertical="bottom" wrapText="0"/>
    </xf>
    <xf borderId="1" fillId="3" fontId="51" numFmtId="0" xfId="0" applyAlignment="1" applyBorder="1" applyFont="1">
      <alignment vertical="bottom"/>
    </xf>
    <xf borderId="10" fillId="3" fontId="16" numFmtId="0" xfId="0" applyAlignment="1" applyBorder="1" applyFont="1">
      <alignment shrinkToFit="0" textRotation="90" wrapText="1"/>
    </xf>
    <xf borderId="0" fillId="0" fontId="233" numFmtId="0" xfId="0" applyAlignment="1" applyFont="1">
      <alignment readingOrder="0" shrinkToFit="0" vertical="center" wrapText="0"/>
    </xf>
    <xf borderId="0" fillId="0" fontId="51" numFmtId="164" xfId="0" applyAlignment="1" applyFont="1" applyNumberFormat="1">
      <alignment horizontal="left" readingOrder="0" shrinkToFit="0" vertical="center" wrapText="0"/>
    </xf>
    <xf borderId="12" fillId="0" fontId="51" numFmtId="164" xfId="0" applyAlignment="1" applyBorder="1" applyFont="1" applyNumberFormat="1">
      <alignment horizontal="right" readingOrder="0" shrinkToFit="0" vertical="bottom" wrapText="0"/>
    </xf>
    <xf borderId="1" fillId="0" fontId="26" numFmtId="0" xfId="0" applyAlignment="1" applyBorder="1" applyFont="1">
      <alignment horizontal="left" readingOrder="0" shrinkToFit="0" wrapText="0"/>
    </xf>
    <xf borderId="1" fillId="0" fontId="26" numFmtId="0" xfId="0" applyAlignment="1" applyBorder="1" applyFont="1">
      <alignment horizontal="left" readingOrder="0" shrinkToFit="0" vertical="center" wrapText="0"/>
    </xf>
    <xf borderId="10" fillId="14" fontId="234" numFmtId="0" xfId="0" applyAlignment="1" applyBorder="1" applyFont="1">
      <alignment readingOrder="0"/>
    </xf>
    <xf borderId="1" fillId="0" fontId="80" numFmtId="164" xfId="0" applyAlignment="1" applyBorder="1" applyFont="1" applyNumberFormat="1">
      <alignment horizontal="left" readingOrder="0" shrinkToFit="0" vertical="center" wrapText="0"/>
    </xf>
    <xf borderId="1" fillId="0" fontId="80" numFmtId="164" xfId="0" applyAlignment="1" applyBorder="1" applyFont="1" applyNumberFormat="1">
      <alignment horizontal="right" readingOrder="0" shrinkToFit="0" vertical="bottom" wrapText="0"/>
    </xf>
    <xf borderId="12" fillId="0" fontId="80" numFmtId="164" xfId="0" applyAlignment="1" applyBorder="1" applyFont="1" applyNumberFormat="1">
      <alignment horizontal="right" readingOrder="0" shrinkToFit="0" vertical="bottom" wrapText="0"/>
    </xf>
    <xf borderId="1" fillId="0" fontId="80" numFmtId="0" xfId="0" applyAlignment="1" applyBorder="1" applyFont="1">
      <alignment horizontal="right" readingOrder="0" shrinkToFit="0" vertical="bottom" wrapText="0"/>
    </xf>
    <xf borderId="12" fillId="0" fontId="80" numFmtId="0" xfId="0" applyAlignment="1" applyBorder="1" applyFont="1">
      <alignment horizontal="right" readingOrder="0" shrinkToFit="0" vertical="bottom" wrapText="0"/>
    </xf>
    <xf borderId="1" fillId="0" fontId="235" numFmtId="0" xfId="0" applyAlignment="1" applyBorder="1" applyFont="1">
      <alignment readingOrder="0"/>
    </xf>
    <xf borderId="0" fillId="19" fontId="236" numFmtId="0" xfId="0" applyFont="1"/>
    <xf borderId="1" fillId="3" fontId="48" numFmtId="0" xfId="0" applyAlignment="1" applyBorder="1" applyFont="1">
      <alignment readingOrder="0" shrinkToFit="0" vertical="center" wrapText="0"/>
    </xf>
    <xf borderId="1" fillId="31" fontId="237" numFmtId="0" xfId="0" applyAlignment="1" applyBorder="1" applyFont="1">
      <alignment shrinkToFit="0" vertical="bottom" wrapText="0"/>
    </xf>
    <xf borderId="1" fillId="3" fontId="80" numFmtId="164" xfId="0" applyAlignment="1" applyBorder="1" applyFont="1" applyNumberFormat="1">
      <alignment horizontal="center" readingOrder="0" shrinkToFit="0" vertical="bottom" wrapText="0"/>
    </xf>
    <xf borderId="10" fillId="8" fontId="238" numFmtId="0" xfId="0" applyAlignment="1" applyBorder="1" applyFont="1">
      <alignment vertical="bottom"/>
    </xf>
    <xf borderId="1" fillId="3" fontId="80" numFmtId="1" xfId="0" applyAlignment="1" applyBorder="1" applyFont="1" applyNumberFormat="1">
      <alignment horizontal="center" readingOrder="0" shrinkToFit="0" vertical="bottom" wrapText="0"/>
    </xf>
    <xf borderId="1" fillId="3" fontId="230" numFmtId="0" xfId="0" applyAlignment="1" applyBorder="1" applyFont="1">
      <alignment shrinkToFit="0" vertical="bottom" wrapText="0"/>
    </xf>
    <xf borderId="1" fillId="3" fontId="80" numFmtId="164" xfId="0" applyAlignment="1" applyBorder="1" applyFont="1" applyNumberFormat="1">
      <alignment horizontal="left" readingOrder="0" shrinkToFit="0" vertical="center" wrapText="0"/>
    </xf>
    <xf borderId="10" fillId="17" fontId="239" numFmtId="0" xfId="0" applyAlignment="1" applyBorder="1" applyFont="1">
      <alignment vertical="bottom"/>
    </xf>
    <xf borderId="10" fillId="28" fontId="240" numFmtId="0" xfId="0" applyAlignment="1" applyBorder="1" applyFont="1">
      <alignment readingOrder="0"/>
    </xf>
    <xf borderId="2" fillId="0" fontId="14" numFmtId="164" xfId="0" applyAlignment="1" applyBorder="1" applyFont="1" applyNumberFormat="1">
      <alignment horizontal="left" readingOrder="0" shrinkToFit="0" vertical="center" wrapText="0"/>
    </xf>
    <xf borderId="33" fillId="0" fontId="14" numFmtId="164" xfId="0" applyAlignment="1" applyBorder="1" applyFont="1" applyNumberFormat="1">
      <alignment horizontal="right" readingOrder="0" shrinkToFit="0" wrapText="0"/>
    </xf>
    <xf borderId="2" fillId="0" fontId="14" numFmtId="164" xfId="0" applyAlignment="1" applyBorder="1" applyFont="1" applyNumberFormat="1">
      <alignment horizontal="right" readingOrder="0" shrinkToFit="0" wrapText="0"/>
    </xf>
    <xf borderId="2" fillId="0" fontId="0" numFmtId="0" xfId="0" applyAlignment="1" applyBorder="1" applyFont="1">
      <alignment readingOrder="0" shrinkToFit="0" wrapText="0"/>
    </xf>
    <xf borderId="2" fillId="3" fontId="14" numFmtId="164" xfId="0" applyAlignment="1" applyBorder="1" applyFont="1" applyNumberFormat="1">
      <alignment horizontal="right" readingOrder="0" shrinkToFit="0" wrapText="0"/>
    </xf>
    <xf borderId="1" fillId="31" fontId="241" numFmtId="0" xfId="0" applyAlignment="1" applyBorder="1" applyFont="1">
      <alignment horizontal="left" readingOrder="0" shrinkToFit="0" wrapText="0"/>
    </xf>
    <xf borderId="11" fillId="3" fontId="242" numFmtId="49" xfId="0" applyAlignment="1" applyBorder="1" applyFont="1" applyNumberFormat="1">
      <alignment readingOrder="0" shrinkToFit="0" vertical="center" wrapText="0"/>
    </xf>
    <xf borderId="1" fillId="0" fontId="51" numFmtId="0" xfId="0" applyAlignment="1" applyBorder="1" applyFont="1">
      <alignment horizontal="left" readingOrder="0" shrinkToFit="0" vertical="center" wrapText="0"/>
    </xf>
    <xf borderId="34" fillId="0" fontId="51" numFmtId="0" xfId="0" applyAlignment="1" applyBorder="1" applyFont="1">
      <alignment horizontal="center" readingOrder="0" vertical="bottom"/>
    </xf>
    <xf borderId="35" fillId="0" fontId="51" numFmtId="0" xfId="0" applyAlignment="1" applyBorder="1" applyFont="1">
      <alignment horizontal="center" readingOrder="0" vertical="bottom"/>
    </xf>
    <xf borderId="35" fillId="3" fontId="16" numFmtId="0" xfId="0" applyAlignment="1" applyBorder="1" applyFont="1">
      <alignment readingOrder="0" shrinkToFit="0" wrapText="0"/>
    </xf>
    <xf borderId="12" fillId="3" fontId="16" numFmtId="0" xfId="0" applyAlignment="1" applyBorder="1" applyFont="1">
      <alignment horizontal="center" readingOrder="0" shrinkToFit="0" wrapText="0"/>
    </xf>
    <xf borderId="11" fillId="3" fontId="243" numFmtId="49" xfId="0" applyAlignment="1" applyBorder="1" applyFont="1" applyNumberFormat="1">
      <alignment horizontal="left" readingOrder="0" shrinkToFit="0" vertical="center" wrapText="0"/>
    </xf>
    <xf borderId="36" fillId="0" fontId="14" numFmtId="164" xfId="0" applyAlignment="1" applyBorder="1" applyFont="1" applyNumberFormat="1">
      <alignment horizontal="right" readingOrder="0" shrinkToFit="0" wrapText="0"/>
    </xf>
    <xf borderId="13" fillId="0" fontId="14" numFmtId="164" xfId="0" applyAlignment="1" applyBorder="1" applyFont="1" applyNumberFormat="1">
      <alignment horizontal="right" readingOrder="0" shrinkToFit="0" wrapText="0"/>
    </xf>
    <xf borderId="13" fillId="3" fontId="46" numFmtId="0" xfId="0" applyAlignment="1" applyBorder="1" applyFont="1">
      <alignment horizontal="left" readingOrder="0" shrinkToFit="0" wrapText="0"/>
    </xf>
    <xf borderId="13" fillId="3" fontId="14" numFmtId="164" xfId="0" applyAlignment="1" applyBorder="1" applyFont="1" applyNumberFormat="1">
      <alignment horizontal="right" readingOrder="0" shrinkToFit="0" wrapText="0"/>
    </xf>
    <xf borderId="11" fillId="3" fontId="13" numFmtId="49" xfId="0" applyAlignment="1" applyBorder="1" applyFont="1" applyNumberFormat="1">
      <alignment horizontal="center" readingOrder="0" shrinkToFit="0" vertical="center" wrapText="0"/>
    </xf>
    <xf borderId="12" fillId="0" fontId="14" numFmtId="164" xfId="0" applyAlignment="1" applyBorder="1" applyFont="1" applyNumberFormat="1">
      <alignment horizontal="center" readingOrder="0" shrinkToFit="0" wrapText="0"/>
    </xf>
    <xf borderId="13" fillId="0" fontId="51" numFmtId="0" xfId="0" applyAlignment="1" applyBorder="1" applyFont="1">
      <alignment horizontal="left" readingOrder="0" shrinkToFit="0" vertical="center" wrapText="0"/>
    </xf>
    <xf borderId="10" fillId="3" fontId="90" numFmtId="0" xfId="0" applyAlignment="1" applyBorder="1" applyFont="1">
      <alignment horizontal="left" readingOrder="0"/>
    </xf>
    <xf borderId="10" fillId="21" fontId="244" numFmtId="0" xfId="0" applyAlignment="1" applyBorder="1" applyFont="1">
      <alignment readingOrder="0"/>
    </xf>
    <xf borderId="1" fillId="3" fontId="80" numFmtId="0" xfId="0" applyAlignment="1" applyBorder="1" applyFont="1">
      <alignment shrinkToFit="0" vertical="bottom" wrapText="0"/>
    </xf>
    <xf borderId="1" fillId="0" fontId="245" numFmtId="0" xfId="0" applyAlignment="1" applyBorder="1" applyFont="1">
      <alignment vertical="center"/>
    </xf>
    <xf borderId="1" fillId="0" fontId="51" numFmtId="14" xfId="0" applyAlignment="1" applyBorder="1" applyFont="1" applyNumberFormat="1">
      <alignment horizontal="left" shrinkToFit="0" vertical="center" wrapText="0"/>
    </xf>
    <xf borderId="10" fillId="10" fontId="246" numFmtId="0" xfId="0" applyAlignment="1" applyBorder="1" applyFont="1">
      <alignment horizontal="left" readingOrder="0"/>
    </xf>
    <xf borderId="10" fillId="9" fontId="247" numFmtId="0" xfId="0" applyAlignment="1" applyBorder="1" applyFont="1">
      <alignment readingOrder="0"/>
    </xf>
    <xf borderId="1" fillId="3" fontId="80" numFmtId="1" xfId="0" applyAlignment="1" applyBorder="1" applyFont="1" applyNumberFormat="1">
      <alignment horizontal="center" readingOrder="0" shrinkToFit="0" vertical="bottom" wrapText="0"/>
    </xf>
    <xf borderId="1" fillId="3" fontId="158" numFmtId="49" xfId="0" applyAlignment="1" applyBorder="1" applyFont="1" applyNumberFormat="1">
      <alignment horizontal="center" shrinkToFit="0" vertical="center" wrapText="0"/>
    </xf>
    <xf borderId="10" fillId="28" fontId="248" numFmtId="0" xfId="0" applyAlignment="1" applyBorder="1" applyFont="1">
      <alignment vertical="bottom"/>
    </xf>
    <xf borderId="10" fillId="29" fontId="249" numFmtId="0" xfId="0" applyAlignment="1" applyBorder="1" applyFont="1">
      <alignment readingOrder="0"/>
    </xf>
    <xf borderId="10" fillId="3" fontId="14" numFmtId="0" xfId="0" applyAlignment="1" applyBorder="1" applyFont="1">
      <alignment horizontal="center" readingOrder="0"/>
    </xf>
    <xf borderId="0" fillId="0" fontId="250" numFmtId="49" xfId="0" applyAlignment="1" applyFont="1" applyNumberFormat="1">
      <alignment readingOrder="0" shrinkToFit="0" vertical="center" wrapText="0"/>
    </xf>
    <xf borderId="1" fillId="0" fontId="251" numFmtId="0" xfId="0" applyAlignment="1" applyBorder="1" applyFont="1">
      <alignment horizontal="left" readingOrder="0" shrinkToFit="0" wrapText="0"/>
    </xf>
    <xf borderId="1" fillId="0" fontId="251" numFmtId="0" xfId="0" applyAlignment="1" applyBorder="1" applyFont="1">
      <alignment horizontal="left" readingOrder="0" shrinkToFit="0" vertical="center" wrapText="0"/>
    </xf>
    <xf borderId="10" fillId="3" fontId="56" numFmtId="0" xfId="0" applyAlignment="1" applyBorder="1" applyFont="1">
      <alignment readingOrder="0"/>
    </xf>
    <xf borderId="1" fillId="3" fontId="106" numFmtId="0" xfId="0" applyAlignment="1" applyBorder="1" applyFont="1">
      <alignment shrinkToFit="0" vertical="bottom" wrapText="0"/>
    </xf>
    <xf borderId="1" fillId="3" fontId="252" numFmtId="0" xfId="0" applyAlignment="1" applyBorder="1" applyFill="1" applyFont="1">
      <alignment readingOrder="0"/>
    </xf>
    <xf borderId="10" fillId="16" fontId="253" numFmtId="0" xfId="0" applyAlignment="1" applyBorder="1" applyFont="1">
      <alignment horizontal="left" readingOrder="0"/>
    </xf>
    <xf borderId="1" fillId="0" fontId="16" numFmtId="0" xfId="0" applyAlignment="1" applyBorder="1" applyFont="1">
      <alignment horizontal="left" readingOrder="0" shrinkToFit="0" vertical="center" wrapText="0"/>
    </xf>
    <xf borderId="10" fillId="12" fontId="254" numFmtId="0" xfId="0" applyAlignment="1" applyBorder="1" applyFont="1">
      <alignment horizontal="left" readingOrder="0"/>
    </xf>
    <xf borderId="1" fillId="3" fontId="14" numFmtId="0" xfId="0" applyAlignment="1" applyBorder="1" applyFont="1">
      <alignment horizontal="right" readingOrder="0" shrinkToFit="0" wrapText="0"/>
    </xf>
    <xf borderId="10" fillId="7" fontId="155" numFmtId="0" xfId="0" applyAlignment="1" applyBorder="1" applyFont="1">
      <alignment vertical="bottom"/>
    </xf>
    <xf borderId="2" fillId="3" fontId="14" numFmtId="0" xfId="0" applyAlignment="1" applyBorder="1" applyFont="1">
      <alignment horizontal="left" readingOrder="0" shrinkToFit="0" vertical="center" wrapText="0"/>
    </xf>
    <xf borderId="2" fillId="3" fontId="16" numFmtId="0" xfId="0" applyAlignment="1" applyBorder="1" applyFont="1">
      <alignment readingOrder="0" shrinkToFit="0" wrapText="0"/>
    </xf>
    <xf borderId="2" fillId="3" fontId="16" numFmtId="164" xfId="0" applyAlignment="1" applyBorder="1" applyFont="1" applyNumberFormat="1">
      <alignment horizontal="right" readingOrder="0" shrinkToFit="0" wrapText="0"/>
    </xf>
    <xf borderId="11" fillId="0" fontId="255" numFmtId="49" xfId="0" applyAlignment="1" applyBorder="1" applyFont="1" applyNumberFormat="1">
      <alignment shrinkToFit="0" vertical="center" wrapText="0"/>
    </xf>
    <xf borderId="11" fillId="0" fontId="51" numFmtId="164" xfId="0" applyAlignment="1" applyBorder="1" applyFont="1" applyNumberFormat="1">
      <alignment horizontal="left" shrinkToFit="0" vertical="center" wrapText="0"/>
    </xf>
    <xf borderId="12" fillId="0" fontId="51" numFmtId="0" xfId="0" applyAlignment="1" applyBorder="1" applyFont="1">
      <alignment vertical="bottom"/>
    </xf>
    <xf borderId="11" fillId="0" fontId="14" numFmtId="164" xfId="0" applyAlignment="1" applyBorder="1" applyFont="1" applyNumberFormat="1">
      <alignment horizontal="left" readingOrder="0" shrinkToFit="0" vertical="center" wrapText="0"/>
    </xf>
    <xf borderId="11" fillId="0" fontId="14" numFmtId="0" xfId="0" applyAlignment="1" applyBorder="1" applyFont="1">
      <alignment horizontal="left" readingOrder="0" shrinkToFit="0" vertical="center" wrapText="0"/>
    </xf>
    <xf borderId="11" fillId="3" fontId="256" numFmtId="49" xfId="0" applyAlignment="1" applyBorder="1" applyFont="1" applyNumberFormat="1">
      <alignment readingOrder="0" shrinkToFit="0" vertical="center" wrapText="0"/>
    </xf>
    <xf borderId="11" fillId="3" fontId="14" numFmtId="0" xfId="0" applyAlignment="1" applyBorder="1" applyFont="1">
      <alignment horizontal="left" readingOrder="0" shrinkToFit="0" vertical="center" wrapText="0"/>
    </xf>
    <xf borderId="12" fillId="3" fontId="16" numFmtId="164" xfId="0" applyAlignment="1" applyBorder="1" applyFont="1" applyNumberFormat="1">
      <alignment horizontal="center" readingOrder="0" shrinkToFit="0" wrapText="0"/>
    </xf>
    <xf borderId="13" fillId="0" fontId="51" numFmtId="164" xfId="0" applyAlignment="1" applyBorder="1" applyFont="1" applyNumberFormat="1">
      <alignment horizontal="left" shrinkToFit="0" vertical="center" wrapText="0"/>
    </xf>
    <xf borderId="13" fillId="0" fontId="51" numFmtId="164" xfId="0" applyAlignment="1" applyBorder="1" applyFont="1" applyNumberFormat="1">
      <alignment horizontal="right" vertical="bottom"/>
    </xf>
    <xf borderId="13" fillId="0" fontId="51" numFmtId="0" xfId="0" applyAlignment="1" applyBorder="1" applyFont="1">
      <alignment vertical="bottom"/>
    </xf>
    <xf borderId="11" fillId="0" fontId="257" numFmtId="49" xfId="0" applyAlignment="1" applyBorder="1" applyFont="1" applyNumberFormat="1">
      <alignment readingOrder="0" shrinkToFit="0" vertical="center" wrapText="0"/>
    </xf>
    <xf borderId="12" fillId="3" fontId="46" numFmtId="0" xfId="0" applyAlignment="1" applyBorder="1" applyFont="1">
      <alignment horizontal="left" readingOrder="0" shrinkToFit="0" wrapText="0"/>
    </xf>
    <xf borderId="10" fillId="6" fontId="258" numFmtId="0" xfId="0" applyAlignment="1" applyBorder="1" applyFont="1">
      <alignment readingOrder="0"/>
    </xf>
    <xf borderId="12" fillId="3" fontId="16" numFmtId="0" xfId="0" applyAlignment="1" applyBorder="1" applyFont="1">
      <alignment readingOrder="0" shrinkToFit="0" wrapText="0"/>
    </xf>
    <xf borderId="11" fillId="0" fontId="259" numFmtId="49" xfId="0" applyAlignment="1" applyBorder="1" applyFont="1" applyNumberFormat="1">
      <alignment readingOrder="0" shrinkToFit="0" vertical="center" wrapText="0"/>
    </xf>
    <xf borderId="10" fillId="3" fontId="215" numFmtId="0" xfId="0" applyAlignment="1" applyBorder="1" applyFont="1">
      <alignment horizontal="left" readingOrder="0"/>
    </xf>
    <xf borderId="11" fillId="0" fontId="260" numFmtId="49" xfId="0" applyAlignment="1" applyBorder="1" applyFont="1" applyNumberFormat="1">
      <alignment readingOrder="0" shrinkToFit="0" vertical="center" wrapText="0"/>
    </xf>
    <xf borderId="1" fillId="0" fontId="51" numFmtId="164" xfId="0" applyAlignment="1" applyBorder="1" applyFont="1" applyNumberFormat="1">
      <alignment horizontal="left" shrinkToFit="0" vertical="center" wrapText="0"/>
    </xf>
    <xf borderId="1" fillId="0" fontId="51" numFmtId="164" xfId="0" applyAlignment="1" applyBorder="1" applyFont="1" applyNumberFormat="1">
      <alignment horizontal="right" vertical="bottom"/>
    </xf>
    <xf borderId="33" fillId="3" fontId="51" numFmtId="0" xfId="0" applyAlignment="1" applyBorder="1" applyFont="1">
      <alignment shrinkToFit="0" vertical="bottom" wrapText="0"/>
    </xf>
    <xf borderId="11" fillId="0" fontId="13" numFmtId="49" xfId="0" applyAlignment="1" applyBorder="1" applyFont="1" applyNumberFormat="1">
      <alignment horizontal="center" readingOrder="0" shrinkToFit="0" vertical="center" wrapText="0"/>
    </xf>
    <xf borderId="34" fillId="0" fontId="16" numFmtId="0" xfId="0" applyAlignment="1" applyBorder="1" applyFont="1">
      <alignment readingOrder="0" shrinkToFit="0" wrapText="0"/>
    </xf>
    <xf borderId="35" fillId="0" fontId="14" numFmtId="164" xfId="0" applyAlignment="1" applyBorder="1" applyFont="1" applyNumberFormat="1">
      <alignment horizontal="center" readingOrder="0" shrinkToFit="0" wrapText="0"/>
    </xf>
    <xf borderId="12" fillId="0" fontId="16" numFmtId="0" xfId="0" applyAlignment="1" applyBorder="1" applyFont="1">
      <alignment horizontal="center" readingOrder="0" shrinkToFit="0" wrapText="0"/>
    </xf>
    <xf borderId="36" fillId="0" fontId="0" numFmtId="0" xfId="0" applyAlignment="1" applyBorder="1" applyFont="1">
      <alignment readingOrder="0" shrinkToFit="0" wrapText="0"/>
    </xf>
    <xf borderId="1" fillId="3" fontId="106" numFmtId="0" xfId="0" applyAlignment="1" applyBorder="1" applyFont="1">
      <alignment vertical="bottom"/>
    </xf>
    <xf borderId="1" fillId="0" fontId="51" numFmtId="0" xfId="0" applyAlignment="1" applyBorder="1" applyFont="1">
      <alignment horizontal="left" vertical="bottom"/>
    </xf>
    <xf borderId="11" fillId="0" fontId="261" numFmtId="49" xfId="0" applyAlignment="1" applyBorder="1" applyFont="1" applyNumberFormat="1">
      <alignment shrinkToFit="0" vertical="center" wrapText="0"/>
    </xf>
    <xf borderId="12" fillId="0" fontId="51" numFmtId="0" xfId="0" applyAlignment="1" applyBorder="1" applyFont="1">
      <alignment shrinkToFit="0" vertical="bottom" wrapText="0"/>
    </xf>
    <xf borderId="10" fillId="0" fontId="51" numFmtId="0" xfId="0" applyAlignment="1" applyBorder="1" applyFont="1">
      <alignment vertical="bottom"/>
    </xf>
    <xf borderId="10" fillId="0" fontId="51" numFmtId="0" xfId="0" applyAlignment="1" applyBorder="1" applyFont="1">
      <alignment vertical="bottom"/>
    </xf>
    <xf borderId="10" fillId="21" fontId="262" numFmtId="0" xfId="0" applyAlignment="1" applyBorder="1" applyFont="1">
      <alignment vertical="bottom"/>
    </xf>
    <xf borderId="11" fillId="0" fontId="263" numFmtId="49" xfId="0" applyAlignment="1" applyBorder="1" applyFont="1" applyNumberFormat="1">
      <alignment readingOrder="0" shrinkToFit="0" vertical="center" wrapText="0"/>
    </xf>
    <xf borderId="12" fillId="0" fontId="0" numFmtId="0" xfId="0" applyAlignment="1" applyBorder="1" applyFont="1">
      <alignment readingOrder="0" shrinkToFit="0" vertical="bottom" wrapText="0"/>
    </xf>
    <xf borderId="11" fillId="3" fontId="264" numFmtId="49" xfId="0" applyAlignment="1" applyBorder="1" applyFont="1" applyNumberFormat="1">
      <alignment horizontal="left" readingOrder="0" shrinkToFit="0" vertical="center" wrapText="0"/>
    </xf>
    <xf borderId="13" fillId="0" fontId="14" numFmtId="164" xfId="0" applyAlignment="1" applyBorder="1" applyFont="1" applyNumberFormat="1">
      <alignment horizontal="left" readingOrder="0" shrinkToFit="0" vertical="center" wrapText="0"/>
    </xf>
    <xf borderId="13" fillId="0" fontId="0" numFmtId="0" xfId="0" applyAlignment="1" applyBorder="1" applyFont="1">
      <alignment readingOrder="0" shrinkToFit="0" wrapText="0"/>
    </xf>
    <xf borderId="1" fillId="0" fontId="80" numFmtId="1" xfId="0" applyAlignment="1" applyBorder="1" applyFont="1" applyNumberFormat="1">
      <alignment horizontal="center" readingOrder="0" shrinkToFit="0" vertical="bottom" wrapText="0"/>
    </xf>
    <xf borderId="1" fillId="3" fontId="18" numFmtId="0" xfId="0" applyAlignment="1" applyBorder="1" applyFont="1">
      <alignment horizontal="left" readingOrder="0" shrinkToFit="0" wrapText="0"/>
    </xf>
    <xf borderId="0" fillId="2" fontId="0" numFmtId="0" xfId="0" applyAlignment="1" applyFont="1">
      <alignment horizontal="left" readingOrder="0"/>
    </xf>
    <xf borderId="10" fillId="3" fontId="0" numFmtId="0" xfId="0" applyAlignment="1" applyBorder="1" applyFont="1">
      <alignment horizontal="left" readingOrder="0"/>
    </xf>
    <xf borderId="10" fillId="6" fontId="265" numFmtId="0" xfId="0" applyAlignment="1" applyBorder="1" applyFont="1">
      <alignment horizontal="left" readingOrder="0"/>
    </xf>
    <xf borderId="0" fillId="0" fontId="14" numFmtId="164" xfId="0" applyAlignment="1" applyFont="1" applyNumberFormat="1">
      <alignment horizontal="left" readingOrder="0" shrinkToFit="0" vertical="center" wrapText="0"/>
    </xf>
    <xf borderId="0" fillId="0" fontId="14" numFmtId="164" xfId="0" applyAlignment="1" applyFont="1" applyNumberFormat="1">
      <alignment horizontal="right" readingOrder="0" shrinkToFit="0" wrapText="0"/>
    </xf>
    <xf borderId="0" fillId="0" fontId="14" numFmtId="164" xfId="0" applyAlignment="1" applyFont="1" applyNumberFormat="1">
      <alignment horizontal="center" readingOrder="0" shrinkToFit="0" wrapText="0"/>
    </xf>
    <xf borderId="0" fillId="3" fontId="266" numFmtId="49" xfId="0" applyAlignment="1" applyFont="1" applyNumberFormat="1">
      <alignment horizontal="left" readingOrder="0" shrinkToFit="0" vertical="center" wrapText="0"/>
    </xf>
    <xf borderId="0" fillId="3" fontId="14" numFmtId="164" xfId="0" applyAlignment="1" applyFont="1" applyNumberFormat="1">
      <alignment horizontal="left" readingOrder="0" shrinkToFit="0" vertical="center" wrapText="0"/>
    </xf>
    <xf borderId="1" fillId="3" fontId="80" numFmtId="0" xfId="0" applyAlignment="1" applyBorder="1" applyFont="1">
      <alignment vertical="bottom"/>
    </xf>
    <xf borderId="1" fillId="3" fontId="107" numFmtId="0" xfId="0" applyAlignment="1" applyBorder="1" applyFont="1">
      <alignment vertical="bottom"/>
    </xf>
    <xf borderId="1" fillId="3" fontId="107" numFmtId="0" xfId="0" applyAlignment="1" applyBorder="1" applyFont="1">
      <alignment shrinkToFit="0" vertical="bottom" wrapText="0"/>
    </xf>
    <xf borderId="1" fillId="3" fontId="56" numFmtId="1" xfId="0" applyAlignment="1" applyBorder="1" applyFont="1" applyNumberFormat="1">
      <alignment horizontal="center" readingOrder="0" shrinkToFit="0" wrapText="0"/>
    </xf>
    <xf borderId="1" fillId="3" fontId="267" numFmtId="49" xfId="0" applyAlignment="1" applyBorder="1" applyFont="1" applyNumberFormat="1">
      <alignment readingOrder="0" shrinkToFit="0" vertical="center" wrapText="0"/>
    </xf>
    <xf borderId="1" fillId="3" fontId="0" numFmtId="0" xfId="0" applyAlignment="1" applyBorder="1" applyFont="1">
      <alignment readingOrder="0" shrinkToFit="0" wrapText="0"/>
    </xf>
    <xf borderId="1" fillId="3" fontId="0" numFmtId="1" xfId="0" applyAlignment="1" applyBorder="1" applyFont="1" applyNumberFormat="1">
      <alignment horizontal="center" readingOrder="0" shrinkToFit="0" wrapText="0"/>
    </xf>
    <xf borderId="1" fillId="3" fontId="18" numFmtId="0" xfId="0" applyAlignment="1" applyBorder="1" applyFont="1">
      <alignment horizontal="left" readingOrder="0" shrinkToFit="0" wrapText="0"/>
    </xf>
    <xf borderId="10" fillId="11" fontId="268" numFmtId="0" xfId="0" applyAlignment="1" applyBorder="1" applyFont="1">
      <alignment readingOrder="0"/>
    </xf>
    <xf borderId="1" fillId="0" fontId="14" numFmtId="0" xfId="0" applyAlignment="1" applyBorder="1" applyFont="1">
      <alignment horizontal="right" readingOrder="0" shrinkToFit="0" wrapText="0"/>
    </xf>
    <xf borderId="1" fillId="0" fontId="18" numFmtId="0" xfId="0" applyAlignment="1" applyBorder="1" applyFont="1">
      <alignment horizontal="right" readingOrder="0" shrinkToFit="0" wrapText="0"/>
    </xf>
    <xf borderId="1" fillId="3" fontId="0" numFmtId="1" xfId="0" applyAlignment="1" applyBorder="1" applyFont="1" applyNumberFormat="1">
      <alignment horizontal="center" readingOrder="0" shrinkToFit="0" wrapText="0"/>
    </xf>
    <xf borderId="10" fillId="7" fontId="131" numFmtId="0" xfId="0" applyAlignment="1" applyBorder="1" applyFont="1">
      <alignment horizontal="left" readingOrder="0"/>
    </xf>
    <xf borderId="1" fillId="3" fontId="80" numFmtId="1" xfId="0" applyAlignment="1" applyBorder="1" applyFont="1" applyNumberFormat="1">
      <alignment horizontal="center" shrinkToFit="0" vertical="bottom" wrapText="0"/>
    </xf>
    <xf borderId="10" fillId="27" fontId="269" numFmtId="0" xfId="0" applyAlignment="1" applyBorder="1" applyFont="1">
      <alignment vertical="bottom"/>
    </xf>
    <xf borderId="1" fillId="3" fontId="270" numFmtId="0" xfId="0" applyAlignment="1" applyBorder="1" applyFont="1">
      <alignment horizontal="left" readingOrder="0" shrinkToFit="0" wrapText="0"/>
    </xf>
    <xf borderId="1" fillId="0" fontId="13" numFmtId="49" xfId="0" applyAlignment="1" applyBorder="1" applyFont="1" applyNumberFormat="1">
      <alignment horizontal="center" readingOrder="0" shrinkToFit="0" vertical="center" wrapText="0"/>
    </xf>
    <xf borderId="0" fillId="3" fontId="14" numFmtId="164" xfId="0" applyAlignment="1" applyFont="1" applyNumberFormat="1">
      <alignment horizontal="right" readingOrder="0" shrinkToFit="0" wrapText="0"/>
    </xf>
    <xf borderId="1" fillId="3" fontId="51" numFmtId="164" xfId="0" applyAlignment="1" applyBorder="1" applyFont="1" applyNumberFormat="1">
      <alignment shrinkToFit="0" vertical="bottom" wrapText="0"/>
    </xf>
    <xf borderId="1" fillId="0" fontId="16" numFmtId="0" xfId="0" applyBorder="1" applyFont="1"/>
    <xf borderId="1" fillId="0" fontId="61" numFmtId="165" xfId="0" applyAlignment="1" applyBorder="1" applyFont="1" applyNumberFormat="1">
      <alignment vertical="bottom"/>
    </xf>
    <xf borderId="0" fillId="3" fontId="0" numFmtId="0" xfId="0" applyAlignment="1" applyFont="1">
      <alignment horizontal="left" readingOrder="0" shrinkToFit="0" wrapText="0"/>
    </xf>
    <xf borderId="1" fillId="0" fontId="0" numFmtId="1" xfId="0" applyAlignment="1" applyBorder="1" applyFont="1" applyNumberFormat="1">
      <alignment horizontal="center" readingOrder="0" shrinkToFit="0" wrapText="0"/>
    </xf>
    <xf borderId="1" fillId="3" fontId="271" numFmtId="0" xfId="0" applyAlignment="1" applyBorder="1" applyFont="1">
      <alignment readingOrder="0"/>
    </xf>
    <xf borderId="1" fillId="0" fontId="272" numFmtId="49" xfId="0" applyAlignment="1" applyBorder="1" applyFont="1" applyNumberFormat="1">
      <alignment horizontal="center" readingOrder="0" shrinkToFit="0" vertical="center" wrapText="0"/>
    </xf>
    <xf borderId="1" fillId="0" fontId="80" numFmtId="1" xfId="0" applyAlignment="1" applyBorder="1" applyFont="1" applyNumberFormat="1">
      <alignment horizontal="center" readingOrder="0" shrinkToFit="0" vertical="bottom" wrapText="0"/>
    </xf>
    <xf borderId="1" fillId="0" fontId="64" numFmtId="0" xfId="0" applyAlignment="1" applyBorder="1" applyFont="1">
      <alignment vertical="bottom"/>
    </xf>
    <xf borderId="1" fillId="0" fontId="158" numFmtId="49" xfId="0" applyAlignment="1" applyBorder="1" applyFont="1" applyNumberFormat="1">
      <alignment horizontal="center" readingOrder="0" shrinkToFit="0" vertical="center" wrapText="0"/>
    </xf>
    <xf borderId="10" fillId="9" fontId="273" numFmtId="0" xfId="0" applyAlignment="1" applyBorder="1" applyFont="1">
      <alignment readingOrder="0"/>
    </xf>
    <xf borderId="0" fillId="0" fontId="274" numFmtId="0" xfId="0" applyAlignment="1" applyFont="1">
      <alignment readingOrder="0" shrinkToFit="0" vertical="center" wrapText="0"/>
    </xf>
    <xf borderId="1" fillId="3" fontId="0" numFmtId="0" xfId="0" applyAlignment="1" applyBorder="1" applyFont="1">
      <alignment readingOrder="0" shrinkToFit="0" vertical="bottom" wrapText="0"/>
    </xf>
    <xf borderId="1" fillId="3" fontId="275" numFmtId="0" xfId="0" applyAlignment="1" applyBorder="1" applyFont="1">
      <alignment readingOrder="0" vertical="center"/>
    </xf>
    <xf borderId="1" fillId="3" fontId="107" numFmtId="0" xfId="0" applyAlignment="1" applyBorder="1" applyFont="1">
      <alignment horizontal="left" readingOrder="0" shrinkToFit="0" vertical="bottom" wrapText="0"/>
    </xf>
    <xf borderId="0" fillId="3" fontId="14" numFmtId="0" xfId="0" applyAlignment="1" applyFont="1">
      <alignment horizontal="left" readingOrder="0" shrinkToFit="0" wrapText="0"/>
    </xf>
    <xf borderId="1" fillId="3" fontId="276" numFmtId="0" xfId="0" applyAlignment="1" applyBorder="1" applyFont="1">
      <alignment shrinkToFit="0" vertical="bottom" wrapText="0"/>
    </xf>
    <xf borderId="10" fillId="17" fontId="239" numFmtId="0" xfId="0" applyAlignment="1" applyBorder="1" applyFont="1">
      <alignment vertical="bottom"/>
    </xf>
    <xf borderId="0" fillId="3" fontId="0" numFmtId="0" xfId="0" applyAlignment="1" applyFont="1">
      <alignment shrinkToFit="0" textRotation="0" wrapText="0"/>
    </xf>
    <xf borderId="1" fillId="0" fontId="277" numFmtId="0" xfId="0" applyAlignment="1" applyBorder="1" applyFont="1">
      <alignment shrinkToFit="0" vertical="center" wrapText="0"/>
    </xf>
    <xf borderId="1" fillId="3" fontId="278" numFmtId="0" xfId="0" applyAlignment="1" applyBorder="1" applyFont="1">
      <alignment shrinkToFit="0" vertical="bottom" wrapText="0"/>
    </xf>
    <xf borderId="1" fillId="46" fontId="61" numFmtId="164" xfId="0" applyAlignment="1" applyBorder="1" applyFont="1" applyNumberFormat="1">
      <alignment vertical="bottom"/>
    </xf>
    <xf borderId="1" fillId="3" fontId="279" numFmtId="0" xfId="0" applyAlignment="1" applyBorder="1" applyFont="1">
      <alignment horizontal="left" readingOrder="0" shrinkToFit="0" wrapText="0"/>
    </xf>
    <xf borderId="0" fillId="3" fontId="14" numFmtId="0" xfId="0" applyAlignment="1" applyFont="1">
      <alignment horizontal="left" readingOrder="0" shrinkToFit="0" textRotation="0" vertical="center" wrapText="0"/>
    </xf>
    <xf borderId="0" fillId="0" fontId="14" numFmtId="0" xfId="0" applyAlignment="1" applyFont="1">
      <alignment horizontal="left" readingOrder="0" shrinkToFit="0" wrapText="0"/>
    </xf>
    <xf borderId="1" fillId="3" fontId="18" numFmtId="0" xfId="0" applyAlignment="1" applyBorder="1" applyFont="1">
      <alignment horizontal="left" readingOrder="0" shrinkToFit="0" wrapText="0"/>
    </xf>
    <xf borderId="1" fillId="3" fontId="18" numFmtId="0" xfId="0" applyAlignment="1" applyBorder="1" applyFont="1">
      <alignment horizontal="left" readingOrder="0" shrinkToFit="0" vertical="center" wrapText="0"/>
    </xf>
    <xf borderId="1" fillId="0" fontId="16" numFmtId="168" xfId="0" applyAlignment="1" applyBorder="1" applyFont="1" applyNumberFormat="1">
      <alignment horizontal="center" readingOrder="0" shrinkToFit="0" wrapText="0"/>
    </xf>
    <xf borderId="1" fillId="0" fontId="61" numFmtId="168" xfId="0" applyAlignment="1" applyBorder="1" applyFont="1" applyNumberFormat="1">
      <alignment vertical="bottom"/>
    </xf>
    <xf borderId="1" fillId="3" fontId="280" numFmtId="49" xfId="0" applyAlignment="1" applyBorder="1" applyFont="1" applyNumberFormat="1">
      <alignment horizontal="left" readingOrder="0" shrinkToFit="0" vertical="center" wrapText="0"/>
    </xf>
    <xf borderId="1" fillId="3" fontId="7" numFmtId="0" xfId="0" applyAlignment="1" applyBorder="1" applyFont="1">
      <alignment readingOrder="0" shrinkToFit="0" wrapText="0"/>
    </xf>
    <xf borderId="1" fillId="3" fontId="7" numFmtId="0" xfId="0" applyAlignment="1" applyBorder="1" applyFont="1">
      <alignment readingOrder="0" shrinkToFit="0" vertical="center" wrapText="0"/>
    </xf>
    <xf borderId="0" fillId="3" fontId="7" numFmtId="0" xfId="0" applyAlignment="1" applyFont="1">
      <alignment horizontal="left" readingOrder="0" shrinkToFit="0" wrapText="0"/>
    </xf>
    <xf borderId="0" fillId="3" fontId="281" numFmtId="0" xfId="0" applyAlignment="1" applyFont="1">
      <alignment readingOrder="0" shrinkToFit="0" vertical="center" wrapText="0"/>
    </xf>
    <xf borderId="0" fillId="3" fontId="16" numFmtId="0" xfId="0" applyAlignment="1" applyFont="1">
      <alignment horizontal="left" readingOrder="0" shrinkToFit="0" wrapText="0"/>
    </xf>
    <xf borderId="2" fillId="3" fontId="46" numFmtId="1" xfId="0" applyAlignment="1" applyBorder="1" applyFont="1" applyNumberFormat="1">
      <alignment horizontal="center" readingOrder="0" shrinkToFit="0" wrapText="0"/>
    </xf>
    <xf borderId="2" fillId="3" fontId="0" numFmtId="0" xfId="0" applyAlignment="1" applyBorder="1" applyFont="1">
      <alignment horizontal="left" readingOrder="0" shrinkToFit="0" wrapText="0"/>
    </xf>
    <xf borderId="2" fillId="3" fontId="106" numFmtId="0" xfId="0" applyAlignment="1" applyBorder="1" applyFont="1">
      <alignment readingOrder="0"/>
    </xf>
    <xf borderId="2" fillId="3" fontId="107" numFmtId="0" xfId="0" applyAlignment="1" applyBorder="1" applyFont="1">
      <alignment horizontal="left" readingOrder="0"/>
    </xf>
    <xf borderId="2" fillId="3" fontId="40" numFmtId="0" xfId="0" applyAlignment="1" applyBorder="1" applyFont="1">
      <alignment horizontal="left" readingOrder="0" shrinkToFit="0" wrapText="0"/>
    </xf>
    <xf borderId="2" fillId="3" fontId="40" numFmtId="0" xfId="0" applyAlignment="1" applyBorder="1" applyFont="1">
      <alignment horizontal="left" readingOrder="0" shrinkToFit="0" vertical="center" wrapText="0"/>
    </xf>
    <xf borderId="2" fillId="0" fontId="282" numFmtId="0" xfId="0" applyAlignment="1" applyBorder="1" applyFont="1">
      <alignment readingOrder="0" shrinkToFit="0" vertical="center" wrapText="0"/>
    </xf>
    <xf borderId="2" fillId="3" fontId="283" numFmtId="49" xfId="0" applyAlignment="1" applyBorder="1" applyFont="1" applyNumberFormat="1">
      <alignment horizontal="left" readingOrder="0" shrinkToFit="0" vertical="center" wrapText="0"/>
    </xf>
    <xf borderId="2" fillId="3" fontId="46" numFmtId="0" xfId="0" applyAlignment="1" applyBorder="1" applyFont="1">
      <alignment horizontal="left" readingOrder="0" shrinkToFit="0" wrapText="0"/>
    </xf>
    <xf borderId="2" fillId="3" fontId="14" numFmtId="0" xfId="0" applyAlignment="1" applyBorder="1" applyFont="1">
      <alignment horizontal="center" readingOrder="0" shrinkToFit="0" wrapText="0"/>
    </xf>
    <xf borderId="2" fillId="0" fontId="61" numFmtId="0" xfId="0" applyAlignment="1" applyBorder="1" applyFont="1">
      <alignment vertical="bottom"/>
    </xf>
    <xf borderId="1" fillId="3" fontId="278" numFmtId="49" xfId="0" applyAlignment="1" applyBorder="1" applyFont="1" applyNumberFormat="1">
      <alignment shrinkToFit="0" vertical="bottom" wrapText="0"/>
    </xf>
    <xf borderId="1" fillId="3" fontId="51" numFmtId="0" xfId="0" applyAlignment="1" applyBorder="1" applyFont="1">
      <alignment shrinkToFit="0" vertical="bottom" wrapText="0"/>
    </xf>
    <xf borderId="1" fillId="3" fontId="0" numFmtId="1" xfId="0" applyAlignment="1" applyBorder="1" applyFont="1" applyNumberFormat="1">
      <alignment horizontal="center" readingOrder="0" shrinkToFit="0" wrapText="0"/>
    </xf>
    <xf borderId="2" fillId="3" fontId="272" numFmtId="0" xfId="0" applyAlignment="1" applyBorder="1" applyFont="1">
      <alignment horizontal="left" readingOrder="0" shrinkToFit="0" vertical="center" wrapText="0"/>
    </xf>
    <xf borderId="2" fillId="0" fontId="14" numFmtId="164" xfId="0" applyAlignment="1" applyBorder="1" applyFont="1" applyNumberFormat="1">
      <alignment horizontal="center" readingOrder="0" shrinkToFit="0" wrapText="0"/>
    </xf>
    <xf borderId="2" fillId="0" fontId="61" numFmtId="164" xfId="0" applyAlignment="1" applyBorder="1" applyFont="1" applyNumberFormat="1">
      <alignment vertical="bottom"/>
    </xf>
    <xf borderId="11" fillId="3" fontId="40" numFmtId="0" xfId="0" applyAlignment="1" applyBorder="1" applyFont="1">
      <alignment horizontal="left" readingOrder="0" shrinkToFit="0" wrapText="0"/>
    </xf>
    <xf borderId="37" fillId="7" fontId="90" numFmtId="0" xfId="0" applyAlignment="1" applyBorder="1" applyFont="1">
      <alignment horizontal="left" readingOrder="0"/>
    </xf>
    <xf borderId="37" fillId="3" fontId="46" numFmtId="0" xfId="0" applyAlignment="1" applyBorder="1" applyFont="1">
      <alignment horizontal="left" readingOrder="0"/>
    </xf>
    <xf borderId="37" fillId="3" fontId="14" numFmtId="0" xfId="0" applyAlignment="1" applyBorder="1" applyFont="1">
      <alignment shrinkToFit="0" textRotation="90" wrapText="1"/>
    </xf>
    <xf borderId="37" fillId="3" fontId="14" numFmtId="0" xfId="0" applyBorder="1" applyFont="1"/>
    <xf borderId="37" fillId="3" fontId="14" numFmtId="0" xfId="0" applyAlignment="1" applyBorder="1" applyFont="1">
      <alignment horizontal="center"/>
    </xf>
    <xf borderId="37" fillId="3" fontId="16" numFmtId="0" xfId="0" applyBorder="1" applyFont="1"/>
    <xf borderId="11" fillId="0" fontId="7" numFmtId="0" xfId="0" applyAlignment="1" applyBorder="1" applyFont="1">
      <alignment horizontal="left" readingOrder="0" shrinkToFit="0" wrapText="0"/>
    </xf>
    <xf borderId="1" fillId="0" fontId="7" numFmtId="0" xfId="0" applyAlignment="1" applyBorder="1" applyFont="1">
      <alignment readingOrder="0" vertical="center"/>
    </xf>
    <xf borderId="0" fillId="3" fontId="46" numFmtId="1" xfId="0" applyAlignment="1" applyFont="1" applyNumberFormat="1">
      <alignment horizontal="center" readingOrder="0" shrinkToFit="0" wrapText="0"/>
    </xf>
    <xf borderId="0" fillId="3" fontId="40" numFmtId="0" xfId="0" applyAlignment="1" applyFont="1">
      <alignment horizontal="left" readingOrder="0" shrinkToFit="0" wrapText="0"/>
    </xf>
    <xf borderId="0" fillId="0" fontId="51" numFmtId="1" xfId="0" applyAlignment="1" applyFont="1" applyNumberFormat="1">
      <alignment horizontal="center" shrinkToFit="0" vertical="bottom" wrapText="0"/>
    </xf>
    <xf borderId="0" fillId="0" fontId="51" numFmtId="164" xfId="0" applyAlignment="1" applyFont="1" applyNumberFormat="1">
      <alignment shrinkToFit="0" vertical="bottom" wrapText="0"/>
    </xf>
    <xf borderId="0" fillId="3" fontId="167" numFmtId="0" xfId="0" applyAlignment="1" applyFont="1">
      <alignment readingOrder="0"/>
    </xf>
    <xf borderId="0" fillId="0" fontId="51" numFmtId="0" xfId="0" applyAlignment="1" applyFont="1">
      <alignment horizontal="left" shrinkToFit="0" vertical="bottom" wrapText="0"/>
    </xf>
    <xf borderId="0" fillId="0" fontId="66" numFmtId="0" xfId="0" applyAlignment="1" applyFont="1">
      <alignment shrinkToFit="0" vertical="bottom" wrapText="0"/>
    </xf>
    <xf borderId="0" fillId="0" fontId="51" numFmtId="164" xfId="0" applyAlignment="1" applyFont="1" applyNumberFormat="1">
      <alignment horizontal="center" vertical="bottom"/>
    </xf>
    <xf borderId="0" fillId="0" fontId="64" numFmtId="0" xfId="0" applyAlignment="1" applyFont="1">
      <alignment readingOrder="0" shrinkToFit="0" vertical="bottom" wrapText="0"/>
    </xf>
    <xf borderId="0" fillId="0" fontId="51" numFmtId="0" xfId="0" applyAlignment="1" applyFont="1">
      <alignment horizontal="left" readingOrder="0" shrinkToFit="0" vertical="bottom" wrapText="0"/>
    </xf>
    <xf borderId="0" fillId="3" fontId="48" numFmtId="0" xfId="0" applyAlignment="1" applyFont="1">
      <alignment shrinkToFit="0" vertical="bottom" wrapText="0"/>
    </xf>
    <xf borderId="2" fillId="3" fontId="48" numFmtId="0" xfId="0" applyAlignment="1" applyBorder="1" applyFont="1">
      <alignment shrinkToFit="0" vertical="center" wrapText="0"/>
    </xf>
    <xf borderId="2" fillId="0" fontId="284" numFmtId="0" xfId="0" applyAlignment="1" applyBorder="1" applyFont="1">
      <alignment readingOrder="0" shrinkToFit="0" vertical="center" wrapText="0"/>
    </xf>
    <xf borderId="2" fillId="0" fontId="285" numFmtId="49" xfId="0" applyAlignment="1" applyBorder="1" applyFont="1" applyNumberFormat="1">
      <alignment shrinkToFit="0" vertical="center" wrapText="0"/>
    </xf>
    <xf borderId="2" fillId="0" fontId="51" numFmtId="164" xfId="0" applyAlignment="1" applyBorder="1" applyFont="1" applyNumberFormat="1">
      <alignment horizontal="left" shrinkToFit="0" vertical="center" wrapText="0"/>
    </xf>
    <xf borderId="2" fillId="0" fontId="51" numFmtId="164" xfId="0" applyAlignment="1" applyBorder="1" applyFont="1" applyNumberFormat="1">
      <alignment horizontal="right" shrinkToFit="0" vertical="bottom" wrapText="0"/>
    </xf>
    <xf borderId="2" fillId="0" fontId="51" numFmtId="0" xfId="0" applyAlignment="1" applyBorder="1" applyFont="1">
      <alignment readingOrder="0" vertical="bottom"/>
    </xf>
    <xf borderId="2" fillId="0" fontId="51" numFmtId="0" xfId="0" applyAlignment="1" applyBorder="1" applyFont="1">
      <alignment vertical="bottom"/>
    </xf>
    <xf borderId="2" fillId="0" fontId="51" numFmtId="164" xfId="0" applyAlignment="1" applyBorder="1" applyFont="1" applyNumberFormat="1">
      <alignment vertical="bottom"/>
    </xf>
    <xf borderId="2" fillId="30" fontId="76" numFmtId="164" xfId="0" applyAlignment="1" applyBorder="1" applyFont="1" applyNumberFormat="1">
      <alignment shrinkToFit="0" vertical="bottom" wrapText="0"/>
    </xf>
    <xf borderId="0" fillId="0" fontId="64" numFmtId="0" xfId="0" applyAlignment="1" applyFont="1">
      <alignment shrinkToFit="0" vertical="bottom" wrapText="0"/>
    </xf>
    <xf borderId="0" fillId="3" fontId="66" numFmtId="0" xfId="0" applyAlignment="1" applyFont="1">
      <alignment shrinkToFit="0" vertical="bottom" wrapText="0"/>
    </xf>
    <xf borderId="0" fillId="0" fontId="56" numFmtId="1" xfId="0" applyAlignment="1" applyFont="1" applyNumberFormat="1">
      <alignment horizontal="center" readingOrder="0" shrinkToFit="0" wrapText="0"/>
    </xf>
    <xf borderId="0" fillId="0" fontId="7" numFmtId="0" xfId="0" applyAlignment="1" applyFont="1">
      <alignment horizontal="left" readingOrder="0" shrinkToFit="0" wrapText="0"/>
    </xf>
    <xf borderId="2" fillId="3" fontId="286" numFmtId="0" xfId="0" applyAlignment="1" applyBorder="1" applyFont="1">
      <alignment readingOrder="0" shrinkToFit="0" vertical="center" wrapText="0"/>
    </xf>
    <xf borderId="2" fillId="30" fontId="76" numFmtId="164" xfId="0" applyAlignment="1" applyBorder="1" applyFont="1" applyNumberFormat="1">
      <alignment vertical="bottom"/>
    </xf>
    <xf borderId="0" fillId="0" fontId="56" numFmtId="1" xfId="0" applyAlignment="1" applyFont="1" applyNumberFormat="1">
      <alignment horizontal="center" readingOrder="0" shrinkToFit="0" wrapText="0"/>
    </xf>
    <xf borderId="38" fillId="3" fontId="0" numFmtId="0" xfId="0" applyAlignment="1" applyBorder="1" applyFont="1">
      <alignment horizontal="left" readingOrder="0" shrinkToFit="0" wrapText="0"/>
    </xf>
    <xf borderId="38" fillId="0" fontId="51" numFmtId="164" xfId="0" applyAlignment="1" applyBorder="1" applyFont="1" applyNumberFormat="1">
      <alignment shrinkToFit="0" vertical="bottom" wrapText="0"/>
    </xf>
    <xf borderId="0" fillId="0" fontId="64" numFmtId="0" xfId="0" applyAlignment="1" applyFont="1">
      <alignment readingOrder="0" vertical="bottom"/>
    </xf>
    <xf borderId="0" fillId="0" fontId="51" numFmtId="0" xfId="0" applyAlignment="1" applyFont="1">
      <alignment horizontal="left" readingOrder="0" vertical="bottom"/>
    </xf>
    <xf borderId="0" fillId="3" fontId="80" numFmtId="1" xfId="0" applyAlignment="1" applyFont="1" applyNumberFormat="1">
      <alignment horizontal="center" readingOrder="0" shrinkToFit="0" wrapText="0"/>
    </xf>
    <xf borderId="38" fillId="3" fontId="14" numFmtId="0" xfId="0" applyAlignment="1" applyBorder="1" applyFont="1">
      <alignment horizontal="left" readingOrder="0" shrinkToFit="0" wrapText="0"/>
    </xf>
    <xf borderId="38" fillId="0" fontId="14" numFmtId="0" xfId="0" applyAlignment="1" applyBorder="1" applyFont="1">
      <alignment horizontal="left" readingOrder="0" shrinkToFit="0" wrapText="0"/>
    </xf>
    <xf borderId="0" fillId="3" fontId="56" numFmtId="1" xfId="0" applyAlignment="1" applyFont="1" applyNumberFormat="1">
      <alignment horizontal="center" readingOrder="0" shrinkToFit="0" wrapText="0"/>
    </xf>
    <xf borderId="12" fillId="0" fontId="56" numFmtId="1" xfId="0" applyAlignment="1" applyBorder="1" applyFont="1" applyNumberFormat="1">
      <alignment horizontal="center" readingOrder="0" shrinkToFit="0" wrapText="0"/>
    </xf>
    <xf borderId="12" fillId="3" fontId="0" numFmtId="0" xfId="0" applyAlignment="1" applyBorder="1" applyFont="1">
      <alignment horizontal="left" readingOrder="0" shrinkToFit="0" wrapText="0"/>
    </xf>
    <xf borderId="12" fillId="3" fontId="14" numFmtId="0" xfId="0" applyAlignment="1" applyBorder="1" applyFont="1">
      <alignment horizontal="left" readingOrder="0" shrinkToFit="0" textRotation="0" vertical="center" wrapText="0"/>
    </xf>
    <xf borderId="39" fillId="0" fontId="14" numFmtId="0" xfId="0" applyAlignment="1" applyBorder="1" applyFont="1">
      <alignment horizontal="left" readingOrder="0" shrinkToFit="0" wrapText="0"/>
    </xf>
    <xf borderId="12" fillId="0" fontId="7" numFmtId="0" xfId="0" applyAlignment="1" applyBorder="1" applyFont="1">
      <alignment horizontal="left" readingOrder="0" shrinkToFit="0" wrapText="0"/>
    </xf>
    <xf borderId="12" fillId="0" fontId="7" numFmtId="0" xfId="0" applyAlignment="1" applyBorder="1" applyFont="1">
      <alignment horizontal="left" readingOrder="0" shrinkToFit="0" vertical="center" wrapText="0"/>
    </xf>
    <xf borderId="12" fillId="0" fontId="287" numFmtId="0" xfId="0" applyAlignment="1" applyBorder="1" applyFont="1">
      <alignment readingOrder="0" shrinkToFit="0" vertical="center" wrapText="0"/>
    </xf>
    <xf borderId="12" fillId="0" fontId="288" numFmtId="49" xfId="0" applyAlignment="1" applyBorder="1" applyFont="1" applyNumberFormat="1">
      <alignment readingOrder="0" shrinkToFit="0" vertical="center" wrapText="0"/>
    </xf>
    <xf borderId="12" fillId="0" fontId="14" numFmtId="164" xfId="0" applyAlignment="1" applyBorder="1" applyFont="1" applyNumberFormat="1">
      <alignment horizontal="left" readingOrder="0" shrinkToFit="0" vertical="center" wrapText="0"/>
    </xf>
    <xf borderId="12" fillId="0" fontId="61" numFmtId="164" xfId="0" applyAlignment="1" applyBorder="1" applyFont="1" applyNumberFormat="1">
      <alignment vertical="bottom"/>
    </xf>
    <xf borderId="40" fillId="2" fontId="0" numFmtId="0" xfId="0" applyAlignment="1" applyBorder="1" applyFont="1">
      <alignment readingOrder="0" shrinkToFit="0" vertical="bottom" wrapText="0"/>
    </xf>
    <xf borderId="41" fillId="3" fontId="16" numFmtId="0" xfId="0" applyAlignment="1" applyBorder="1" applyFont="1">
      <alignment readingOrder="0"/>
    </xf>
    <xf borderId="41" fillId="21" fontId="113" numFmtId="0" xfId="0" applyAlignment="1" applyBorder="1" applyFont="1">
      <alignment readingOrder="0"/>
    </xf>
    <xf borderId="41" fillId="3" fontId="63" numFmtId="0" xfId="0" applyAlignment="1" applyBorder="1" applyFont="1">
      <alignment horizontal="center" readingOrder="0"/>
    </xf>
    <xf borderId="41" fillId="3" fontId="1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2" Type="http://schemas.openxmlformats.org/officeDocument/2006/relationships/worksheet" Target="worksheets/sheet30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filmfreeway.com/CentralFilmFestival" TargetMode="External"/><Relationship Id="rId391" Type="http://schemas.openxmlformats.org/officeDocument/2006/relationships/hyperlink" Target="https://centralfilmfest.org/" TargetMode="External"/><Relationship Id="rId390" Type="http://schemas.openxmlformats.org/officeDocument/2006/relationships/hyperlink" Target="http://www.crifm.org/" TargetMode="External"/><Relationship Id="rId1" Type="http://schemas.openxmlformats.org/officeDocument/2006/relationships/hyperlink" Target="https://etheridgeproductions.com/" TargetMode="External"/><Relationship Id="rId2" Type="http://schemas.openxmlformats.org/officeDocument/2006/relationships/hyperlink" Target="https://filmfreeway.com/15MinutesofFame" TargetMode="External"/><Relationship Id="rId3" Type="http://schemas.openxmlformats.org/officeDocument/2006/relationships/hyperlink" Target="http://24fpsfest.com" TargetMode="External"/><Relationship Id="rId4" Type="http://schemas.openxmlformats.org/officeDocument/2006/relationships/hyperlink" Target="https://5pointfilm.org/" TargetMode="External"/><Relationship Id="rId2180" Type="http://schemas.openxmlformats.org/officeDocument/2006/relationships/hyperlink" Target="http://societyforvisualanthropology.org" TargetMode="External"/><Relationship Id="rId2181" Type="http://schemas.openxmlformats.org/officeDocument/2006/relationships/hyperlink" Target="http://www.sohofilmfest.com/" TargetMode="External"/><Relationship Id="rId2182" Type="http://schemas.openxmlformats.org/officeDocument/2006/relationships/hyperlink" Target="https://filmfreeway.com/SohoFilmFest" TargetMode="External"/><Relationship Id="rId2183" Type="http://schemas.openxmlformats.org/officeDocument/2006/relationships/hyperlink" Target="https://www.somafilmfestival.com/" TargetMode="External"/><Relationship Id="rId9" Type="http://schemas.openxmlformats.org/officeDocument/2006/relationships/hyperlink" Target="https://filmfreeway.com/afff" TargetMode="External"/><Relationship Id="rId385" Type="http://schemas.openxmlformats.org/officeDocument/2006/relationships/hyperlink" Target="https://www.africanfilmfestival.org/" TargetMode="External"/><Relationship Id="rId2184" Type="http://schemas.openxmlformats.org/officeDocument/2006/relationships/hyperlink" Target="https://filmfreeway.com/SOMAFilmFestival" TargetMode="External"/><Relationship Id="rId384" Type="http://schemas.openxmlformats.org/officeDocument/2006/relationships/hyperlink" Target="https://filmfreeway.com/CaribbeanLensInternationalFilmFestival" TargetMode="External"/><Relationship Id="rId2185" Type="http://schemas.openxmlformats.org/officeDocument/2006/relationships/hyperlink" Target="http://www.somervillefilmfestival.com/" TargetMode="External"/><Relationship Id="rId383" Type="http://schemas.openxmlformats.org/officeDocument/2006/relationships/hyperlink" Target="http://www.caribbeanlens.com/" TargetMode="External"/><Relationship Id="rId2186" Type="http://schemas.openxmlformats.org/officeDocument/2006/relationships/hyperlink" Target="https://filmfreeway.com/SomervilleFilmFestival" TargetMode="External"/><Relationship Id="rId382" Type="http://schemas.openxmlformats.org/officeDocument/2006/relationships/hyperlink" Target="https://maps.google.com/?q=18543+Devenoshire+St.+%23285+Northridge%2C+CA+91324+United+States" TargetMode="External"/><Relationship Id="rId2187" Type="http://schemas.openxmlformats.org/officeDocument/2006/relationships/hyperlink" Target="https://maps.google.com/?q=103+E.+Napa+St.+Suite+A+Sonoma%2C+California+95476+United+States" TargetMode="External"/><Relationship Id="rId5" Type="http://schemas.openxmlformats.org/officeDocument/2006/relationships/hyperlink" Target="https://filmfreeway.com/5PointFilmFestival" TargetMode="External"/><Relationship Id="rId389" Type="http://schemas.openxmlformats.org/officeDocument/2006/relationships/hyperlink" Target="https://filmfreeway.com/CatalinaFilm" TargetMode="External"/><Relationship Id="rId2188" Type="http://schemas.openxmlformats.org/officeDocument/2006/relationships/hyperlink" Target="http://www.sonomafilmfest.org/" TargetMode="External"/><Relationship Id="rId6" Type="http://schemas.openxmlformats.org/officeDocument/2006/relationships/hyperlink" Target="https://actfilmfest.colostate.edu" TargetMode="External"/><Relationship Id="rId388" Type="http://schemas.openxmlformats.org/officeDocument/2006/relationships/hyperlink" Target="https://catalinafilm.org/" TargetMode="External"/><Relationship Id="rId2189" Type="http://schemas.openxmlformats.org/officeDocument/2006/relationships/hyperlink" Target="http://www.sonomafilmfest.org/" TargetMode="External"/><Relationship Id="rId7" Type="http://schemas.openxmlformats.org/officeDocument/2006/relationships/hyperlink" Target="https://maps.google.com/?q=3545+Lipan+Street+Denver%2C+CO+80211+United+States" TargetMode="External"/><Relationship Id="rId387" Type="http://schemas.openxmlformats.org/officeDocument/2006/relationships/hyperlink" Target="https://maps.google.com/?q=13547+Ventura+Blvd+%23+200+Los+Angeles%2C+CA+91423+United+States" TargetMode="External"/><Relationship Id="rId8" Type="http://schemas.openxmlformats.org/officeDocument/2006/relationships/hyperlink" Target="http://www.actionfigurefilmfestival.com/" TargetMode="External"/><Relationship Id="rId386" Type="http://schemas.openxmlformats.org/officeDocument/2006/relationships/hyperlink" Target="https://filmfreeway.com/CascadeFestivalofAfricanFilms" TargetMode="External"/><Relationship Id="rId381" Type="http://schemas.openxmlformats.org/officeDocument/2006/relationships/hyperlink" Target="https://filmfreeway.com/CaribbeanMoviesFestival" TargetMode="External"/><Relationship Id="rId380" Type="http://schemas.openxmlformats.org/officeDocument/2006/relationships/hyperlink" Target="http://www.caribbeanmoviesfestival.org/" TargetMode="External"/><Relationship Id="rId379" Type="http://schemas.openxmlformats.org/officeDocument/2006/relationships/hyperlink" Target="https://www.carrborofilm.org" TargetMode="External"/><Relationship Id="rId2170" Type="http://schemas.openxmlformats.org/officeDocument/2006/relationships/hyperlink" Target="http://www.smokymountainfilmfest.com/" TargetMode="External"/><Relationship Id="rId2171" Type="http://schemas.openxmlformats.org/officeDocument/2006/relationships/hyperlink" Target="https://filmfreeway.com/SmokyMountainFilmFest" TargetMode="External"/><Relationship Id="rId2172" Type="http://schemas.openxmlformats.org/officeDocument/2006/relationships/hyperlink" Target="https://maps.google.com/?q=1301+S.+3rd+St+Burlington%2C+IA+52601+United+States" TargetMode="External"/><Relationship Id="rId374" Type="http://schemas.openxmlformats.org/officeDocument/2006/relationships/hyperlink" Target="https://filmfreeway.com/CapitalCityBlackFilmFestival" TargetMode="External"/><Relationship Id="rId2173" Type="http://schemas.openxmlformats.org/officeDocument/2006/relationships/hyperlink" Target="http://new.snakealleyfestivaloffilm.com/" TargetMode="External"/><Relationship Id="rId373" Type="http://schemas.openxmlformats.org/officeDocument/2006/relationships/hyperlink" Target="http://www.capcitybff.com/" TargetMode="External"/><Relationship Id="rId2174" Type="http://schemas.openxmlformats.org/officeDocument/2006/relationships/hyperlink" Target="https://filmfreeway.com/SnakeAlleyFestivalOfFilm" TargetMode="External"/><Relationship Id="rId372" Type="http://schemas.openxmlformats.org/officeDocument/2006/relationships/hyperlink" Target="https://filmfreeway.com/CapeFearIndependentFilmFestival" TargetMode="External"/><Relationship Id="rId2175" Type="http://schemas.openxmlformats.org/officeDocument/2006/relationships/hyperlink" Target="https://www.snowtownfilmfestival.com/" TargetMode="External"/><Relationship Id="rId371" Type="http://schemas.openxmlformats.org/officeDocument/2006/relationships/hyperlink" Target="http://www.cfifn.org/" TargetMode="External"/><Relationship Id="rId2176" Type="http://schemas.openxmlformats.org/officeDocument/2006/relationships/hyperlink" Target="https://filmfreeway.com/SnowtownFilmFestival" TargetMode="External"/><Relationship Id="rId378" Type="http://schemas.openxmlformats.org/officeDocument/2006/relationships/hyperlink" Target="http://www.solasnua.org/ciff" TargetMode="External"/><Relationship Id="rId2177" Type="http://schemas.openxmlformats.org/officeDocument/2006/relationships/hyperlink" Target="https://maps.google.com/?q=9425+35th+Ave+NE+Suite+E+Seattle%2C+WA+98115+United+States" TargetMode="External"/><Relationship Id="rId377" Type="http://schemas.openxmlformats.org/officeDocument/2006/relationships/hyperlink" Target="https://filmfreeway.com/CapitalCityFilmFestival" TargetMode="External"/><Relationship Id="rId2178" Type="http://schemas.openxmlformats.org/officeDocument/2006/relationships/hyperlink" Target="http://www.socialjusticefilmfestival.org/" TargetMode="External"/><Relationship Id="rId376" Type="http://schemas.openxmlformats.org/officeDocument/2006/relationships/hyperlink" Target="https://capitalcityfilmfest.com/" TargetMode="External"/><Relationship Id="rId2179" Type="http://schemas.openxmlformats.org/officeDocument/2006/relationships/hyperlink" Target="https://filmfreeway.com/SocialJusticeFilmFestival" TargetMode="External"/><Relationship Id="rId375" Type="http://schemas.openxmlformats.org/officeDocument/2006/relationships/hyperlink" Target="https://maps.google.com/?q=2500+S.+Washington+Lansing%2C+MI+48910+United+States" TargetMode="External"/><Relationship Id="rId2190" Type="http://schemas.openxmlformats.org/officeDocument/2006/relationships/hyperlink" Target="https://filmfreeway.com/SonomaInternationalFilmFestival" TargetMode="External"/><Relationship Id="rId2191" Type="http://schemas.openxmlformats.org/officeDocument/2006/relationships/hyperlink" Target="http://www.sonscreen.com/" TargetMode="External"/><Relationship Id="rId2192" Type="http://schemas.openxmlformats.org/officeDocument/2006/relationships/hyperlink" Target="http://www.sonscreen.com/" TargetMode="External"/><Relationship Id="rId2193" Type="http://schemas.openxmlformats.org/officeDocument/2006/relationships/hyperlink" Target="https://maps.google.com/?q=District+Heights%2C+Maryland+20747+United+States" TargetMode="External"/><Relationship Id="rId2194" Type="http://schemas.openxmlformats.org/officeDocument/2006/relationships/hyperlink" Target="http://rockabyemedia.com/soul-4-reel" TargetMode="External"/><Relationship Id="rId396" Type="http://schemas.openxmlformats.org/officeDocument/2006/relationships/hyperlink" Target="https://filmfreeway.com/CentralMichiganInternationalFilmFestival" TargetMode="External"/><Relationship Id="rId2195" Type="http://schemas.openxmlformats.org/officeDocument/2006/relationships/hyperlink" Target="https://filmfreeway.com/soul4reel" TargetMode="External"/><Relationship Id="rId395" Type="http://schemas.openxmlformats.org/officeDocument/2006/relationships/hyperlink" Target="http://www.cmiff.com/" TargetMode="External"/><Relationship Id="rId2196" Type="http://schemas.openxmlformats.org/officeDocument/2006/relationships/hyperlink" Target="https://maps.google.com/?q=1758+W.+Wilson+Ave.+Chicago%2C+IL+60640+United+States" TargetMode="External"/><Relationship Id="rId394" Type="http://schemas.openxmlformats.org/officeDocument/2006/relationships/hyperlink" Target="https://enzian.org/films/festivals/central-florida-jewish-film-festival/" TargetMode="External"/><Relationship Id="rId2197" Type="http://schemas.openxmlformats.org/officeDocument/2006/relationships/hyperlink" Target="https://www.acmusic.org/productions/sound-of-silent-film-festival-2019/" TargetMode="External"/><Relationship Id="rId393" Type="http://schemas.openxmlformats.org/officeDocument/2006/relationships/hyperlink" Target="https://www.centralfloridafilmfestival.com" TargetMode="External"/><Relationship Id="rId2198" Type="http://schemas.openxmlformats.org/officeDocument/2006/relationships/hyperlink" Target="https://filmfreeway.com/SoundofSilentFilmFestival" TargetMode="External"/><Relationship Id="rId2199" Type="http://schemas.openxmlformats.org/officeDocument/2006/relationships/hyperlink" Target="https://maps.google.com/?q=4032+24th+Ave+S.+Minneapolis%2C+MN+55406+United+States" TargetMode="External"/><Relationship Id="rId399" Type="http://schemas.openxmlformats.org/officeDocument/2006/relationships/hyperlink" Target="http://www.chainfilmfestival.com/" TargetMode="External"/><Relationship Id="rId398" Type="http://schemas.openxmlformats.org/officeDocument/2006/relationships/hyperlink" Target="https://filmfreeway.com/ChagrinDocumentaryFilmFest" TargetMode="External"/><Relationship Id="rId397" Type="http://schemas.openxmlformats.org/officeDocument/2006/relationships/hyperlink" Target="https://www.chagrinfilmfest.org/" TargetMode="External"/><Relationship Id="rId1730" Type="http://schemas.openxmlformats.org/officeDocument/2006/relationships/hyperlink" Target="https://pjff.org/" TargetMode="External"/><Relationship Id="rId1731" Type="http://schemas.openxmlformats.org/officeDocument/2006/relationships/hyperlink" Target="https://pjff.org/submit-film/" TargetMode="External"/><Relationship Id="rId1732" Type="http://schemas.openxmlformats.org/officeDocument/2006/relationships/hyperlink" Target="https://maps.google.com/?q=Philadelphia%2C+PA+United+States" TargetMode="External"/><Relationship Id="rId1733" Type="http://schemas.openxmlformats.org/officeDocument/2006/relationships/hyperlink" Target="https://www.phlaff.org/" TargetMode="External"/><Relationship Id="rId1734" Type="http://schemas.openxmlformats.org/officeDocument/2006/relationships/hyperlink" Target="https://filmfreeway.com/PHLAFF" TargetMode="External"/><Relationship Id="rId1735" Type="http://schemas.openxmlformats.org/officeDocument/2006/relationships/hyperlink" Target="https://maps.google.com/?q=3811+Ditmars+Blvd+Astoria%2C+NY+11105+United+States" TargetMode="External"/><Relationship Id="rId1736" Type="http://schemas.openxmlformats.org/officeDocument/2006/relationships/hyperlink" Target="http://www.thephilipkdickfilmfestival.com/" TargetMode="External"/><Relationship Id="rId1737" Type="http://schemas.openxmlformats.org/officeDocument/2006/relationships/hyperlink" Target="https://filmfreeway.com/ThePhilipKDIckFilmFestival" TargetMode="External"/><Relationship Id="rId1738" Type="http://schemas.openxmlformats.org/officeDocument/2006/relationships/hyperlink" Target="https://maps.google.com/?q=7000+E+Mayo+Blvd+Suite+1059+Phoenix%2C+Arizona+85054+United+States" TargetMode="External"/><Relationship Id="rId1739" Type="http://schemas.openxmlformats.org/officeDocument/2006/relationships/hyperlink" Target="http://www.phoenixfilmfestival.com/" TargetMode="External"/><Relationship Id="rId1720" Type="http://schemas.openxmlformats.org/officeDocument/2006/relationships/hyperlink" Target="https://filmfreeway.com/PAAFF" TargetMode="External"/><Relationship Id="rId1721" Type="http://schemas.openxmlformats.org/officeDocument/2006/relationships/hyperlink" Target="http://philaenvirofilmfest.org" TargetMode="External"/><Relationship Id="rId1722" Type="http://schemas.openxmlformats.org/officeDocument/2006/relationships/hyperlink" Target="https://maps.google.com/?q=1412+Chestnut+Street+Philadelphia%2C+PA+19102+United+States" TargetMode="External"/><Relationship Id="rId1723" Type="http://schemas.openxmlformats.org/officeDocument/2006/relationships/hyperlink" Target="http://filmadelphia.org/" TargetMode="External"/><Relationship Id="rId1724" Type="http://schemas.openxmlformats.org/officeDocument/2006/relationships/hyperlink" Target="http://filmadelphia.org/" TargetMode="External"/><Relationship Id="rId1725" Type="http://schemas.openxmlformats.org/officeDocument/2006/relationships/hyperlink" Target="https://filmfreeway.com/PhiladelphiaFilmFestival" TargetMode="External"/><Relationship Id="rId1726" Type="http://schemas.openxmlformats.org/officeDocument/2006/relationships/hyperlink" Target="https://maps.google.com/?q=2401+Walnut+Street+Philadelphia%2C+PA+19103+United+States" TargetMode="External"/><Relationship Id="rId1727" Type="http://schemas.openxmlformats.org/officeDocument/2006/relationships/hyperlink" Target="http://pifffilms.com/" TargetMode="External"/><Relationship Id="rId1728" Type="http://schemas.openxmlformats.org/officeDocument/2006/relationships/hyperlink" Target="https://filmfreeway.com/piffFilms" TargetMode="External"/><Relationship Id="rId1729" Type="http://schemas.openxmlformats.org/officeDocument/2006/relationships/hyperlink" Target="http://gershmany.org/" TargetMode="External"/><Relationship Id="rId1752" Type="http://schemas.openxmlformats.org/officeDocument/2006/relationships/hyperlink" Target="https://reelq.org/festival/" TargetMode="External"/><Relationship Id="rId1753" Type="http://schemas.openxmlformats.org/officeDocument/2006/relationships/hyperlink" Target="https://filmfreeway.com/ReelQFilmFestival" TargetMode="External"/><Relationship Id="rId1754" Type="http://schemas.openxmlformats.org/officeDocument/2006/relationships/hyperlink" Target="https://filmpittsburgh.org" TargetMode="External"/><Relationship Id="rId1755" Type="http://schemas.openxmlformats.org/officeDocument/2006/relationships/hyperlink" Target="https://filmfreeway.com/PittsburghShorts" TargetMode="External"/><Relationship Id="rId1756" Type="http://schemas.openxmlformats.org/officeDocument/2006/relationships/hyperlink" Target="http://www.poconomountainsfilmfestival.com/" TargetMode="External"/><Relationship Id="rId1757" Type="http://schemas.openxmlformats.org/officeDocument/2006/relationships/hyperlink" Target="https://www.pmffdigitaltheatre.com/" TargetMode="External"/><Relationship Id="rId1758" Type="http://schemas.openxmlformats.org/officeDocument/2006/relationships/hyperlink" Target="https://filmfreeway.com/ThePoconoMountainsFilmFestival" TargetMode="External"/><Relationship Id="rId1759" Type="http://schemas.openxmlformats.org/officeDocument/2006/relationships/hyperlink" Target="https://maps.google.com/?q=7726+Ethel+Ave.+North+Hollywood%2C+CA+91605+United+States" TargetMode="External"/><Relationship Id="rId808" Type="http://schemas.openxmlformats.org/officeDocument/2006/relationships/hyperlink" Target="https://maps.google.com/?q=2132+Wallace+St.+Stroudsburg%2C+PA+United+States" TargetMode="External"/><Relationship Id="rId807" Type="http://schemas.openxmlformats.org/officeDocument/2006/relationships/hyperlink" Target="https://filmfreeway.com/FWIFS" TargetMode="External"/><Relationship Id="rId806" Type="http://schemas.openxmlformats.org/officeDocument/2006/relationships/hyperlink" Target="http://www.fwindie.com/" TargetMode="External"/><Relationship Id="rId805" Type="http://schemas.openxmlformats.org/officeDocument/2006/relationships/hyperlink" Target="https://maps.google.com/?q=3701+Altamesa+Blvd+%23331142+Fort+Worth%2C+Tx+76163+United+States" TargetMode="External"/><Relationship Id="rId809" Type="http://schemas.openxmlformats.org/officeDocument/2006/relationships/hyperlink" Target="http://www.forwardianarts.org/" TargetMode="External"/><Relationship Id="rId800" Type="http://schemas.openxmlformats.org/officeDocument/2006/relationships/hyperlink" Target="http://www.fortmyersfilmfestival.com/" TargetMode="External"/><Relationship Id="rId804" Type="http://schemas.openxmlformats.org/officeDocument/2006/relationships/hyperlink" Target="https://filmfreeway.com/QCinemaFortWorth" TargetMode="External"/><Relationship Id="rId803" Type="http://schemas.openxmlformats.org/officeDocument/2006/relationships/hyperlink" Target="https://www.qcinema.org/" TargetMode="External"/><Relationship Id="rId802" Type="http://schemas.openxmlformats.org/officeDocument/2006/relationships/hyperlink" Target="http://www.qcinema.org/" TargetMode="External"/><Relationship Id="rId801" Type="http://schemas.openxmlformats.org/officeDocument/2006/relationships/hyperlink" Target="https://filmfreeway.com/FortMyersFilmFestival" TargetMode="External"/><Relationship Id="rId1750" Type="http://schemas.openxmlformats.org/officeDocument/2006/relationships/hyperlink" Target="https://filmfreeway.com/PittsburghIndependentFilmFestival" TargetMode="External"/><Relationship Id="rId1751" Type="http://schemas.openxmlformats.org/officeDocument/2006/relationships/hyperlink" Target="http://www.pilgff.org/" TargetMode="External"/><Relationship Id="rId1741" Type="http://schemas.openxmlformats.org/officeDocument/2006/relationships/hyperlink" Target="https://filmfreeway.com/PhoenixFilmFestival" TargetMode="External"/><Relationship Id="rId1742" Type="http://schemas.openxmlformats.org/officeDocument/2006/relationships/hyperlink" Target="https://www.gpjff.org/" TargetMode="External"/><Relationship Id="rId1743" Type="http://schemas.openxmlformats.org/officeDocument/2006/relationships/hyperlink" Target="https://www.gpjff.org/" TargetMode="External"/><Relationship Id="rId1744" Type="http://schemas.openxmlformats.org/officeDocument/2006/relationships/hyperlink" Target="https://www.gpjff.org/gpjff-submit-film" TargetMode="External"/><Relationship Id="rId1745" Type="http://schemas.openxmlformats.org/officeDocument/2006/relationships/hyperlink" Target="https://maps.google.com/?q=584+Castro+st+%232003+San+Francisco%2C+CA+94114+United+States" TargetMode="External"/><Relationship Id="rId1746" Type="http://schemas.openxmlformats.org/officeDocument/2006/relationships/hyperlink" Target="http://pictoclik.com/" TargetMode="External"/><Relationship Id="rId1747" Type="http://schemas.openxmlformats.org/officeDocument/2006/relationships/hyperlink" Target="https://filmfreeway.com/PictoclikFilmFestival" TargetMode="External"/><Relationship Id="rId1748" Type="http://schemas.openxmlformats.org/officeDocument/2006/relationships/hyperlink" Target="http://pvjff.org/contact" TargetMode="External"/><Relationship Id="rId1749" Type="http://schemas.openxmlformats.org/officeDocument/2006/relationships/hyperlink" Target="http://pghindie.com/Welcome.html" TargetMode="External"/><Relationship Id="rId1740" Type="http://schemas.openxmlformats.org/officeDocument/2006/relationships/hyperlink" Target="http://www.phoenixfilmfestival.com/" TargetMode="External"/><Relationship Id="rId1710" Type="http://schemas.openxmlformats.org/officeDocument/2006/relationships/hyperlink" Target="https://www.pviffatl.com" TargetMode="External"/><Relationship Id="rId1711" Type="http://schemas.openxmlformats.org/officeDocument/2006/relationships/hyperlink" Target="https://maps.google.com/?q=415-B+N+Tarragona+St+Pensacola%2C+Florida+32501+United+States" TargetMode="External"/><Relationship Id="rId1712" Type="http://schemas.openxmlformats.org/officeDocument/2006/relationships/hyperlink" Target="https://pensacon.com/events/short-film-festival/" TargetMode="External"/><Relationship Id="rId1713" Type="http://schemas.openxmlformats.org/officeDocument/2006/relationships/hyperlink" Target="https://filmfreeway.com/PensaconShortFilmFestival" TargetMode="External"/><Relationship Id="rId1714" Type="http://schemas.openxmlformats.org/officeDocument/2006/relationships/hyperlink" Target="http://www.thepeoplesfilmfestival.com/" TargetMode="External"/><Relationship Id="rId1715" Type="http://schemas.openxmlformats.org/officeDocument/2006/relationships/hyperlink" Target="https://filmfreeway.com/thepeoplesfilmfestival" TargetMode="External"/><Relationship Id="rId1716" Type="http://schemas.openxmlformats.org/officeDocument/2006/relationships/hyperlink" Target="https://maps.google.com/?q=350+Hub+Etchison+Parkway+Richmond%2C+IN+47374+United+States" TargetMode="External"/><Relationship Id="rId1717" Type="http://schemas.openxmlformats.org/officeDocument/2006/relationships/hyperlink" Target="http://phantoscope.org/" TargetMode="External"/><Relationship Id="rId1718" Type="http://schemas.openxmlformats.org/officeDocument/2006/relationships/hyperlink" Target="https://filmfreeway.com/Phantoscope" TargetMode="External"/><Relationship Id="rId1719" Type="http://schemas.openxmlformats.org/officeDocument/2006/relationships/hyperlink" Target="http://www.paaff.org/" TargetMode="External"/><Relationship Id="rId1700" Type="http://schemas.openxmlformats.org/officeDocument/2006/relationships/hyperlink" Target="https://filmfreeway.com/ReelWomensMovieMarathon" TargetMode="External"/><Relationship Id="rId1701" Type="http://schemas.openxmlformats.org/officeDocument/2006/relationships/hyperlink" Target="https://maps.google.com/?q=6820+LaTijera+Blvd.+Suite+200+Los+Angeles%2C+CA+90045+United+States" TargetMode="External"/><Relationship Id="rId1702" Type="http://schemas.openxmlformats.org/officeDocument/2006/relationships/hyperlink" Target="http://www.paff.org/" TargetMode="External"/><Relationship Id="rId1703" Type="http://schemas.openxmlformats.org/officeDocument/2006/relationships/hyperlink" Target="https://filmfreeway.com/ThePanAfricanFilmFestival" TargetMode="External"/><Relationship Id="rId1704" Type="http://schemas.openxmlformats.org/officeDocument/2006/relationships/hyperlink" Target="https://maps.google.com/?q=408+North+Armour+Rd.+North+Kansas+City%2C+MO+64116+United+States" TargetMode="External"/><Relationship Id="rId1705" Type="http://schemas.openxmlformats.org/officeDocument/2006/relationships/hyperlink" Target="https://www.panicfilmfest.com/" TargetMode="External"/><Relationship Id="rId1706" Type="http://schemas.openxmlformats.org/officeDocument/2006/relationships/hyperlink" Target="https://filmfreeway.com/PanicFest" TargetMode="External"/><Relationship Id="rId1707" Type="http://schemas.openxmlformats.org/officeDocument/2006/relationships/hyperlink" Target="https://maps.google.com/?q=530+South+Lake+Avenue+%23453+Pasadena%2C+CA+91101-3515+United+States" TargetMode="External"/><Relationship Id="rId1708" Type="http://schemas.openxmlformats.org/officeDocument/2006/relationships/hyperlink" Target="https://www.pasadenafilmfestival.org/" TargetMode="External"/><Relationship Id="rId1709" Type="http://schemas.openxmlformats.org/officeDocument/2006/relationships/hyperlink" Target="https://filmfreeway.com/PasadenaFilmFestival" TargetMode="External"/><Relationship Id="rId40" Type="http://schemas.openxmlformats.org/officeDocument/2006/relationships/hyperlink" Target="https://filmfreeway.com/AeFilmFestival" TargetMode="External"/><Relationship Id="rId1334" Type="http://schemas.openxmlformats.org/officeDocument/2006/relationships/hyperlink" Target="http://tmvff.org/" TargetMode="External"/><Relationship Id="rId1335" Type="http://schemas.openxmlformats.org/officeDocument/2006/relationships/hyperlink" Target="https://filmfreeway.com/MarthasVineyardFilmFestival" TargetMode="External"/><Relationship Id="rId42" Type="http://schemas.openxmlformats.org/officeDocument/2006/relationships/hyperlink" Target="http://www.abff.com/" TargetMode="External"/><Relationship Id="rId1336" Type="http://schemas.openxmlformats.org/officeDocument/2006/relationships/hyperlink" Target="http://mvfilmsociety.com/festivals/marthas-vineyard-international-film-festival/" TargetMode="External"/><Relationship Id="rId41" Type="http://schemas.openxmlformats.org/officeDocument/2006/relationships/hyperlink" Target="http://www.abff.com/" TargetMode="External"/><Relationship Id="rId1337" Type="http://schemas.openxmlformats.org/officeDocument/2006/relationships/hyperlink" Target="https://filmfreeway.com/MarthasVineyardInternationalFilmFestival" TargetMode="External"/><Relationship Id="rId44" Type="http://schemas.openxmlformats.org/officeDocument/2006/relationships/hyperlink" Target="http://conservationfilmfest.org/" TargetMode="External"/><Relationship Id="rId1338" Type="http://schemas.openxmlformats.org/officeDocument/2006/relationships/hyperlink" Target="http://www.mdfilmfest.com/" TargetMode="External"/><Relationship Id="rId43" Type="http://schemas.openxmlformats.org/officeDocument/2006/relationships/hyperlink" Target="https://filmfreeway.com/AmericanBlackFilmFestival" TargetMode="External"/><Relationship Id="rId1339" Type="http://schemas.openxmlformats.org/officeDocument/2006/relationships/hyperlink" Target="https://mdfilmfest.com/" TargetMode="External"/><Relationship Id="rId46" Type="http://schemas.openxmlformats.org/officeDocument/2006/relationships/hyperlink" Target="https://maps.google.com/?q=1833+S.+Araby+Drive+%232+Palm+Springs%2C+CA+92264+United+States" TargetMode="External"/><Relationship Id="rId45" Type="http://schemas.openxmlformats.org/officeDocument/2006/relationships/hyperlink" Target="https://filmfreeway.com/ACFF" TargetMode="External"/><Relationship Id="rId745" Type="http://schemas.openxmlformats.org/officeDocument/2006/relationships/hyperlink" Target="https://filmfreeway.com/filminvasionla" TargetMode="External"/><Relationship Id="rId744" Type="http://schemas.openxmlformats.org/officeDocument/2006/relationships/hyperlink" Target="http://filminvasionla.com/" TargetMode="External"/><Relationship Id="rId743" Type="http://schemas.openxmlformats.org/officeDocument/2006/relationships/hyperlink" Target="https://maps.google.com/?q=15021+Ventura+Boulevard+Suite+523+Sherman+Oaks%2C+CA+91403+United+States" TargetMode="External"/><Relationship Id="rId742" Type="http://schemas.openxmlformats.org/officeDocument/2006/relationships/hyperlink" Target="https://www.filmindependent.org" TargetMode="External"/><Relationship Id="rId749" Type="http://schemas.openxmlformats.org/officeDocument/2006/relationships/hyperlink" Target="http://www.filmcolumbia.com/" TargetMode="External"/><Relationship Id="rId748" Type="http://schemas.openxmlformats.org/officeDocument/2006/relationships/hyperlink" Target="https://filmfreeway.com/Film_One_Fest" TargetMode="External"/><Relationship Id="rId747" Type="http://schemas.openxmlformats.org/officeDocument/2006/relationships/hyperlink" Target="https://filmonefest.org/" TargetMode="External"/><Relationship Id="rId746" Type="http://schemas.openxmlformats.org/officeDocument/2006/relationships/hyperlink" Target="https://maps.google.com/?q=54+First+Ave+Atlantic+Highlands%2C+NJ+07716+United+States" TargetMode="External"/><Relationship Id="rId48" Type="http://schemas.openxmlformats.org/officeDocument/2006/relationships/hyperlink" Target="https://filmfreeway.com/AmericanDocumentaryFilmFestivalandFilmFund" TargetMode="External"/><Relationship Id="rId47" Type="http://schemas.openxmlformats.org/officeDocument/2006/relationships/hyperlink" Target="https://www.americandocumentaryfilmfestival.com/" TargetMode="External"/><Relationship Id="rId49" Type="http://schemas.openxmlformats.org/officeDocument/2006/relationships/hyperlink" Target="http://www.americanhorrorfilmfestival.com/" TargetMode="External"/><Relationship Id="rId741" Type="http://schemas.openxmlformats.org/officeDocument/2006/relationships/hyperlink" Target="https://filmfreeway.com/FFOCOL" TargetMode="External"/><Relationship Id="rId1330" Type="http://schemas.openxmlformats.org/officeDocument/2006/relationships/hyperlink" Target="http://www.amnh.org/explore/margaret-mead-film-festival" TargetMode="External"/><Relationship Id="rId740" Type="http://schemas.openxmlformats.org/officeDocument/2006/relationships/hyperlink" Target="http://www.filmfestivalofcbus.com/" TargetMode="External"/><Relationship Id="rId1331" Type="http://schemas.openxmlformats.org/officeDocument/2006/relationships/hyperlink" Target="https://www.amnh.org/explore/margaret-mead-film-festival" TargetMode="External"/><Relationship Id="rId1332" Type="http://schemas.openxmlformats.org/officeDocument/2006/relationships/hyperlink" Target="https://filmfreeway.com/MargaretMeadFilmFestival" TargetMode="External"/><Relationship Id="rId1333" Type="http://schemas.openxmlformats.org/officeDocument/2006/relationships/hyperlink" Target="https://maps.google.com/?q=P.O.+Box+592+9+State+Road+Chilmark%2C+MA+02535+United+States" TargetMode="External"/><Relationship Id="rId1323" Type="http://schemas.openxmlformats.org/officeDocument/2006/relationships/hyperlink" Target="https://maps.google.com/?q=319+Lafayette+Street+%23+126+NYC%2C+NY+10012+United+States" TargetMode="External"/><Relationship Id="rId1324" Type="http://schemas.openxmlformats.org/officeDocument/2006/relationships/hyperlink" Target="http://www.msfilmfest.com/" TargetMode="External"/><Relationship Id="rId31" Type="http://schemas.openxmlformats.org/officeDocument/2006/relationships/hyperlink" Target="http://www.albanyfilmfest.org/" TargetMode="External"/><Relationship Id="rId1325" Type="http://schemas.openxmlformats.org/officeDocument/2006/relationships/hyperlink" Target="http://www.msfilmfest.com/" TargetMode="External"/><Relationship Id="rId30" Type="http://schemas.openxmlformats.org/officeDocument/2006/relationships/hyperlink" Target="https://maps.google.com/?q=1249+Marin+Ave.+Albany%2C+CA+94706+United+States" TargetMode="External"/><Relationship Id="rId1326" Type="http://schemas.openxmlformats.org/officeDocument/2006/relationships/hyperlink" Target="https://filmfreeway.com/MANHATTANSHORT" TargetMode="External"/><Relationship Id="rId33" Type="http://schemas.openxmlformats.org/officeDocument/2006/relationships/hyperlink" Target="https://maps.google.com/?q=500+East+Alexandria+Avenue+Alexandria%2C+VA+22301+United+States" TargetMode="External"/><Relationship Id="rId1327" Type="http://schemas.openxmlformats.org/officeDocument/2006/relationships/hyperlink" Target="https://maps.google.com/?q=1341+G+St+NW+Washington%2C+DC+20005+United+States" TargetMode="External"/><Relationship Id="rId32" Type="http://schemas.openxmlformats.org/officeDocument/2006/relationships/hyperlink" Target="https://filmfreeway.com/AlbanyFilmFest" TargetMode="External"/><Relationship Id="rId1328" Type="http://schemas.openxmlformats.org/officeDocument/2006/relationships/hyperlink" Target="https://www.marchonwashingtonfilmfestival.org/" TargetMode="External"/><Relationship Id="rId35" Type="http://schemas.openxmlformats.org/officeDocument/2006/relationships/hyperlink" Target="https://filmfreeway.com/AlexandriaFilmFestival-523023" TargetMode="External"/><Relationship Id="rId1329" Type="http://schemas.openxmlformats.org/officeDocument/2006/relationships/hyperlink" Target="https://filmfreeway.com/MarchonWashingtonFilmFestival" TargetMode="External"/><Relationship Id="rId34" Type="http://schemas.openxmlformats.org/officeDocument/2006/relationships/hyperlink" Target="http://www.alexfilmfest.com/" TargetMode="External"/><Relationship Id="rId739" Type="http://schemas.openxmlformats.org/officeDocument/2006/relationships/hyperlink" Target="https://filmfreeway.com/FilmFestPetaluma" TargetMode="External"/><Relationship Id="rId734" Type="http://schemas.openxmlformats.org/officeDocument/2006/relationships/hyperlink" Target="https://maps.google.com/?q=603+Arizona+Ave.+Santa+Monica%2C+CA+90401+United+States" TargetMode="External"/><Relationship Id="rId733" Type="http://schemas.openxmlformats.org/officeDocument/2006/relationships/hyperlink" Target="https://filmfreeway.com/FestivalofCinemaNYC" TargetMode="External"/><Relationship Id="rId732" Type="http://schemas.openxmlformats.org/officeDocument/2006/relationships/hyperlink" Target="http://www.festivalofcinemanyc.com/" TargetMode="External"/><Relationship Id="rId731" Type="http://schemas.openxmlformats.org/officeDocument/2006/relationships/hyperlink" Target="https://maps.google.com/?q=60+1+avenue+12C+New+York%2C+NY+10009+United+States" TargetMode="External"/><Relationship Id="rId738" Type="http://schemas.openxmlformats.org/officeDocument/2006/relationships/hyperlink" Target="http://petalumafilmalliance.org/" TargetMode="External"/><Relationship Id="rId737" Type="http://schemas.openxmlformats.org/officeDocument/2006/relationships/hyperlink" Target="https://maps.google.com/?q=Petaluma+Film+Alliance+680+Sonoma+Mountain+Parkway+Petaluma%2C+CA+94954+United+States" TargetMode="External"/><Relationship Id="rId736" Type="http://schemas.openxmlformats.org/officeDocument/2006/relationships/hyperlink" Target="https://filmfreeway.com/FilmCrash" TargetMode="External"/><Relationship Id="rId735" Type="http://schemas.openxmlformats.org/officeDocument/2006/relationships/hyperlink" Target="http://www.filmcrash.com/" TargetMode="External"/><Relationship Id="rId37" Type="http://schemas.openxmlformats.org/officeDocument/2006/relationships/hyperlink" Target="https://filmfreeway.com/HSFilmFest" TargetMode="External"/><Relationship Id="rId36" Type="http://schemas.openxmlformats.org/officeDocument/2006/relationships/hyperlink" Target="https://www.hsfilmfest.com/" TargetMode="External"/><Relationship Id="rId39" Type="http://schemas.openxmlformats.org/officeDocument/2006/relationships/hyperlink" Target="https://www.alteredesthetics.org/" TargetMode="External"/><Relationship Id="rId38" Type="http://schemas.openxmlformats.org/officeDocument/2006/relationships/hyperlink" Target="https://www.agliff.org/" TargetMode="External"/><Relationship Id="rId730" Type="http://schemas.openxmlformats.org/officeDocument/2006/relationships/hyperlink" Target="https://festivalofinappropriation.com" TargetMode="External"/><Relationship Id="rId1320" Type="http://schemas.openxmlformats.org/officeDocument/2006/relationships/hyperlink" Target="http://manhattanff.com/" TargetMode="External"/><Relationship Id="rId1321" Type="http://schemas.openxmlformats.org/officeDocument/2006/relationships/hyperlink" Target="http://manhattanff.com/" TargetMode="External"/><Relationship Id="rId1322" Type="http://schemas.openxmlformats.org/officeDocument/2006/relationships/hyperlink" Target="https://filmfreeway.com/ManhattanFF" TargetMode="External"/><Relationship Id="rId1356" Type="http://schemas.openxmlformats.org/officeDocument/2006/relationships/hyperlink" Target="http://www.melbournefilmfest.com" TargetMode="External"/><Relationship Id="rId2203" Type="http://schemas.openxmlformats.org/officeDocument/2006/relationships/hyperlink" Target="https://www.sxsw.com/festivals/film/" TargetMode="External"/><Relationship Id="rId1357" Type="http://schemas.openxmlformats.org/officeDocument/2006/relationships/hyperlink" Target="https://maps.google.com/?q=Mendocino+Film+Festival+P.O.+Box+1843+Mendocino%2C+California+95460+United+States" TargetMode="External"/><Relationship Id="rId2204" Type="http://schemas.openxmlformats.org/officeDocument/2006/relationships/hyperlink" Target="https://www.sxsw.com/apply-to-participate/film-submissions/" TargetMode="External"/><Relationship Id="rId20" Type="http://schemas.openxmlformats.org/officeDocument/2006/relationships/hyperlink" Target="https://filmfreeway.com/AFIFEST" TargetMode="External"/><Relationship Id="rId1358" Type="http://schemas.openxmlformats.org/officeDocument/2006/relationships/hyperlink" Target="http://www.mendocinofilmfestival.org/" TargetMode="External"/><Relationship Id="rId2205" Type="http://schemas.openxmlformats.org/officeDocument/2006/relationships/hyperlink" Target="http://www.sc-uff.com/" TargetMode="External"/><Relationship Id="rId1359" Type="http://schemas.openxmlformats.org/officeDocument/2006/relationships/hyperlink" Target="http://www.mendocinofilmfestival.org" TargetMode="External"/><Relationship Id="rId2206" Type="http://schemas.openxmlformats.org/officeDocument/2006/relationships/hyperlink" Target="https://filmfreeway.com/SouthCarolinaUndergroundFilmFestival" TargetMode="External"/><Relationship Id="rId22" Type="http://schemas.openxmlformats.org/officeDocument/2006/relationships/hyperlink" Target="http://nyadiff.org/" TargetMode="External"/><Relationship Id="rId2207" Type="http://schemas.openxmlformats.org/officeDocument/2006/relationships/hyperlink" Target="https://maps.google.com/?q=417+S.+Main+Street+Aberdeen%2C+SD+57401+United+States" TargetMode="External"/><Relationship Id="rId21" Type="http://schemas.openxmlformats.org/officeDocument/2006/relationships/hyperlink" Target="http://nyadiff.org/" TargetMode="External"/><Relationship Id="rId2208" Type="http://schemas.openxmlformats.org/officeDocument/2006/relationships/hyperlink" Target="http://southdakotafilmfest.org/" TargetMode="External"/><Relationship Id="rId24" Type="http://schemas.openxmlformats.org/officeDocument/2006/relationships/hyperlink" Target="https://maps.google.com/?q=154+W+18th+St+Suite+2A+New+York%2C+New+York%28NY%29+10011+United+States" TargetMode="External"/><Relationship Id="rId2209" Type="http://schemas.openxmlformats.org/officeDocument/2006/relationships/hyperlink" Target="https://filmfreeway.com/SouthDakotaFilmFestival" TargetMode="External"/><Relationship Id="rId23" Type="http://schemas.openxmlformats.org/officeDocument/2006/relationships/hyperlink" Target="https://filmfreeway.com/AfricanDiasporaInternationalFilmFestival" TargetMode="External"/><Relationship Id="rId767" Type="http://schemas.openxmlformats.org/officeDocument/2006/relationships/hyperlink" Target="http://fnfvf.org/blog/festival-application/" TargetMode="External"/><Relationship Id="rId766" Type="http://schemas.openxmlformats.org/officeDocument/2006/relationships/hyperlink" Target="http://www.fnfvf.org/" TargetMode="External"/><Relationship Id="rId765" Type="http://schemas.openxmlformats.org/officeDocument/2006/relationships/hyperlink" Target="https://maps.google.com/?q=First+Nations+Film+and+Video+Festival%2C+Inc.+c%2Fo+Ernest+M+Whiteman+III+8054+NILES+AVENUE%2C+2E+SKOKIE%2C+IL+60077+United+States" TargetMode="External"/><Relationship Id="rId764" Type="http://schemas.openxmlformats.org/officeDocument/2006/relationships/hyperlink" Target="https://filmfreeway.com/FirstGlanceFilmFestivals" TargetMode="External"/><Relationship Id="rId769" Type="http://schemas.openxmlformats.org/officeDocument/2006/relationships/hyperlink" Target="http://www.flagstaffmountainfilms.org/" TargetMode="External"/><Relationship Id="rId768" Type="http://schemas.openxmlformats.org/officeDocument/2006/relationships/hyperlink" Target="http://www.firstglancefilms.com" TargetMode="External"/><Relationship Id="rId26" Type="http://schemas.openxmlformats.org/officeDocument/2006/relationships/hyperlink" Target="https://www.africanfilmny.org" TargetMode="External"/><Relationship Id="rId25" Type="http://schemas.openxmlformats.org/officeDocument/2006/relationships/hyperlink" Target="http://www.africanfilmny.org/" TargetMode="External"/><Relationship Id="rId28" Type="http://schemas.openxmlformats.org/officeDocument/2006/relationships/hyperlink" Target="http://www.theafricanfilmfestival.org/" TargetMode="External"/><Relationship Id="rId1350" Type="http://schemas.openxmlformats.org/officeDocument/2006/relationships/hyperlink" Target="https://filmfreeway.com/McMinnvilleShortFilmFestival" TargetMode="External"/><Relationship Id="rId27" Type="http://schemas.openxmlformats.org/officeDocument/2006/relationships/hyperlink" Target="https://filmfreeway.com/NYAFF26" TargetMode="External"/><Relationship Id="rId1351" Type="http://schemas.openxmlformats.org/officeDocument/2006/relationships/hyperlink" Target="https://maps.google.com/?q=286+Jones+Dr.+Milledgeville%2C+Georgia+31062+United+States" TargetMode="External"/><Relationship Id="rId763" Type="http://schemas.openxmlformats.org/officeDocument/2006/relationships/hyperlink" Target="https://firstglancefilms.com/" TargetMode="External"/><Relationship Id="rId1352" Type="http://schemas.openxmlformats.org/officeDocument/2006/relationships/hyperlink" Target="https://www.milledgevillefilmfest.com/" TargetMode="External"/><Relationship Id="rId29" Type="http://schemas.openxmlformats.org/officeDocument/2006/relationships/hyperlink" Target="https://filmfreeway.com/taff" TargetMode="External"/><Relationship Id="rId762" Type="http://schemas.openxmlformats.org/officeDocument/2006/relationships/hyperlink" Target="https://filmfreeway.com/TheFineArtsFilmFestival" TargetMode="External"/><Relationship Id="rId1353" Type="http://schemas.openxmlformats.org/officeDocument/2006/relationships/hyperlink" Target="https://filmfreeway.com/MEFilmFestival" TargetMode="External"/><Relationship Id="rId2200" Type="http://schemas.openxmlformats.org/officeDocument/2006/relationships/hyperlink" Target="http://www.soundunseen.com/" TargetMode="External"/><Relationship Id="rId761" Type="http://schemas.openxmlformats.org/officeDocument/2006/relationships/hyperlink" Target="http://www.thefineartsfilmfestival.com/" TargetMode="External"/><Relationship Id="rId1354" Type="http://schemas.openxmlformats.org/officeDocument/2006/relationships/hyperlink" Target="http://www.mediafilmfestival.org/" TargetMode="External"/><Relationship Id="rId2201" Type="http://schemas.openxmlformats.org/officeDocument/2006/relationships/hyperlink" Target="https://filmfreeway.com/SoundUnseen" TargetMode="External"/><Relationship Id="rId760" Type="http://schemas.openxmlformats.org/officeDocument/2006/relationships/hyperlink" Target="https://filmfreeway.com/FilmQuest" TargetMode="External"/><Relationship Id="rId1355" Type="http://schemas.openxmlformats.org/officeDocument/2006/relationships/hyperlink" Target="https://filmfreeway.com/MediaFilmFestival" TargetMode="External"/><Relationship Id="rId2202" Type="http://schemas.openxmlformats.org/officeDocument/2006/relationships/hyperlink" Target="http://www.saiff.org" TargetMode="External"/><Relationship Id="rId1345" Type="http://schemas.openxmlformats.org/officeDocument/2006/relationships/hyperlink" Target="https://filmfreeway.com/theMassachusettsIndependentFilmFestival" TargetMode="External"/><Relationship Id="rId1346" Type="http://schemas.openxmlformats.org/officeDocument/2006/relationships/hyperlink" Target="https://www.mauifilmfestival.com/" TargetMode="External"/><Relationship Id="rId1347" Type="http://schemas.openxmlformats.org/officeDocument/2006/relationships/hyperlink" Target="https://filmfreeway.com/MauiFilmFestival" TargetMode="External"/><Relationship Id="rId1348" Type="http://schemas.openxmlformats.org/officeDocument/2006/relationships/hyperlink" Target="https://maps.google.com/?q=801+SW+Baker+St+McMinnville%2C+OR+97128+United+States" TargetMode="External"/><Relationship Id="rId11" Type="http://schemas.openxmlformats.org/officeDocument/2006/relationships/hyperlink" Target="https://filmfreeway.com/aofmegafest" TargetMode="External"/><Relationship Id="rId1349" Type="http://schemas.openxmlformats.org/officeDocument/2006/relationships/hyperlink" Target="http://mcminnvillefilmfest.org/" TargetMode="External"/><Relationship Id="rId10" Type="http://schemas.openxmlformats.org/officeDocument/2006/relationships/hyperlink" Target="https://www.actiononfilmfest.com/" TargetMode="External"/><Relationship Id="rId13" Type="http://schemas.openxmlformats.org/officeDocument/2006/relationships/hyperlink" Target="https://filmfreeway.com/MoviesByMovers" TargetMode="External"/><Relationship Id="rId12" Type="http://schemas.openxmlformats.org/officeDocument/2006/relationships/hyperlink" Target="http://www.americandancefestival.org/projects/moviesbymovers/" TargetMode="External"/><Relationship Id="rId756" Type="http://schemas.openxmlformats.org/officeDocument/2006/relationships/hyperlink" Target="https://filmfreeway.com/filmfortfest" TargetMode="External"/><Relationship Id="rId755" Type="http://schemas.openxmlformats.org/officeDocument/2006/relationships/hyperlink" Target="https://www.treefortmusicfest.com/fort/filmfort/" TargetMode="External"/><Relationship Id="rId754" Type="http://schemas.openxmlformats.org/officeDocument/2006/relationships/hyperlink" Target="https://maps.google.com/?q=Boise%2C+ID+83702+United+States" TargetMode="External"/><Relationship Id="rId753" Type="http://schemas.openxmlformats.org/officeDocument/2006/relationships/hyperlink" Target="https://filmfreeway.com/FilmfestDC" TargetMode="External"/><Relationship Id="rId759" Type="http://schemas.openxmlformats.org/officeDocument/2006/relationships/hyperlink" Target="http://www.filmquestfest.com/" TargetMode="External"/><Relationship Id="rId758" Type="http://schemas.openxmlformats.org/officeDocument/2006/relationships/hyperlink" Target="https://maps.google.com/?q=3214+North+University+Ave.+Suite+%23614+Provo%2C+Utah+84604+United+States" TargetMode="External"/><Relationship Id="rId757" Type="http://schemas.openxmlformats.org/officeDocument/2006/relationships/hyperlink" Target="http://www.filmoutsandiego.com" TargetMode="External"/><Relationship Id="rId15" Type="http://schemas.openxmlformats.org/officeDocument/2006/relationships/hyperlink" Target="https://filmfreeway.com/AdirondackFilmFestival" TargetMode="External"/><Relationship Id="rId14" Type="http://schemas.openxmlformats.org/officeDocument/2006/relationships/hyperlink" Target="http://www.adkfilmfestival.org/" TargetMode="External"/><Relationship Id="rId17" Type="http://schemas.openxmlformats.org/officeDocument/2006/relationships/hyperlink" Target="http://www.adventurefilm.org/" TargetMode="External"/><Relationship Id="rId16" Type="http://schemas.openxmlformats.org/officeDocument/2006/relationships/hyperlink" Target="http://www.adventurefilm.org/" TargetMode="External"/><Relationship Id="rId1340" Type="http://schemas.openxmlformats.org/officeDocument/2006/relationships/hyperlink" Target="https://filmfreeway.com/TheMarylandFilmFestival" TargetMode="External"/><Relationship Id="rId19" Type="http://schemas.openxmlformats.org/officeDocument/2006/relationships/hyperlink" Target="http://www.afi.com/afifest/" TargetMode="External"/><Relationship Id="rId752" Type="http://schemas.openxmlformats.org/officeDocument/2006/relationships/hyperlink" Target="http://www.filmfestdc.org/" TargetMode="External"/><Relationship Id="rId1341" Type="http://schemas.openxmlformats.org/officeDocument/2006/relationships/hyperlink" Target="https://maps.google.com/?q=36+South+Potomac+Street+Suite+201+Hagerstown%2C+MD+21740+United+States" TargetMode="External"/><Relationship Id="rId18" Type="http://schemas.openxmlformats.org/officeDocument/2006/relationships/hyperlink" Target="http://www.afi.com/afidocs/" TargetMode="External"/><Relationship Id="rId751" Type="http://schemas.openxmlformats.org/officeDocument/2006/relationships/hyperlink" Target="https://crandelltheatre.org/filmcolumbia/submissions/" TargetMode="External"/><Relationship Id="rId1342" Type="http://schemas.openxmlformats.org/officeDocument/2006/relationships/hyperlink" Target="https://www.marylandiff.com/" TargetMode="External"/><Relationship Id="rId750" Type="http://schemas.openxmlformats.org/officeDocument/2006/relationships/hyperlink" Target="https://crandelltheatre.org/filmcolumbia/" TargetMode="External"/><Relationship Id="rId1343" Type="http://schemas.openxmlformats.org/officeDocument/2006/relationships/hyperlink" Target="https://filmfreeway.com/MarylandInternationalFilmFestival" TargetMode="External"/><Relationship Id="rId1344" Type="http://schemas.openxmlformats.org/officeDocument/2006/relationships/hyperlink" Target="http://www.massiff.org/" TargetMode="External"/><Relationship Id="rId84" Type="http://schemas.openxmlformats.org/officeDocument/2006/relationships/hyperlink" Target="https://filmfreeway.com/ALIFFF" TargetMode="External"/><Relationship Id="rId1774" Type="http://schemas.openxmlformats.org/officeDocument/2006/relationships/hyperlink" Target="https://filmfreeway.com/PortlandComedyFilmFestival" TargetMode="External"/><Relationship Id="rId83" Type="http://schemas.openxmlformats.org/officeDocument/2006/relationships/hyperlink" Target="http://www.alfilmfest.com/" TargetMode="External"/><Relationship Id="rId1775" Type="http://schemas.openxmlformats.org/officeDocument/2006/relationships/hyperlink" Target="http://www.portlandecofilmfest.org/" TargetMode="External"/><Relationship Id="rId86" Type="http://schemas.openxmlformats.org/officeDocument/2006/relationships/hyperlink" Target="http://www.arabfilmfestival.org/" TargetMode="External"/><Relationship Id="rId1776" Type="http://schemas.openxmlformats.org/officeDocument/2006/relationships/hyperlink" Target="https://filmfreeway.com/PortlandEcoFilmFestival" TargetMode="External"/><Relationship Id="rId85" Type="http://schemas.openxmlformats.org/officeDocument/2006/relationships/hyperlink" Target="https://maps.google.com/?q=3739+Balboa+Street+%23125+San+Francisco%2C+California+94121+United+States" TargetMode="External"/><Relationship Id="rId1777" Type="http://schemas.openxmlformats.org/officeDocument/2006/relationships/hyperlink" Target="https://maps.google.com/?q=1126+NW+Marshall+St+Portland%2C+OR+97209+United+States" TargetMode="External"/><Relationship Id="rId88" Type="http://schemas.openxmlformats.org/officeDocument/2006/relationships/hyperlink" Target="http://www.arabamericanmuseum.org/" TargetMode="External"/><Relationship Id="rId1778" Type="http://schemas.openxmlformats.org/officeDocument/2006/relationships/hyperlink" Target="https://portlandfilmfestival.com/" TargetMode="External"/><Relationship Id="rId87" Type="http://schemas.openxmlformats.org/officeDocument/2006/relationships/hyperlink" Target="https://filmfreeway.com/AFF" TargetMode="External"/><Relationship Id="rId1779" Type="http://schemas.openxmlformats.org/officeDocument/2006/relationships/hyperlink" Target="https://filmfreeway.com/PortlandFilm" TargetMode="External"/><Relationship Id="rId89" Type="http://schemas.openxmlformats.org/officeDocument/2006/relationships/hyperlink" Target="https://filmfreeway.com/ArabFilmFestivalatAANM" TargetMode="External"/><Relationship Id="rId709" Type="http://schemas.openxmlformats.org/officeDocument/2006/relationships/hyperlink" Target="https://filmfreeway.com/FargoFantasticFilmFestival" TargetMode="External"/><Relationship Id="rId708" Type="http://schemas.openxmlformats.org/officeDocument/2006/relationships/hyperlink" Target="http://www.valleycon.com/filmfest/" TargetMode="External"/><Relationship Id="rId707" Type="http://schemas.openxmlformats.org/officeDocument/2006/relationships/hyperlink" Target="http://www.valleycon.com/filmfest.html" TargetMode="External"/><Relationship Id="rId706" Type="http://schemas.openxmlformats.org/officeDocument/2006/relationships/hyperlink" Target="https://maps.google.com/?q=PO+Box+7202+Fargo%2C+ND+58106+United+States" TargetMode="External"/><Relationship Id="rId80" Type="http://schemas.openxmlformats.org/officeDocument/2006/relationships/hyperlink" Target="https://anthemfilmfestival.com/" TargetMode="External"/><Relationship Id="rId82" Type="http://schemas.openxmlformats.org/officeDocument/2006/relationships/hyperlink" Target="https://maps.google.com/?q=1616+N+56th+Ln+Phoenix%2C+AZ+85035+United+States" TargetMode="External"/><Relationship Id="rId81" Type="http://schemas.openxmlformats.org/officeDocument/2006/relationships/hyperlink" Target="https://filmfreeway.com/AnthemLibertarianFilmFestival-1536539" TargetMode="External"/><Relationship Id="rId701" Type="http://schemas.openxmlformats.org/officeDocument/2006/relationships/hyperlink" Target="http://fhffsd.com/" TargetMode="External"/><Relationship Id="rId700" Type="http://schemas.openxmlformats.org/officeDocument/2006/relationships/hyperlink" Target="https://maps.google.com/?q=5663+Balboa+Ave+Suite+376+San+Diego%2C+Ca+92111-2705+United+States" TargetMode="External"/><Relationship Id="rId705" Type="http://schemas.openxmlformats.org/officeDocument/2006/relationships/hyperlink" Target="https://filmfreeway.com/FantasticFest" TargetMode="External"/><Relationship Id="rId704" Type="http://schemas.openxmlformats.org/officeDocument/2006/relationships/hyperlink" Target="http://fantasticfest.com/" TargetMode="External"/><Relationship Id="rId703" Type="http://schemas.openxmlformats.org/officeDocument/2006/relationships/hyperlink" Target="http://www.fantasticfest.com/" TargetMode="External"/><Relationship Id="rId702" Type="http://schemas.openxmlformats.org/officeDocument/2006/relationships/hyperlink" Target="https://filmfreeway.com/FANtasticHorrorFilmFestival" TargetMode="External"/><Relationship Id="rId1770" Type="http://schemas.openxmlformats.org/officeDocument/2006/relationships/hyperlink" Target="http://www.ptfilmfest.com/" TargetMode="External"/><Relationship Id="rId1771" Type="http://schemas.openxmlformats.org/officeDocument/2006/relationships/hyperlink" Target="https://filmfreeway.com/PortTownsendFilmFestival" TargetMode="External"/><Relationship Id="rId1772" Type="http://schemas.openxmlformats.org/officeDocument/2006/relationships/hyperlink" Target="https://maps.google.com/?q=25030+SW+Parkway+Ave+%231044+Wilsonville%2C+OR+97070+United+States" TargetMode="External"/><Relationship Id="rId1773" Type="http://schemas.openxmlformats.org/officeDocument/2006/relationships/hyperlink" Target="https://info.filmfestivalcircuit.com/portland-comedy-film-festival" TargetMode="External"/><Relationship Id="rId73" Type="http://schemas.openxmlformats.org/officeDocument/2006/relationships/hyperlink" Target="https://filmfreeway.com/AAFilmFest" TargetMode="External"/><Relationship Id="rId1763" Type="http://schemas.openxmlformats.org/officeDocument/2006/relationships/hyperlink" Target="https://maps.google.com/?q=503+SE+6th+St+Fort+Lauderdale%2C+FL+33301+United+States" TargetMode="External"/><Relationship Id="rId72" Type="http://schemas.openxmlformats.org/officeDocument/2006/relationships/hyperlink" Target="https://www.aafilmfest.org/" TargetMode="External"/><Relationship Id="rId1764" Type="http://schemas.openxmlformats.org/officeDocument/2006/relationships/hyperlink" Target="https://www.popcornfrights.com/" TargetMode="External"/><Relationship Id="rId75" Type="http://schemas.openxmlformats.org/officeDocument/2006/relationships/hyperlink" Target="http://www.annapolisfilmfestival.net/" TargetMode="External"/><Relationship Id="rId1765" Type="http://schemas.openxmlformats.org/officeDocument/2006/relationships/hyperlink" Target="https://filmfreeway.com/PopcornFrightsFilmFestival" TargetMode="External"/><Relationship Id="rId74" Type="http://schemas.openxmlformats.org/officeDocument/2006/relationships/hyperlink" Target="https://maps.google.com/?q=107+Annapolis+Street+Suite+J+Annapolis%2C+MD+21401+United+States" TargetMode="External"/><Relationship Id="rId1766" Type="http://schemas.openxmlformats.org/officeDocument/2006/relationships/hyperlink" Target="https://pjiff.org/" TargetMode="External"/><Relationship Id="rId77" Type="http://schemas.openxmlformats.org/officeDocument/2006/relationships/hyperlink" Target="https://filmfreeway.com/AnnapolisFilmFestival" TargetMode="External"/><Relationship Id="rId1767" Type="http://schemas.openxmlformats.org/officeDocument/2006/relationships/hyperlink" Target="https://filmfreeway.com/ThePoppyJasperInternationalFilmFestival" TargetMode="External"/><Relationship Id="rId76" Type="http://schemas.openxmlformats.org/officeDocument/2006/relationships/hyperlink" Target="http://www.annapolisfilmfestival.net/" TargetMode="External"/><Relationship Id="rId1768" Type="http://schemas.openxmlformats.org/officeDocument/2006/relationships/hyperlink" Target="https://maps.google.com/?q=211+Taylor+Street+Suite+401-A+Port+Townsend%2C+WA+98368+United+States" TargetMode="External"/><Relationship Id="rId79" Type="http://schemas.openxmlformats.org/officeDocument/2006/relationships/hyperlink" Target="https://filmfreeway.com/SanFranciscoAnotherHoleintheHead" TargetMode="External"/><Relationship Id="rId1769" Type="http://schemas.openxmlformats.org/officeDocument/2006/relationships/hyperlink" Target="http://www.ptfilmfest.com/" TargetMode="External"/><Relationship Id="rId78" Type="http://schemas.openxmlformats.org/officeDocument/2006/relationships/hyperlink" Target="https://www.ahith.com/" TargetMode="External"/><Relationship Id="rId71" Type="http://schemas.openxmlformats.org/officeDocument/2006/relationships/hyperlink" Target="https://filmfreeway.com/AnimationNights" TargetMode="External"/><Relationship Id="rId70" Type="http://schemas.openxmlformats.org/officeDocument/2006/relationships/hyperlink" Target="about:blank" TargetMode="External"/><Relationship Id="rId1760" Type="http://schemas.openxmlformats.org/officeDocument/2006/relationships/hyperlink" Target="http://www.polishfilmla.org/" TargetMode="External"/><Relationship Id="rId1761" Type="http://schemas.openxmlformats.org/officeDocument/2006/relationships/hyperlink" Target="http://www.polishfilmla.org/" TargetMode="External"/><Relationship Id="rId1762" Type="http://schemas.openxmlformats.org/officeDocument/2006/relationships/hyperlink" Target="https://filmfreeway.com/PolishFilmFestivalLosAngeles" TargetMode="External"/><Relationship Id="rId62" Type="http://schemas.openxmlformats.org/officeDocument/2006/relationships/hyperlink" Target="http://www.animalfilmfestival.org/" TargetMode="External"/><Relationship Id="rId1312" Type="http://schemas.openxmlformats.org/officeDocument/2006/relationships/hyperlink" Target="https://maps.google.com/?q=Malibu%2C+CA+90265+United+States" TargetMode="External"/><Relationship Id="rId1796" Type="http://schemas.openxmlformats.org/officeDocument/2006/relationships/hyperlink" Target="http://www.postalleyfilmfestival.com/" TargetMode="External"/><Relationship Id="rId61" Type="http://schemas.openxmlformats.org/officeDocument/2006/relationships/hyperlink" Target="https://filmfreeway.com/Anim8" TargetMode="External"/><Relationship Id="rId1313" Type="http://schemas.openxmlformats.org/officeDocument/2006/relationships/hyperlink" Target="http://www.malibufilmfestival.com/" TargetMode="External"/><Relationship Id="rId1797" Type="http://schemas.openxmlformats.org/officeDocument/2006/relationships/hyperlink" Target="https://filmfreeway.com/PostAlleyFilmFestival" TargetMode="External"/><Relationship Id="rId64" Type="http://schemas.openxmlformats.org/officeDocument/2006/relationships/hyperlink" Target="https://maps.google.com/?q=1505+W+Saint+Mary%26%2339%3Bs+Road+%23+172+Tucson%2C+AZ+85745+United+States" TargetMode="External"/><Relationship Id="rId1314" Type="http://schemas.openxmlformats.org/officeDocument/2006/relationships/hyperlink" Target="https://filmfreeway.com/malibu" TargetMode="External"/><Relationship Id="rId1798" Type="http://schemas.openxmlformats.org/officeDocument/2006/relationships/hyperlink" Target="http://prescottfilmfestival.com/" TargetMode="External"/><Relationship Id="rId63" Type="http://schemas.openxmlformats.org/officeDocument/2006/relationships/hyperlink" Target="https://filmfreeway.com/AnimalFilmFestival" TargetMode="External"/><Relationship Id="rId1315" Type="http://schemas.openxmlformats.org/officeDocument/2006/relationships/hyperlink" Target="https://filmfreeway.com/malibu" TargetMode="External"/><Relationship Id="rId1799" Type="http://schemas.openxmlformats.org/officeDocument/2006/relationships/hyperlink" Target="https://filmfreeway.com/PrescottFilmFestival" TargetMode="External"/><Relationship Id="rId66" Type="http://schemas.openxmlformats.org/officeDocument/2006/relationships/hyperlink" Target="https://filmfreeway.com/AnimatedArizonaFilmFestival" TargetMode="External"/><Relationship Id="rId1316" Type="http://schemas.openxmlformats.org/officeDocument/2006/relationships/hyperlink" Target="https://maps.google.com/?q=P.O.+Box+1815+Mammoth+Lakes%2C+CA+93546+United+States" TargetMode="External"/><Relationship Id="rId65" Type="http://schemas.openxmlformats.org/officeDocument/2006/relationships/hyperlink" Target="http://animatedarizona.wixsite.com/aaff" TargetMode="External"/><Relationship Id="rId1317" Type="http://schemas.openxmlformats.org/officeDocument/2006/relationships/hyperlink" Target="https://www.mammothlakesfilmfestival.com/" TargetMode="External"/><Relationship Id="rId68" Type="http://schemas.openxmlformats.org/officeDocument/2006/relationships/hyperlink" Target="http://www.animationblock.com/" TargetMode="External"/><Relationship Id="rId1318" Type="http://schemas.openxmlformats.org/officeDocument/2006/relationships/hyperlink" Target="https://filmfreeway.com/MammothLakesFilmFestival" TargetMode="External"/><Relationship Id="rId67" Type="http://schemas.openxmlformats.org/officeDocument/2006/relationships/hyperlink" Target="http://www.animationblock.com/" TargetMode="External"/><Relationship Id="rId1319" Type="http://schemas.openxmlformats.org/officeDocument/2006/relationships/hyperlink" Target="https://maps.google.com/?q=350+Fifth+Avenue+59th+Floor+New+York%2C+NY+10118+United+States" TargetMode="External"/><Relationship Id="rId729" Type="http://schemas.openxmlformats.org/officeDocument/2006/relationships/hyperlink" Target="https://filmfreeway.com/FestivalAngaelica" TargetMode="External"/><Relationship Id="rId728" Type="http://schemas.openxmlformats.org/officeDocument/2006/relationships/hyperlink" Target="http://www.angaelica.com/" TargetMode="External"/><Relationship Id="rId60" Type="http://schemas.openxmlformats.org/officeDocument/2006/relationships/hyperlink" Target="http://www.afterhoursfilmsociety.com/" TargetMode="External"/><Relationship Id="rId723" Type="http://schemas.openxmlformats.org/officeDocument/2006/relationships/hyperlink" Target="https://filmfreeway.com/FearNoFilm" TargetMode="External"/><Relationship Id="rId722" Type="http://schemas.openxmlformats.org/officeDocument/2006/relationships/hyperlink" Target="https://uaf.org/" TargetMode="External"/><Relationship Id="rId721" Type="http://schemas.openxmlformats.org/officeDocument/2006/relationships/hyperlink" Target="https://maps.google.com/?q=230+South+500+West+%23120+Salt+Lake+City%2C+Utah+84101+United+States" TargetMode="External"/><Relationship Id="rId720" Type="http://schemas.openxmlformats.org/officeDocument/2006/relationships/hyperlink" Target="https://filmfreeway.com/FearFete" TargetMode="External"/><Relationship Id="rId727" Type="http://schemas.openxmlformats.org/officeDocument/2006/relationships/hyperlink" Target="https://filmfreeway.com/FeministBorderArtsFilmFestival" TargetMode="External"/><Relationship Id="rId726" Type="http://schemas.openxmlformats.org/officeDocument/2006/relationships/hyperlink" Target="https://genders.nmsu.edu/film-festival/" TargetMode="External"/><Relationship Id="rId725" Type="http://schemas.openxmlformats.org/officeDocument/2006/relationships/hyperlink" Target="https://filmfreeway.com/FEARnyc/" TargetMode="External"/><Relationship Id="rId724" Type="http://schemas.openxmlformats.org/officeDocument/2006/relationships/hyperlink" Target="https://www.fearnyc.com" TargetMode="External"/><Relationship Id="rId69" Type="http://schemas.openxmlformats.org/officeDocument/2006/relationships/hyperlink" Target="https://filmfreeway.com/AnimationBlockParty" TargetMode="External"/><Relationship Id="rId1790" Type="http://schemas.openxmlformats.org/officeDocument/2006/relationships/hyperlink" Target="https://puffpdx.org/" TargetMode="External"/><Relationship Id="rId1791" Type="http://schemas.openxmlformats.org/officeDocument/2006/relationships/hyperlink" Target="https://puffpdx.org/submit" TargetMode="External"/><Relationship Id="rId1792" Type="http://schemas.openxmlformats.org/officeDocument/2006/relationships/hyperlink" Target="http://www.portlandunknown.com/" TargetMode="External"/><Relationship Id="rId1793" Type="http://schemas.openxmlformats.org/officeDocument/2006/relationships/hyperlink" Target="https://filmfreeway.com/PortlandUnknownFilmFestival" TargetMode="External"/><Relationship Id="rId1310" Type="http://schemas.openxmlformats.org/officeDocument/2006/relationships/hyperlink" Target="http://maineoutdoorfilmfestival.com/" TargetMode="External"/><Relationship Id="rId1794" Type="http://schemas.openxmlformats.org/officeDocument/2006/relationships/hyperlink" Target="https://maps.google.com/?q=SIFF+Film+Center+305+Harrison+Street+Seattle%2C+WA+98109+United+States" TargetMode="External"/><Relationship Id="rId1311" Type="http://schemas.openxmlformats.org/officeDocument/2006/relationships/hyperlink" Target="https://filmfreeway.com/MaineOutdoorFilmFest" TargetMode="External"/><Relationship Id="rId1795" Type="http://schemas.openxmlformats.org/officeDocument/2006/relationships/hyperlink" Target="http://www.postalleyfilmfestival.com/" TargetMode="External"/><Relationship Id="rId51" Type="http://schemas.openxmlformats.org/officeDocument/2006/relationships/hyperlink" Target="https://maps.google.com/?q=2940+-+16th++Street%2C+Suite+304+San+Francisco%2C+CA+94103+United+States" TargetMode="External"/><Relationship Id="rId1301" Type="http://schemas.openxmlformats.org/officeDocument/2006/relationships/hyperlink" Target="http://magnoliafilmfest.com/" TargetMode="External"/><Relationship Id="rId1785" Type="http://schemas.openxmlformats.org/officeDocument/2006/relationships/hyperlink" Target="https://filmfreeway.com/PIFF" TargetMode="External"/><Relationship Id="rId50" Type="http://schemas.openxmlformats.org/officeDocument/2006/relationships/hyperlink" Target="https://filmfreeway.com/AmericanHorrorFilmFestival" TargetMode="External"/><Relationship Id="rId1302" Type="http://schemas.openxmlformats.org/officeDocument/2006/relationships/hyperlink" Target="https://filmfreeway.com/MagnoliaIndependentFilmFestival" TargetMode="External"/><Relationship Id="rId1786" Type="http://schemas.openxmlformats.org/officeDocument/2006/relationships/hyperlink" Target="https://nwfilm.org/festival-family/pjff/" TargetMode="External"/><Relationship Id="rId53" Type="http://schemas.openxmlformats.org/officeDocument/2006/relationships/hyperlink" Target="https://www.aifisf.com/" TargetMode="External"/><Relationship Id="rId1303" Type="http://schemas.openxmlformats.org/officeDocument/2006/relationships/hyperlink" Target="https://maps.google.com/?q=10+Water+St.+Suite+106+Waterville%2C+ME+04901+United+States" TargetMode="External"/><Relationship Id="rId1787" Type="http://schemas.openxmlformats.org/officeDocument/2006/relationships/hyperlink" Target="https://maps.google.com/?q=4824+NE+42nd+%23127+Portland%2C+Oregon+97218+United+States" TargetMode="External"/><Relationship Id="rId52" Type="http://schemas.openxmlformats.org/officeDocument/2006/relationships/hyperlink" Target="http://festival.aifisf.com/" TargetMode="External"/><Relationship Id="rId1304" Type="http://schemas.openxmlformats.org/officeDocument/2006/relationships/hyperlink" Target="http://www.miff.org/" TargetMode="External"/><Relationship Id="rId1788" Type="http://schemas.openxmlformats.org/officeDocument/2006/relationships/hyperlink" Target="https://powfilmfest.com/" TargetMode="External"/><Relationship Id="rId55" Type="http://schemas.openxmlformats.org/officeDocument/2006/relationships/hyperlink" Target="https://www.americanyouthfilmfest.org/" TargetMode="External"/><Relationship Id="rId1305" Type="http://schemas.openxmlformats.org/officeDocument/2006/relationships/hyperlink" Target="https://www.miff.org/" TargetMode="External"/><Relationship Id="rId1789" Type="http://schemas.openxmlformats.org/officeDocument/2006/relationships/hyperlink" Target="https://filmfreeway.com/ThePortlandOregonWomensFilmFestivalPOWFilmFest" TargetMode="External"/><Relationship Id="rId54" Type="http://schemas.openxmlformats.org/officeDocument/2006/relationships/hyperlink" Target="https://filmfreeway.com/AIFF" TargetMode="External"/><Relationship Id="rId1306" Type="http://schemas.openxmlformats.org/officeDocument/2006/relationships/hyperlink" Target="https://filmfreeway.com/MIFF" TargetMode="External"/><Relationship Id="rId57" Type="http://schemas.openxmlformats.org/officeDocument/2006/relationships/hyperlink" Target="https://maps.google.com/?q=200+W+34th+Ave%2C+PMB+%23136+Anchorage%2C+AK+99503+United+States" TargetMode="External"/><Relationship Id="rId1307" Type="http://schemas.openxmlformats.org/officeDocument/2006/relationships/hyperlink" Target="http://www.mjff.org/" TargetMode="External"/><Relationship Id="rId56" Type="http://schemas.openxmlformats.org/officeDocument/2006/relationships/hyperlink" Target="https://filmfreeway.com/AmericanYouthFilmFestival" TargetMode="External"/><Relationship Id="rId1308" Type="http://schemas.openxmlformats.org/officeDocument/2006/relationships/hyperlink" Target="http://www.mjff.org/" TargetMode="External"/><Relationship Id="rId1309" Type="http://schemas.openxmlformats.org/officeDocument/2006/relationships/hyperlink" Target="https://maps.google.com/?q=222+St+John+St+Suite+2G+Portland%2C+Maine+04102+United+States" TargetMode="External"/><Relationship Id="rId719" Type="http://schemas.openxmlformats.org/officeDocument/2006/relationships/hyperlink" Target="http://www.fearfete.com" TargetMode="External"/><Relationship Id="rId718" Type="http://schemas.openxmlformats.org/officeDocument/2006/relationships/hyperlink" Target="http://www.fearfete.com/" TargetMode="External"/><Relationship Id="rId717" Type="http://schemas.openxmlformats.org/officeDocument/2006/relationships/hyperlink" Target="https://filmfreeway.com/FayettevilleFilmFest" TargetMode="External"/><Relationship Id="rId712" Type="http://schemas.openxmlformats.org/officeDocument/2006/relationships/hyperlink" Target="https://filmfreeway.com/FargoFilmFestival" TargetMode="External"/><Relationship Id="rId711" Type="http://schemas.openxmlformats.org/officeDocument/2006/relationships/hyperlink" Target="http://www.fargofilmfestival.com" TargetMode="External"/><Relationship Id="rId710" Type="http://schemas.openxmlformats.org/officeDocument/2006/relationships/hyperlink" Target="https://maps.google.com/?q=314+Broadway+Fargo%2C+ND+58102+United+States" TargetMode="External"/><Relationship Id="rId716" Type="http://schemas.openxmlformats.org/officeDocument/2006/relationships/hyperlink" Target="http://www.fayettevillefilmfest.org/" TargetMode="External"/><Relationship Id="rId715" Type="http://schemas.openxmlformats.org/officeDocument/2006/relationships/hyperlink" Target="https://maps.google.com/?q=FAYETTEVILLE+FILM+FEST+PO+BOX+1591+Fayetteville%2C+AR+72702+United+States" TargetMode="External"/><Relationship Id="rId714" Type="http://schemas.openxmlformats.org/officeDocument/2006/relationships/hyperlink" Target="https://filmfreeway.com/FashionFilmFestivalChicago" TargetMode="External"/><Relationship Id="rId713" Type="http://schemas.openxmlformats.org/officeDocument/2006/relationships/hyperlink" Target="http://www.fashionfilmfestivalchicago.com/" TargetMode="External"/><Relationship Id="rId59" Type="http://schemas.openxmlformats.org/officeDocument/2006/relationships/hyperlink" Target="https://filmfreeway.com/AnchorageInternationalFilmFestival" TargetMode="External"/><Relationship Id="rId58" Type="http://schemas.openxmlformats.org/officeDocument/2006/relationships/hyperlink" Target="http://anchoragefilmfestival.org/" TargetMode="External"/><Relationship Id="rId1780" Type="http://schemas.openxmlformats.org/officeDocument/2006/relationships/hyperlink" Target="https://maps.google.com/?q=PHFF+c%2Fo+Sigh+Co.+Graphics+4110+SE+Hawthorne+Blvd+%23169+Portland%2C+Oregon+97214+United+States" TargetMode="External"/><Relationship Id="rId1781" Type="http://schemas.openxmlformats.org/officeDocument/2006/relationships/hyperlink" Target="https://portlandhorrorfilmfestival.com/" TargetMode="External"/><Relationship Id="rId1782" Type="http://schemas.openxmlformats.org/officeDocument/2006/relationships/hyperlink" Target="https://filmfreeway.com/PortlandHorrorFilmFestival" TargetMode="External"/><Relationship Id="rId1783" Type="http://schemas.openxmlformats.org/officeDocument/2006/relationships/hyperlink" Target="https://maps.google.com/?q=1219+SW+Park+Avenue+Portland%2C+OR+97205+United+States" TargetMode="External"/><Relationship Id="rId1300" Type="http://schemas.openxmlformats.org/officeDocument/2006/relationships/hyperlink" Target="https://filmfreeway.com/MaconFilmFest" TargetMode="External"/><Relationship Id="rId1784" Type="http://schemas.openxmlformats.org/officeDocument/2006/relationships/hyperlink" Target="http://www.nwfilm.org/festivals/piff" TargetMode="External"/><Relationship Id="rId2269" Type="http://schemas.openxmlformats.org/officeDocument/2006/relationships/hyperlink" Target="https://filmfreeway.com/SunValleyFilmFestival" TargetMode="External"/><Relationship Id="rId349" Type="http://schemas.openxmlformats.org/officeDocument/2006/relationships/hyperlink" Target="https://filmfreeway.com/ButchCassidyFilmFestival" TargetMode="External"/><Relationship Id="rId348" Type="http://schemas.openxmlformats.org/officeDocument/2006/relationships/hyperlink" Target="http://helperartsfest.com/" TargetMode="External"/><Relationship Id="rId347" Type="http://schemas.openxmlformats.org/officeDocument/2006/relationships/hyperlink" Target="https://filmfreeway.com/BUSHWICKFILMFESTIVAL" TargetMode="External"/><Relationship Id="rId346" Type="http://schemas.openxmlformats.org/officeDocument/2006/relationships/hyperlink" Target="https://www.bushwickfilmfestival.com/" TargetMode="External"/><Relationship Id="rId2260" Type="http://schemas.openxmlformats.org/officeDocument/2006/relationships/hyperlink" Target="http://www.stljewishfilmfestival.org/" TargetMode="External"/><Relationship Id="rId341" Type="http://schemas.openxmlformats.org/officeDocument/2006/relationships/hyperlink" Target="https://www.burbankfilmfest.org/" TargetMode="External"/><Relationship Id="rId2261" Type="http://schemas.openxmlformats.org/officeDocument/2006/relationships/hyperlink" Target="https://jccstl.com/arts-ideas/st-louis-jewish-film-festival/" TargetMode="External"/><Relationship Id="rId340" Type="http://schemas.openxmlformats.org/officeDocument/2006/relationships/hyperlink" Target="https://filmfreeway.com/BuffaloNiagaraInternationalFilmFestival" TargetMode="External"/><Relationship Id="rId2262" Type="http://schemas.openxmlformats.org/officeDocument/2006/relationships/hyperlink" Target="http://www.stonybrookfilmfestival.com/" TargetMode="External"/><Relationship Id="rId2263" Type="http://schemas.openxmlformats.org/officeDocument/2006/relationships/hyperlink" Target="https://www.stonybrookfilmfestival.com/" TargetMode="External"/><Relationship Id="rId2264" Type="http://schemas.openxmlformats.org/officeDocument/2006/relationships/hyperlink" Target="https://filmfreeway.com/StonyBrookFilmFestival" TargetMode="External"/><Relationship Id="rId345" Type="http://schemas.openxmlformats.org/officeDocument/2006/relationships/hyperlink" Target="https://maps.google.com/?q=100+Bogart+St+Brooklyn%2C+NY+11206+United+States" TargetMode="External"/><Relationship Id="rId2265" Type="http://schemas.openxmlformats.org/officeDocument/2006/relationships/hyperlink" Target="https://www.studiocityfest.com/" TargetMode="External"/><Relationship Id="rId344" Type="http://schemas.openxmlformats.org/officeDocument/2006/relationships/hyperlink" Target="https://filmfreeway.com/BuriedAliveFIlmFestival" TargetMode="External"/><Relationship Id="rId2266" Type="http://schemas.openxmlformats.org/officeDocument/2006/relationships/hyperlink" Target="https://filmfreeway.com/StudioCityFilmFestival" TargetMode="External"/><Relationship Id="rId343" Type="http://schemas.openxmlformats.org/officeDocument/2006/relationships/hyperlink" Target="http://buriedalivefilmfest.com/" TargetMode="External"/><Relationship Id="rId2267" Type="http://schemas.openxmlformats.org/officeDocument/2006/relationships/hyperlink" Target="http://sunvalleyfilmfestival.org/" TargetMode="External"/><Relationship Id="rId342" Type="http://schemas.openxmlformats.org/officeDocument/2006/relationships/hyperlink" Target="https://filmfreeway.com/BurbankInternationalFilmFestival" TargetMode="External"/><Relationship Id="rId2268" Type="http://schemas.openxmlformats.org/officeDocument/2006/relationships/hyperlink" Target="https://sunvalleyfilmfestival.org/" TargetMode="External"/><Relationship Id="rId2258" Type="http://schemas.openxmlformats.org/officeDocument/2006/relationships/hyperlink" Target="https://maps.google.com/?q=3547+Olive+St.+Suite+260+St.+Louis%2C+MO+63103+United+States" TargetMode="External"/><Relationship Id="rId2259" Type="http://schemas.openxmlformats.org/officeDocument/2006/relationships/hyperlink" Target="http://www.cinemastlouis.org/" TargetMode="External"/><Relationship Id="rId338" Type="http://schemas.openxmlformats.org/officeDocument/2006/relationships/hyperlink" Target="https://maps.google.com/?q=3840+E.+Robinson+Rd.+Ste+166+Amherst%2C+NY+14228+United+States" TargetMode="External"/><Relationship Id="rId337" Type="http://schemas.openxmlformats.org/officeDocument/2006/relationships/hyperlink" Target="https://filmfreeway.com/buffalofilm" TargetMode="External"/><Relationship Id="rId336" Type="http://schemas.openxmlformats.org/officeDocument/2006/relationships/hyperlink" Target="https://www.buffalofilm.org/" TargetMode="External"/><Relationship Id="rId335" Type="http://schemas.openxmlformats.org/officeDocument/2006/relationships/hyperlink" Target="https://filmfreeway.com/BuffaloDreamsFantasticFilmFestival" TargetMode="External"/><Relationship Id="rId339" Type="http://schemas.openxmlformats.org/officeDocument/2006/relationships/hyperlink" Target="http://thebnff.com" TargetMode="External"/><Relationship Id="rId330" Type="http://schemas.openxmlformats.org/officeDocument/2006/relationships/hyperlink" Target="https://www.brooklynshortfilmfestival.com/" TargetMode="External"/><Relationship Id="rId2250" Type="http://schemas.openxmlformats.org/officeDocument/2006/relationships/hyperlink" Target="http://ssuindiefilmfest.weebly.com/" TargetMode="External"/><Relationship Id="rId2251" Type="http://schemas.openxmlformats.org/officeDocument/2006/relationships/hyperlink" Target="https://filmfreeway.com/SSUIndieFilmFestival" TargetMode="External"/><Relationship Id="rId2252" Type="http://schemas.openxmlformats.org/officeDocument/2006/relationships/hyperlink" Target="https://maps.google.com/?q=804+W+St+Germain+St+St+Cloud%2C+MN+56301+United+States" TargetMode="External"/><Relationship Id="rId2253" Type="http://schemas.openxmlformats.org/officeDocument/2006/relationships/hyperlink" Target="http://www.stcloudfilmfest.com/" TargetMode="External"/><Relationship Id="rId334" Type="http://schemas.openxmlformats.org/officeDocument/2006/relationships/hyperlink" Target="http://buffalodreamsfilmfest.com/" TargetMode="External"/><Relationship Id="rId2254" Type="http://schemas.openxmlformats.org/officeDocument/2006/relationships/hyperlink" Target="https://filmfreeway.com/StCloudFilmFest" TargetMode="External"/><Relationship Id="rId333" Type="http://schemas.openxmlformats.org/officeDocument/2006/relationships/hyperlink" Target="https://filmfreeway.com/BrooklynWomensFilmFestival" TargetMode="External"/><Relationship Id="rId2255" Type="http://schemas.openxmlformats.org/officeDocument/2006/relationships/hyperlink" Target="https://maps.google.com/?q=180+REMSEN+STREET+Brooklyn+Heights%2C+NY+11201-9902+United+States" TargetMode="External"/><Relationship Id="rId332" Type="http://schemas.openxmlformats.org/officeDocument/2006/relationships/hyperlink" Target="http://www.brooklynwomensfilmfestival.com/" TargetMode="External"/><Relationship Id="rId2256" Type="http://schemas.openxmlformats.org/officeDocument/2006/relationships/hyperlink" Target="https://www.sfc.edu/academics/undergraduate/communicationarts/womensfilmfest" TargetMode="External"/><Relationship Id="rId331" Type="http://schemas.openxmlformats.org/officeDocument/2006/relationships/hyperlink" Target="https://filmfreeway.com/BrooklynShorts" TargetMode="External"/><Relationship Id="rId2257" Type="http://schemas.openxmlformats.org/officeDocument/2006/relationships/hyperlink" Target="https://filmfreeway.com/StFrancisCollegeWomensFilmFestival" TargetMode="External"/><Relationship Id="rId370" Type="http://schemas.openxmlformats.org/officeDocument/2006/relationships/hyperlink" Target="https://maps.google.com/?q=341+S.+College+Rd+++Ste.+11+PMB+3006+Wilmington%2C+NC+28403+United+States" TargetMode="External"/><Relationship Id="rId369" Type="http://schemas.openxmlformats.org/officeDocument/2006/relationships/hyperlink" Target="https://filmfreeway.com/CapeCodIFF" TargetMode="External"/><Relationship Id="rId368" Type="http://schemas.openxmlformats.org/officeDocument/2006/relationships/hyperlink" Target="https://capecodfilmfest.squarespace.com" TargetMode="External"/><Relationship Id="rId2280" Type="http://schemas.openxmlformats.org/officeDocument/2006/relationships/hyperlink" Target="http://www.sunsetfilmfestival.com/" TargetMode="External"/><Relationship Id="rId2281" Type="http://schemas.openxmlformats.org/officeDocument/2006/relationships/hyperlink" Target="https://filmfreeway.com/SunsetFilmFestivalLosAngeles" TargetMode="External"/><Relationship Id="rId2282" Type="http://schemas.openxmlformats.org/officeDocument/2006/relationships/hyperlink" Target="http://www.sunshinecityfilmfestival.com/" TargetMode="External"/><Relationship Id="rId363" Type="http://schemas.openxmlformats.org/officeDocument/2006/relationships/hyperlink" Target="https://pointsnorthinstitute.org/ciff/" TargetMode="External"/><Relationship Id="rId2283" Type="http://schemas.openxmlformats.org/officeDocument/2006/relationships/hyperlink" Target="https://filmfreeway.com/SunshineCityFilmFestival-1" TargetMode="External"/><Relationship Id="rId362" Type="http://schemas.openxmlformats.org/officeDocument/2006/relationships/hyperlink" Target="http://www.cambriafilmfestival.com" TargetMode="External"/><Relationship Id="rId2284" Type="http://schemas.openxmlformats.org/officeDocument/2006/relationships/hyperlink" Target="https://maps.google.com/?q=1155+Market+Street+10th+Floor+San+Francisco%2C+CA+94103+United+States" TargetMode="External"/><Relationship Id="rId361" Type="http://schemas.openxmlformats.org/officeDocument/2006/relationships/hyperlink" Target="https://filmfreeway.com/CaliforniaIndependentFilmFestival" TargetMode="External"/><Relationship Id="rId2285" Type="http://schemas.openxmlformats.org/officeDocument/2006/relationships/hyperlink" Target="http://www.superfestfilm.com/" TargetMode="External"/><Relationship Id="rId360" Type="http://schemas.openxmlformats.org/officeDocument/2006/relationships/hyperlink" Target="https://www.caiff.org/" TargetMode="External"/><Relationship Id="rId2286" Type="http://schemas.openxmlformats.org/officeDocument/2006/relationships/hyperlink" Target="https://filmfreeway.com/Superfest" TargetMode="External"/><Relationship Id="rId367" Type="http://schemas.openxmlformats.org/officeDocument/2006/relationships/hyperlink" Target="https://filmfreeway.com/CantonFilmFestival2019" TargetMode="External"/><Relationship Id="rId2287" Type="http://schemas.openxmlformats.org/officeDocument/2006/relationships/hyperlink" Target="http://syrfilm.com" TargetMode="External"/><Relationship Id="rId366" Type="http://schemas.openxmlformats.org/officeDocument/2006/relationships/hyperlink" Target="https://www.cantonfilm.com/" TargetMode="External"/><Relationship Id="rId2288" Type="http://schemas.openxmlformats.org/officeDocument/2006/relationships/hyperlink" Target="https://maps.google.com/?q=606+S+Fawcett+AVE+Tacoma%2C+Washington+98402+United+States" TargetMode="External"/><Relationship Id="rId365" Type="http://schemas.openxmlformats.org/officeDocument/2006/relationships/hyperlink" Target="https://maps.google.com/?q=605+Market+Avenue+North%2C+Canton%2C+OH+44702+United+States" TargetMode="External"/><Relationship Id="rId2289" Type="http://schemas.openxmlformats.org/officeDocument/2006/relationships/hyperlink" Target="http://www.tacomafilmfestival.com/" TargetMode="External"/><Relationship Id="rId364" Type="http://schemas.openxmlformats.org/officeDocument/2006/relationships/hyperlink" Target="https://filmfreeway.com/CamdenIFF" TargetMode="External"/><Relationship Id="rId95" Type="http://schemas.openxmlformats.org/officeDocument/2006/relationships/hyperlink" Target="http://www.filmfestivalarizona.com/" TargetMode="External"/><Relationship Id="rId94" Type="http://schemas.openxmlformats.org/officeDocument/2006/relationships/hyperlink" Target="https://maps.google.com/?q=PO+Box+431+Tucson%2C+AZ+85702+United+States" TargetMode="External"/><Relationship Id="rId97" Type="http://schemas.openxmlformats.org/officeDocument/2006/relationships/hyperlink" Target="https://filmfreeway.com/ArizonaInternationalFilmFestival" TargetMode="External"/><Relationship Id="rId96" Type="http://schemas.openxmlformats.org/officeDocument/2006/relationships/hyperlink" Target="http://www.filmfestivalarizona.com/" TargetMode="External"/><Relationship Id="rId99" Type="http://schemas.openxmlformats.org/officeDocument/2006/relationships/hyperlink" Target="https://filmfreeway.com/ArizonaUndergroundFilmFestival" TargetMode="External"/><Relationship Id="rId98" Type="http://schemas.openxmlformats.org/officeDocument/2006/relationships/hyperlink" Target="http://www.azundergroundfilmfest.com/" TargetMode="External"/><Relationship Id="rId91" Type="http://schemas.openxmlformats.org/officeDocument/2006/relationships/hyperlink" Target="https://maps.google.com/?q=4147+E+Amazon+Dr+Eugene%2C+OR+97405+United+States" TargetMode="External"/><Relationship Id="rId90" Type="http://schemas.openxmlformats.org/officeDocument/2006/relationships/hyperlink" Target="http://filmfestdc.org/arabiansights" TargetMode="External"/><Relationship Id="rId93" Type="http://schemas.openxmlformats.org/officeDocument/2006/relationships/hyperlink" Target="https://filmfreeway.com/thearchaeologychannelfilmfestival" TargetMode="External"/><Relationship Id="rId92" Type="http://schemas.openxmlformats.org/officeDocument/2006/relationships/hyperlink" Target="https://www.archaeologychannel.org/events-guide/tac-international-film-festival/international-film-festival" TargetMode="External"/><Relationship Id="rId359" Type="http://schemas.openxmlformats.org/officeDocument/2006/relationships/hyperlink" Target="https://maps.google.com/?q=P.O.+Box+302+Danville%2C+CA+94526+United+States" TargetMode="External"/><Relationship Id="rId358" Type="http://schemas.openxmlformats.org/officeDocument/2006/relationships/hyperlink" Target="https://filmfreeway.com/CalabasasFilmFestival" TargetMode="External"/><Relationship Id="rId357" Type="http://schemas.openxmlformats.org/officeDocument/2006/relationships/hyperlink" Target="http://www.calabasasfilmfestival.com/" TargetMode="External"/><Relationship Id="rId2270" Type="http://schemas.openxmlformats.org/officeDocument/2006/relationships/hyperlink" Target="http://www.sundance.org/festivals/sundance-film-festival" TargetMode="External"/><Relationship Id="rId2271" Type="http://schemas.openxmlformats.org/officeDocument/2006/relationships/hyperlink" Target="https://filmfreeway.com/Sundance" TargetMode="External"/><Relationship Id="rId352" Type="http://schemas.openxmlformats.org/officeDocument/2006/relationships/hyperlink" Target="http://bozemanfilmcelebration.com/" TargetMode="External"/><Relationship Id="rId2272" Type="http://schemas.openxmlformats.org/officeDocument/2006/relationships/hyperlink" Target="https://www.sundialfilmfestival.com/" TargetMode="External"/><Relationship Id="rId351" Type="http://schemas.openxmlformats.org/officeDocument/2006/relationships/hyperlink" Target="https://maps.google.com/?q=C%2FO+Old+Main+Gallery+129+East+Main+Street+Bozeman%2C+MT+59715+United+States" TargetMode="External"/><Relationship Id="rId2273" Type="http://schemas.openxmlformats.org/officeDocument/2006/relationships/hyperlink" Target="https://filmfreeway.com/SundialFilmFestival" TargetMode="External"/><Relationship Id="rId350" Type="http://schemas.openxmlformats.org/officeDocument/2006/relationships/hyperlink" Target="https://nwfilmforum.org/festivals/bydesign-art-design-architecture-festival" TargetMode="External"/><Relationship Id="rId2274" Type="http://schemas.openxmlformats.org/officeDocument/2006/relationships/hyperlink" Target="http://www.sunnysideshorts.com" TargetMode="External"/><Relationship Id="rId2275" Type="http://schemas.openxmlformats.org/officeDocument/2006/relationships/hyperlink" Target="https://filmfreeway.com/SunnysideShortsFilmFestival2020" TargetMode="External"/><Relationship Id="rId356" Type="http://schemas.openxmlformats.org/officeDocument/2006/relationships/hyperlink" Target="https://filmfreeway.com/CAAMFest" TargetMode="External"/><Relationship Id="rId2276" Type="http://schemas.openxmlformats.org/officeDocument/2006/relationships/hyperlink" Target="https://maps.google.com/?q=1600+Rosecrans+4th+Floor+Bldg.+7+Manhattan+Beach%2C+CA+90266+United+States" TargetMode="External"/><Relationship Id="rId355" Type="http://schemas.openxmlformats.org/officeDocument/2006/relationships/hyperlink" Target="https://caamfest.com/" TargetMode="External"/><Relationship Id="rId2277" Type="http://schemas.openxmlformats.org/officeDocument/2006/relationships/hyperlink" Target="http://ssffwest.com/" TargetMode="External"/><Relationship Id="rId354" Type="http://schemas.openxmlformats.org/officeDocument/2006/relationships/hyperlink" Target="https://maps.google.com/?q=145+Ninth+St+%23350+San+Francisco%2C+California+94103+United+States" TargetMode="External"/><Relationship Id="rId2278" Type="http://schemas.openxmlformats.org/officeDocument/2006/relationships/hyperlink" Target="https://filmfreeway.com/SunscreenWest" TargetMode="External"/><Relationship Id="rId353" Type="http://schemas.openxmlformats.org/officeDocument/2006/relationships/hyperlink" Target="https://filmfreeway.com/WomenBIFF" TargetMode="External"/><Relationship Id="rId2279" Type="http://schemas.openxmlformats.org/officeDocument/2006/relationships/hyperlink" Target="https://maps.google.com/?q=Los+Angeles%2C+CA+91367+United+States" TargetMode="External"/><Relationship Id="rId1378" Type="http://schemas.openxmlformats.org/officeDocument/2006/relationships/hyperlink" Target="http://www.midwestweirdfest.com/" TargetMode="External"/><Relationship Id="rId2225" Type="http://schemas.openxmlformats.org/officeDocument/2006/relationships/hyperlink" Target="https://filmfreeway.com/SoutheasternFilmFestival" TargetMode="External"/><Relationship Id="rId1379" Type="http://schemas.openxmlformats.org/officeDocument/2006/relationships/hyperlink" Target="http://www.midwestweirdfest.com/" TargetMode="External"/><Relationship Id="rId2226" Type="http://schemas.openxmlformats.org/officeDocument/2006/relationships/hyperlink" Target="http://www.willcoxfilmfest.com/SAIFF/" TargetMode="External"/><Relationship Id="rId2227" Type="http://schemas.openxmlformats.org/officeDocument/2006/relationships/hyperlink" Target="https://filmfreeway.com/SouthernArizonaIndependentFilmFestival" TargetMode="External"/><Relationship Id="rId2228" Type="http://schemas.openxmlformats.org/officeDocument/2006/relationships/hyperlink" Target="http://southernscreen.org/" TargetMode="External"/><Relationship Id="rId2229" Type="http://schemas.openxmlformats.org/officeDocument/2006/relationships/hyperlink" Target="https://www.spenational.org/spe-media-festival" TargetMode="External"/><Relationship Id="rId305" Type="http://schemas.openxmlformats.org/officeDocument/2006/relationships/hyperlink" Target="https://maps.google.com/?q=2338+Broadway+Street+Boulder%2C+CO+80304+United+States" TargetMode="External"/><Relationship Id="rId789" Type="http://schemas.openxmlformats.org/officeDocument/2006/relationships/hyperlink" Target="https://www.thefoodfilmfestival.com/" TargetMode="External"/><Relationship Id="rId304" Type="http://schemas.openxmlformats.org/officeDocument/2006/relationships/hyperlink" Target="https://filmfreeway.com/BostonUndergroundFilmFestival" TargetMode="External"/><Relationship Id="rId788" Type="http://schemas.openxmlformats.org/officeDocument/2006/relationships/hyperlink" Target="https://filmfreeway.com/TheFlywayFilmFestival" TargetMode="External"/><Relationship Id="rId303" Type="http://schemas.openxmlformats.org/officeDocument/2006/relationships/hyperlink" Target="http://bostonunderground.org/" TargetMode="External"/><Relationship Id="rId787" Type="http://schemas.openxmlformats.org/officeDocument/2006/relationships/hyperlink" Target="https://www.flywayfilmfestival.org/" TargetMode="External"/><Relationship Id="rId302" Type="http://schemas.openxmlformats.org/officeDocument/2006/relationships/hyperlink" Target="http://bostonunderground.org/" TargetMode="External"/><Relationship Id="rId786" Type="http://schemas.openxmlformats.org/officeDocument/2006/relationships/hyperlink" Target="https://maps.google.com/?q=408+Second+Street+Pepin%2C+WI+54759+United+States" TargetMode="External"/><Relationship Id="rId309" Type="http://schemas.openxmlformats.org/officeDocument/2006/relationships/hyperlink" Target="https://bovifilm.tk/" TargetMode="External"/><Relationship Id="rId308" Type="http://schemas.openxmlformats.org/officeDocument/2006/relationships/hyperlink" Target="https://filmfreeway.com/BoulderInternationalFIlmFestival" TargetMode="External"/><Relationship Id="rId307" Type="http://schemas.openxmlformats.org/officeDocument/2006/relationships/hyperlink" Target="http://www.biff1.com/" TargetMode="External"/><Relationship Id="rId306" Type="http://schemas.openxmlformats.org/officeDocument/2006/relationships/hyperlink" Target="http://www.biff1.com/" TargetMode="External"/><Relationship Id="rId781" Type="http://schemas.openxmlformats.org/officeDocument/2006/relationships/hyperlink" Target="https://www.floridaanimationfestival.com/" TargetMode="External"/><Relationship Id="rId1370" Type="http://schemas.openxmlformats.org/officeDocument/2006/relationships/hyperlink" Target="https://filmfreeway.com/MiamiJewishFilmFestival" TargetMode="External"/><Relationship Id="rId780" Type="http://schemas.openxmlformats.org/officeDocument/2006/relationships/hyperlink" Target="https://maps.google.com/?q=All+Saints+Cinema+918+Railroad+Avenue+Tallahassee%2C+Florida+32310+United+States" TargetMode="External"/><Relationship Id="rId1371" Type="http://schemas.openxmlformats.org/officeDocument/2006/relationships/hyperlink" Target="http://www.miamishortfilmfestival.com/" TargetMode="External"/><Relationship Id="rId1372" Type="http://schemas.openxmlformats.org/officeDocument/2006/relationships/hyperlink" Target="http://www.miamishortfilmfestival.com/" TargetMode="External"/><Relationship Id="rId1373" Type="http://schemas.openxmlformats.org/officeDocument/2006/relationships/hyperlink" Target="https://filmfreeway.com/MIAMISHORTFILMFESTIVAL" TargetMode="External"/><Relationship Id="rId2220" Type="http://schemas.openxmlformats.org/officeDocument/2006/relationships/hyperlink" Target="https://filmfreeway.com/STXIFF" TargetMode="External"/><Relationship Id="rId301" Type="http://schemas.openxmlformats.org/officeDocument/2006/relationships/hyperlink" Target="https://maps.google.com/?q=Six+Liberty+Square+Unit+287+Boston%2C+MA+02109+United+States" TargetMode="External"/><Relationship Id="rId785" Type="http://schemas.openxmlformats.org/officeDocument/2006/relationships/hyperlink" Target="https://www.louisvillefilmsociety.org/flyover/" TargetMode="External"/><Relationship Id="rId1374" Type="http://schemas.openxmlformats.org/officeDocument/2006/relationships/hyperlink" Target="https://www.middleburgfilm.org/" TargetMode="External"/><Relationship Id="rId2221" Type="http://schemas.openxmlformats.org/officeDocument/2006/relationships/hyperlink" Target="https://maps.google.com/?q=South+Texas+Underground+Film+3302+Austin+St+Corpus+Christi%2C+Texas+78411+United+States" TargetMode="External"/><Relationship Id="rId300" Type="http://schemas.openxmlformats.org/officeDocument/2006/relationships/hyperlink" Target="http://www.bostonturkishfilmfestival.org/" TargetMode="External"/><Relationship Id="rId784" Type="http://schemas.openxmlformats.org/officeDocument/2006/relationships/hyperlink" Target="https://filmfreeway.com/FloridaFilmFestival" TargetMode="External"/><Relationship Id="rId1375" Type="http://schemas.openxmlformats.org/officeDocument/2006/relationships/hyperlink" Target="https://filmfreeway.com/MiddleburgFilmFestival" TargetMode="External"/><Relationship Id="rId2222" Type="http://schemas.openxmlformats.org/officeDocument/2006/relationships/hyperlink" Target="http://www.stuftx.org/" TargetMode="External"/><Relationship Id="rId783" Type="http://schemas.openxmlformats.org/officeDocument/2006/relationships/hyperlink" Target="http://www.floridafilmfestival.com" TargetMode="External"/><Relationship Id="rId1376" Type="http://schemas.openxmlformats.org/officeDocument/2006/relationships/hyperlink" Target="https://middfilmfest.org/" TargetMode="External"/><Relationship Id="rId2223" Type="http://schemas.openxmlformats.org/officeDocument/2006/relationships/hyperlink" Target="https://filmfreeway.com/STUFtx" TargetMode="External"/><Relationship Id="rId782" Type="http://schemas.openxmlformats.org/officeDocument/2006/relationships/hyperlink" Target="https://filmfreeway.com/FloridaAnimationFestival" TargetMode="External"/><Relationship Id="rId1377" Type="http://schemas.openxmlformats.org/officeDocument/2006/relationships/hyperlink" Target="https://filmfreeway.com/MiddleburyNewFilmmakersFestival" TargetMode="External"/><Relationship Id="rId2224" Type="http://schemas.openxmlformats.org/officeDocument/2006/relationships/hyperlink" Target="http://southeasternfilm.com/" TargetMode="External"/><Relationship Id="rId1367" Type="http://schemas.openxmlformats.org/officeDocument/2006/relationships/hyperlink" Target="https://miscifi.com/" TargetMode="External"/><Relationship Id="rId2214" Type="http://schemas.openxmlformats.org/officeDocument/2006/relationships/hyperlink" Target="https://filmfreeway.com/SOUTHGEORGIAFILMFESTIVAL/" TargetMode="External"/><Relationship Id="rId1368" Type="http://schemas.openxmlformats.org/officeDocument/2006/relationships/hyperlink" Target="https://filmfreeway.com/miscifi" TargetMode="External"/><Relationship Id="rId2215" Type="http://schemas.openxmlformats.org/officeDocument/2006/relationships/hyperlink" Target="https://maps.google.com/?q=26+East+3rd+Street+Bethlehem%2C+PA+18015+United+States" TargetMode="External"/><Relationship Id="rId1369" Type="http://schemas.openxmlformats.org/officeDocument/2006/relationships/hyperlink" Target="https://miamijewishfilmfestival.org/" TargetMode="External"/><Relationship Id="rId2216" Type="http://schemas.openxmlformats.org/officeDocument/2006/relationships/hyperlink" Target="http://southsidefilmfestival.com/" TargetMode="External"/><Relationship Id="rId2217" Type="http://schemas.openxmlformats.org/officeDocument/2006/relationships/hyperlink" Target="https://filmfreeway.com/SouthSideFilmFestivalBethlehemPA" TargetMode="External"/><Relationship Id="rId2218" Type="http://schemas.openxmlformats.org/officeDocument/2006/relationships/hyperlink" Target="https://maps.google.com/?q=1906+S.+Closner+Blvd.+Edinburg%2C+TX+78539+United+States" TargetMode="External"/><Relationship Id="rId2219" Type="http://schemas.openxmlformats.org/officeDocument/2006/relationships/hyperlink" Target="https://stxiff.com/" TargetMode="External"/><Relationship Id="rId778" Type="http://schemas.openxmlformats.org/officeDocument/2006/relationships/hyperlink" Target="http://www.film-festival.org/" TargetMode="External"/><Relationship Id="rId777" Type="http://schemas.openxmlformats.org/officeDocument/2006/relationships/hyperlink" Target="https://maps.google.com/?q=83+Park+St.+Suite+5+Providence%2C+RI+02903+United+States" TargetMode="External"/><Relationship Id="rId776" Type="http://schemas.openxmlformats.org/officeDocument/2006/relationships/hyperlink" Target="https://filmfreeway.com/FlatlandFilmFestival" TargetMode="External"/><Relationship Id="rId775" Type="http://schemas.openxmlformats.org/officeDocument/2006/relationships/hyperlink" Target="http://www.flatlandfilm.org/" TargetMode="External"/><Relationship Id="rId779" Type="http://schemas.openxmlformats.org/officeDocument/2006/relationships/hyperlink" Target="https://filmfreeway.com/RIFilmFest" TargetMode="External"/><Relationship Id="rId770" Type="http://schemas.openxmlformats.org/officeDocument/2006/relationships/hyperlink" Target="http://www.flagstaffmountainfilms.org/" TargetMode="External"/><Relationship Id="rId1360" Type="http://schemas.openxmlformats.org/officeDocument/2006/relationships/hyperlink" Target="https://filmfreeway.com/MendocinoFilmFestival" TargetMode="External"/><Relationship Id="rId1361" Type="http://schemas.openxmlformats.org/officeDocument/2006/relationships/hyperlink" Target="https://maps.google.com/?q=5777+W.+Century+Blvd+S1070+Los+Angeles%2C+CA+90045+United+States" TargetMode="External"/><Relationship Id="rId1362" Type="http://schemas.openxmlformats.org/officeDocument/2006/relationships/hyperlink" Target="http://www.methodfest.com/" TargetMode="External"/><Relationship Id="rId774" Type="http://schemas.openxmlformats.org/officeDocument/2006/relationships/hyperlink" Target="http://www.flatlandfilmfestival.com/" TargetMode="External"/><Relationship Id="rId1363" Type="http://schemas.openxmlformats.org/officeDocument/2006/relationships/hyperlink" Target="https://filmfreeway.com/TheMethodFestIndependentFilmFestival" TargetMode="External"/><Relationship Id="rId2210" Type="http://schemas.openxmlformats.org/officeDocument/2006/relationships/hyperlink" Target="https://maps.google.com/?q=7119+W.+Sunset+Blvd.+306+Los+Angeles%2C+CA+90046+United+States" TargetMode="External"/><Relationship Id="rId773" Type="http://schemas.openxmlformats.org/officeDocument/2006/relationships/hyperlink" Target="https://filmfreeway.com/FLIC" TargetMode="External"/><Relationship Id="rId1364" Type="http://schemas.openxmlformats.org/officeDocument/2006/relationships/hyperlink" Target="https://miamifilmfestival.com/" TargetMode="External"/><Relationship Id="rId2211" Type="http://schemas.openxmlformats.org/officeDocument/2006/relationships/hyperlink" Target="http://seefilmla.org/" TargetMode="External"/><Relationship Id="rId772" Type="http://schemas.openxmlformats.org/officeDocument/2006/relationships/hyperlink" Target="http://www.flicpolson.com/" TargetMode="External"/><Relationship Id="rId1365" Type="http://schemas.openxmlformats.org/officeDocument/2006/relationships/hyperlink" Target="https://filmfreeway.com/MiamiFilmFestival" TargetMode="External"/><Relationship Id="rId2212" Type="http://schemas.openxmlformats.org/officeDocument/2006/relationships/hyperlink" Target="https://filmfreeway.com/SouthEastEuropeanFilmFestival" TargetMode="External"/><Relationship Id="rId771" Type="http://schemas.openxmlformats.org/officeDocument/2006/relationships/hyperlink" Target="https://filmfreeway.com/FlagstaffMountainFilmFestival" TargetMode="External"/><Relationship Id="rId1366" Type="http://schemas.openxmlformats.org/officeDocument/2006/relationships/hyperlink" Target="https://maps.google.com/?q=7452+SW+166th+Terrace+Palmetto+Bay%2C+FL+33157+United+States" TargetMode="External"/><Relationship Id="rId2213" Type="http://schemas.openxmlformats.org/officeDocument/2006/relationships/hyperlink" Target="http://southgeorgiafilm.com" TargetMode="External"/><Relationship Id="rId2247" Type="http://schemas.openxmlformats.org/officeDocument/2006/relationships/hyperlink" Target="https://www.ratedsrfilms.org/" TargetMode="External"/><Relationship Id="rId2248" Type="http://schemas.openxmlformats.org/officeDocument/2006/relationships/hyperlink" Target="https://filmfreeway.com/SRFF20" TargetMode="External"/><Relationship Id="rId2249" Type="http://schemas.openxmlformats.org/officeDocument/2006/relationships/hyperlink" Target="https://maps.google.com/?q=3219+College+St+Savannah%2C+GA+31404+United+States" TargetMode="External"/><Relationship Id="rId327" Type="http://schemas.openxmlformats.org/officeDocument/2006/relationships/hyperlink" Target="https://filmfreeway.com/BrooklynFilmFestival" TargetMode="External"/><Relationship Id="rId326" Type="http://schemas.openxmlformats.org/officeDocument/2006/relationships/hyperlink" Target="http://www.brooklynfilmfestival.org/" TargetMode="External"/><Relationship Id="rId325" Type="http://schemas.openxmlformats.org/officeDocument/2006/relationships/hyperlink" Target="https://maps.google.com/?q=180+S.+4+Street+Ste+2+S.+Brooklyn%2C+NY+11211+United+States" TargetMode="External"/><Relationship Id="rId324" Type="http://schemas.openxmlformats.org/officeDocument/2006/relationships/hyperlink" Target="https://filmfreeway.com/BronzeLensFilmFestival" TargetMode="External"/><Relationship Id="rId329" Type="http://schemas.openxmlformats.org/officeDocument/2006/relationships/hyperlink" Target="https://filmfreeway.com/BrooklynHorrorFest" TargetMode="External"/><Relationship Id="rId1390" Type="http://schemas.openxmlformats.org/officeDocument/2006/relationships/hyperlink" Target="https://filmfreeway.com/MilwaukeeShortFilmFestival" TargetMode="External"/><Relationship Id="rId328" Type="http://schemas.openxmlformats.org/officeDocument/2006/relationships/hyperlink" Target="http://brooklynhorrorfest.com/" TargetMode="External"/><Relationship Id="rId1391" Type="http://schemas.openxmlformats.org/officeDocument/2006/relationships/hyperlink" Target="http://www.twisteddreamsff.com" TargetMode="External"/><Relationship Id="rId1392" Type="http://schemas.openxmlformats.org/officeDocument/2006/relationships/hyperlink" Target="https://filmfreeway.com/MilwaukeeTwistedDreamsFilmFestival" TargetMode="External"/><Relationship Id="rId1393" Type="http://schemas.openxmlformats.org/officeDocument/2006/relationships/hyperlink" Target="https://maps.google.com/?q=2400+E.+Kenwood+Ave+Milwaukee%2C+WI+53211+United+States" TargetMode="External"/><Relationship Id="rId2240" Type="http://schemas.openxmlformats.org/officeDocument/2006/relationships/hyperlink" Target="http://www.spookyfest.com/" TargetMode="External"/><Relationship Id="rId1394" Type="http://schemas.openxmlformats.org/officeDocument/2006/relationships/hyperlink" Target="http://film-milwaukee.org/" TargetMode="External"/><Relationship Id="rId2241" Type="http://schemas.openxmlformats.org/officeDocument/2006/relationships/hyperlink" Target="http://www.spookyfest.com/" TargetMode="External"/><Relationship Id="rId1395" Type="http://schemas.openxmlformats.org/officeDocument/2006/relationships/hyperlink" Target="https://milwaukeeundergroundfilm.org/" TargetMode="External"/><Relationship Id="rId2242" Type="http://schemas.openxmlformats.org/officeDocument/2006/relationships/hyperlink" Target="https://filmfreeway.com/TheSpookyMovieInternationalHorrorFilmFestival" TargetMode="External"/><Relationship Id="rId323" Type="http://schemas.openxmlformats.org/officeDocument/2006/relationships/hyperlink" Target="https://bronzelens.com/" TargetMode="External"/><Relationship Id="rId1396" Type="http://schemas.openxmlformats.org/officeDocument/2006/relationships/hyperlink" Target="https://filmfreeway.com/MilwaukeeUndergroundFilmFestival" TargetMode="External"/><Relationship Id="rId2243" Type="http://schemas.openxmlformats.org/officeDocument/2006/relationships/hyperlink" Target="https://maps.google.com/?q=13363+Partridge+Road+North+Stillwater%2C+MN+55082+United+States" TargetMode="External"/><Relationship Id="rId322" Type="http://schemas.openxmlformats.org/officeDocument/2006/relationships/hyperlink" Target="https://filmfreeway.com/TheBroadHumorFilmFestival" TargetMode="External"/><Relationship Id="rId1397" Type="http://schemas.openxmlformats.org/officeDocument/2006/relationships/hyperlink" Target="https://maps.google.com/?q=125+SE+Main+Street+Suite+341+Minneapolis%2C+MN+55414+United+States" TargetMode="External"/><Relationship Id="rId2244" Type="http://schemas.openxmlformats.org/officeDocument/2006/relationships/hyperlink" Target="http://www.squarelakefestival.com/" TargetMode="External"/><Relationship Id="rId321" Type="http://schemas.openxmlformats.org/officeDocument/2006/relationships/hyperlink" Target="https://www.broadhumorfilmfest.com/" TargetMode="External"/><Relationship Id="rId1398" Type="http://schemas.openxmlformats.org/officeDocument/2006/relationships/hyperlink" Target="https://mspfilm.org/festivals/mspiff/" TargetMode="External"/><Relationship Id="rId2245" Type="http://schemas.openxmlformats.org/officeDocument/2006/relationships/hyperlink" Target="https://filmfreeway.com/SquareLakeFilmMusicFestival" TargetMode="External"/><Relationship Id="rId320" Type="http://schemas.openxmlformats.org/officeDocument/2006/relationships/hyperlink" Target="https://maps.google.com/?q=9854+National+Blvd.+%23166+Los+Angeles%2C+CA+90034+United+States" TargetMode="External"/><Relationship Id="rId1399" Type="http://schemas.openxmlformats.org/officeDocument/2006/relationships/hyperlink" Target="https://filmfreeway.com/mspiff" TargetMode="External"/><Relationship Id="rId2246" Type="http://schemas.openxmlformats.org/officeDocument/2006/relationships/hyperlink" Target="https://maps.google.com/?q=80+La+Salle+Street+%2316H+New+York%2C+NY+10027+United+States" TargetMode="External"/><Relationship Id="rId1389" Type="http://schemas.openxmlformats.org/officeDocument/2006/relationships/hyperlink" Target="http://www.milwaukeeindependentfilmsociety.org/" TargetMode="External"/><Relationship Id="rId2236" Type="http://schemas.openxmlformats.org/officeDocument/2006/relationships/hyperlink" Target="https://filmfreeway.com/SpokaneInternationalFilmFestival" TargetMode="External"/><Relationship Id="rId2237" Type="http://schemas.openxmlformats.org/officeDocument/2006/relationships/hyperlink" Target="http://www.spookshowcon.com/" TargetMode="External"/><Relationship Id="rId2238" Type="http://schemas.openxmlformats.org/officeDocument/2006/relationships/hyperlink" Target="https://filmfreeway.com/SpookShowCon" TargetMode="External"/><Relationship Id="rId2239" Type="http://schemas.openxmlformats.org/officeDocument/2006/relationships/hyperlink" Target="http://spookyempire.com" TargetMode="External"/><Relationship Id="rId316" Type="http://schemas.openxmlformats.org/officeDocument/2006/relationships/hyperlink" Target="https://www.breckfilmfest.org/" TargetMode="External"/><Relationship Id="rId315" Type="http://schemas.openxmlformats.org/officeDocument/2006/relationships/hyperlink" Target="https://maps.google.com/?q=103+S.+Harris+Street%2C+Suite+205+Breckenridge%2C+CO+80424+United+States" TargetMode="External"/><Relationship Id="rId799" Type="http://schemas.openxmlformats.org/officeDocument/2006/relationships/hyperlink" Target="https://maps.google.com/?q=2301+First+St+Fort+Myers%2C+FL+33901+United+States" TargetMode="External"/><Relationship Id="rId314" Type="http://schemas.openxmlformats.org/officeDocument/2006/relationships/hyperlink" Target="https://filmfreeway.com/BrainwashMovies" TargetMode="External"/><Relationship Id="rId798" Type="http://schemas.openxmlformats.org/officeDocument/2006/relationships/hyperlink" Target="https://filmfreeway.com/FortMyersBeachinternationalFilmFestival" TargetMode="External"/><Relationship Id="rId313" Type="http://schemas.openxmlformats.org/officeDocument/2006/relationships/hyperlink" Target="http://www.brainwashm.com/" TargetMode="External"/><Relationship Id="rId797" Type="http://schemas.openxmlformats.org/officeDocument/2006/relationships/hyperlink" Target="http://fmbfilmfest.com/" TargetMode="External"/><Relationship Id="rId319" Type="http://schemas.openxmlformats.org/officeDocument/2006/relationships/hyperlink" Target="https://filmfreeway.com/TheBrightsideTavernShortsFest" TargetMode="External"/><Relationship Id="rId318" Type="http://schemas.openxmlformats.org/officeDocument/2006/relationships/hyperlink" Target="http://www.brightsidetavernfilmfestival.com/" TargetMode="External"/><Relationship Id="rId317" Type="http://schemas.openxmlformats.org/officeDocument/2006/relationships/hyperlink" Target="https://filmfreeway.com/breckfilmfest" TargetMode="External"/><Relationship Id="rId1380" Type="http://schemas.openxmlformats.org/officeDocument/2006/relationships/hyperlink" Target="https://filmfreeway.com/MidWestWeirdFest" TargetMode="External"/><Relationship Id="rId792" Type="http://schemas.openxmlformats.org/officeDocument/2006/relationships/hyperlink" Target="https://filmfreeway.com/FootcandleFilmFestival" TargetMode="External"/><Relationship Id="rId1381" Type="http://schemas.openxmlformats.org/officeDocument/2006/relationships/hyperlink" Target="https://maps.google.com/?q=1001+Lootens+Place+Suite+220+San+Rafael%2C+CA+94901+United+States" TargetMode="External"/><Relationship Id="rId791" Type="http://schemas.openxmlformats.org/officeDocument/2006/relationships/hyperlink" Target="http://www.footcandlefilmfestival.com/" TargetMode="External"/><Relationship Id="rId1382" Type="http://schemas.openxmlformats.org/officeDocument/2006/relationships/hyperlink" Target="http://www.mvff.com/" TargetMode="External"/><Relationship Id="rId790" Type="http://schemas.openxmlformats.org/officeDocument/2006/relationships/hyperlink" Target="https://filmfreeway.com/FoodFilmFest" TargetMode="External"/><Relationship Id="rId1383" Type="http://schemas.openxmlformats.org/officeDocument/2006/relationships/hyperlink" Target="https://www.mvff.com/" TargetMode="External"/><Relationship Id="rId2230" Type="http://schemas.openxmlformats.org/officeDocument/2006/relationships/hyperlink" Target="https://mvfilmsociety.com/spectrumfilmfestival" TargetMode="External"/><Relationship Id="rId1384" Type="http://schemas.openxmlformats.org/officeDocument/2006/relationships/hyperlink" Target="https://filmfreeway.com/MillValleyFilmFestival" TargetMode="External"/><Relationship Id="rId2231" Type="http://schemas.openxmlformats.org/officeDocument/2006/relationships/hyperlink" Target="https://maps.google.com/?q=700+Luther+Dr+Mankato%2C+Minnesota+56001+United+States" TargetMode="External"/><Relationship Id="rId312" Type="http://schemas.openxmlformats.org/officeDocument/2006/relationships/hyperlink" Target="http://www.brainwashm.com/" TargetMode="External"/><Relationship Id="rId796" Type="http://schemas.openxmlformats.org/officeDocument/2006/relationships/hyperlink" Target="https://filmfreeway.com/FortLauderdaleInternationalFilmFestival" TargetMode="External"/><Relationship Id="rId1385" Type="http://schemas.openxmlformats.org/officeDocument/2006/relationships/hyperlink" Target="https://mkefilm.org/" TargetMode="External"/><Relationship Id="rId2232" Type="http://schemas.openxmlformats.org/officeDocument/2006/relationships/hyperlink" Target="http://speechlessfilmfestival.com/" TargetMode="External"/><Relationship Id="rId311" Type="http://schemas.openxmlformats.org/officeDocument/2006/relationships/hyperlink" Target="https://maps.google.com/?q=1675+7th+Street%2C+%2323302+Oakland%2C+CA+94623-6009+United+States" TargetMode="External"/><Relationship Id="rId795" Type="http://schemas.openxmlformats.org/officeDocument/2006/relationships/hyperlink" Target="http://www.fliff.com/" TargetMode="External"/><Relationship Id="rId1386" Type="http://schemas.openxmlformats.org/officeDocument/2006/relationships/hyperlink" Target="https://mkefilm.org/for-filmmakers/call-for-entries" TargetMode="External"/><Relationship Id="rId2233" Type="http://schemas.openxmlformats.org/officeDocument/2006/relationships/hyperlink" Target="https://filmfreeway.com/SpeechlessFilmFestival" TargetMode="External"/><Relationship Id="rId310" Type="http://schemas.openxmlformats.org/officeDocument/2006/relationships/hyperlink" Target="https://filmfreeway.com/bovifilmfest" TargetMode="External"/><Relationship Id="rId794" Type="http://schemas.openxmlformats.org/officeDocument/2006/relationships/hyperlink" Target="http://www.fliff.com/" TargetMode="External"/><Relationship Id="rId1387" Type="http://schemas.openxmlformats.org/officeDocument/2006/relationships/hyperlink" Target="https://www.jccmilwaukee.org/filmfestival" TargetMode="External"/><Relationship Id="rId2234" Type="http://schemas.openxmlformats.org/officeDocument/2006/relationships/hyperlink" Target="http://spokanefilmfestival.org/" TargetMode="External"/><Relationship Id="rId793" Type="http://schemas.openxmlformats.org/officeDocument/2006/relationships/hyperlink" Target="https://maps.google.com/?q=1314+E+Las+Olas+Blvd+%23007+Fort+Lauderdale%2C+FL+33301-2334+United+States" TargetMode="External"/><Relationship Id="rId1388" Type="http://schemas.openxmlformats.org/officeDocument/2006/relationships/hyperlink" Target="https://maps.google.com/?q=2324+W+Wisconsin+Ave+%2366+Milwaukee%2C+Wisconsin+53233+United+States" TargetMode="External"/><Relationship Id="rId2235" Type="http://schemas.openxmlformats.org/officeDocument/2006/relationships/hyperlink" Target="https://spokanefilmfestival.org/" TargetMode="External"/><Relationship Id="rId297" Type="http://schemas.openxmlformats.org/officeDocument/2006/relationships/hyperlink" Target="http://www.bostonshortfilmfestival.com/" TargetMode="External"/><Relationship Id="rId296" Type="http://schemas.openxmlformats.org/officeDocument/2006/relationships/hyperlink" Target="https://filmfreeway.com/BostonScienceFictionFilmFestival" TargetMode="External"/><Relationship Id="rId295" Type="http://schemas.openxmlformats.org/officeDocument/2006/relationships/hyperlink" Target="http://www.bostonsci-fi.com/" TargetMode="External"/><Relationship Id="rId294" Type="http://schemas.openxmlformats.org/officeDocument/2006/relationships/hyperlink" Target="http://www.bostonsci-fi.com/" TargetMode="External"/><Relationship Id="rId299" Type="http://schemas.openxmlformats.org/officeDocument/2006/relationships/hyperlink" Target="http://www.bostonturkishfilmfestival.org/" TargetMode="External"/><Relationship Id="rId298" Type="http://schemas.openxmlformats.org/officeDocument/2006/relationships/hyperlink" Target="https://filmfreeway.com/BostonShortFilmFestival" TargetMode="External"/><Relationship Id="rId271" Type="http://schemas.openxmlformats.org/officeDocument/2006/relationships/hyperlink" Target="https://filmfreeway.com/baaff" TargetMode="External"/><Relationship Id="rId270" Type="http://schemas.openxmlformats.org/officeDocument/2006/relationships/hyperlink" Target="http://www.baaff.org/" TargetMode="External"/><Relationship Id="rId269" Type="http://schemas.openxmlformats.org/officeDocument/2006/relationships/hyperlink" Target="https://maps.google.com/?q=2+Boylston+St.+Ste.+G-3+Boston%2C+MA+02116+United+States" TargetMode="External"/><Relationship Id="rId264" Type="http://schemas.openxmlformats.org/officeDocument/2006/relationships/hyperlink" Target="https://maps.google.com/?q=PO+Box+756+Borrego+Springs%2C+CA+92004+United+States" TargetMode="External"/><Relationship Id="rId263" Type="http://schemas.openxmlformats.org/officeDocument/2006/relationships/hyperlink" Target="http://www.boomtownfestival.com/wordpress" TargetMode="External"/><Relationship Id="rId262" Type="http://schemas.openxmlformats.org/officeDocument/2006/relationships/hyperlink" Target="https://filmfreeway.com/BonitaSpringsInternationalFilmFestival" TargetMode="External"/><Relationship Id="rId261" Type="http://schemas.openxmlformats.org/officeDocument/2006/relationships/hyperlink" Target="http://www.artcenterbonita.org/biff/" TargetMode="External"/><Relationship Id="rId268" Type="http://schemas.openxmlformats.org/officeDocument/2006/relationships/hyperlink" Target="https://www.bhffnyc.org/" TargetMode="External"/><Relationship Id="rId267" Type="http://schemas.openxmlformats.org/officeDocument/2006/relationships/hyperlink" Target="http://www.bhffnyc.org/" TargetMode="External"/><Relationship Id="rId266" Type="http://schemas.openxmlformats.org/officeDocument/2006/relationships/hyperlink" Target="https://filmfreeway.com/BorregoSpringsFilmFestival" TargetMode="External"/><Relationship Id="rId265" Type="http://schemas.openxmlformats.org/officeDocument/2006/relationships/hyperlink" Target="http://www.borregospringsfilmfestival.org/" TargetMode="External"/><Relationship Id="rId260" Type="http://schemas.openxmlformats.org/officeDocument/2006/relationships/hyperlink" Target="https://filmfreeway.com/BoneBatComedyofHorrorsFilmFest" TargetMode="External"/><Relationship Id="rId259" Type="http://schemas.openxmlformats.org/officeDocument/2006/relationships/hyperlink" Target="http://www.bonehand.com/bonebatff.html" TargetMode="External"/><Relationship Id="rId258" Type="http://schemas.openxmlformats.org/officeDocument/2006/relationships/hyperlink" Target="https://maps.google.com/?q=16910+NE+107th+St+Redmond%2C+WA+98052+United+States" TargetMode="External"/><Relationship Id="rId2290" Type="http://schemas.openxmlformats.org/officeDocument/2006/relationships/hyperlink" Target="http://www.tacomafilmfestival.com/" TargetMode="External"/><Relationship Id="rId2291" Type="http://schemas.openxmlformats.org/officeDocument/2006/relationships/hyperlink" Target="https://filmfreeway.com/tff" TargetMode="External"/><Relationship Id="rId2292" Type="http://schemas.openxmlformats.org/officeDocument/2006/relationships/hyperlink" Target="https://www.facebook.com/TahoeAdventureFilmFestival/" TargetMode="External"/><Relationship Id="rId2293" Type="http://schemas.openxmlformats.org/officeDocument/2006/relationships/hyperlink" Target="http://laketahoefilmfestival.com/?fbclid=IwAR0W9-VjHjYekgbNoNV47gVrUl6xRBhPTPSQxetfDkQx91y_HEMLhuKc1Nw" TargetMode="External"/><Relationship Id="rId253" Type="http://schemas.openxmlformats.org/officeDocument/2006/relationships/hyperlink" Target="https://maps.google.com/?q=Submit+via+the+FilmFreeway+site+only.+No+mail%2Femail+submissions%21+1401+N.+Sandburg+Chicago%2C+Illinois+60610+United+States" TargetMode="External"/><Relationship Id="rId2294" Type="http://schemas.openxmlformats.org/officeDocument/2006/relationships/hyperlink" Target="https://maps.google.com/?q=3551+Blairstone+Rd+Suite+105-144+Tallahassee%2C+Florida+32301+United+States" TargetMode="External"/><Relationship Id="rId252" Type="http://schemas.openxmlformats.org/officeDocument/2006/relationships/hyperlink" Target="https://filmfreeway.com/theblock" TargetMode="External"/><Relationship Id="rId2295" Type="http://schemas.openxmlformats.org/officeDocument/2006/relationships/hyperlink" Target="https://tallahasseefilmfestival.com/" TargetMode="External"/><Relationship Id="rId251" Type="http://schemas.openxmlformats.org/officeDocument/2006/relationships/hyperlink" Target="http://theblockfestival.org/" TargetMode="External"/><Relationship Id="rId2296" Type="http://schemas.openxmlformats.org/officeDocument/2006/relationships/hyperlink" Target="https://filmfreeway.com/TallahasseeFilmFestival" TargetMode="External"/><Relationship Id="rId250" Type="http://schemas.openxmlformats.org/officeDocument/2006/relationships/hyperlink" Target="https://maps.google.com/?q=18+W+Center+St+Logan%2C+UT+84321+United+States" TargetMode="External"/><Relationship Id="rId2297" Type="http://schemas.openxmlformats.org/officeDocument/2006/relationships/hyperlink" Target="https://maps.google.com/?q=212+N+Market+St+Suite+200+Wichita%2C+KS+67202+United+States" TargetMode="External"/><Relationship Id="rId257" Type="http://schemas.openxmlformats.org/officeDocument/2006/relationships/hyperlink" Target="https://filmfreeway.com/bluewhiskeyff" TargetMode="External"/><Relationship Id="rId2298" Type="http://schemas.openxmlformats.org/officeDocument/2006/relationships/hyperlink" Target="http://www.tallgrassfilmfest.com/" TargetMode="External"/><Relationship Id="rId256" Type="http://schemas.openxmlformats.org/officeDocument/2006/relationships/hyperlink" Target="https://www.bwiff.com/" TargetMode="External"/><Relationship Id="rId2299" Type="http://schemas.openxmlformats.org/officeDocument/2006/relationships/hyperlink" Target="http://tallgrassfilmfest.com/" TargetMode="External"/><Relationship Id="rId255" Type="http://schemas.openxmlformats.org/officeDocument/2006/relationships/hyperlink" Target="https://filmfreeway.com/blowupfilmfest" TargetMode="External"/><Relationship Id="rId254" Type="http://schemas.openxmlformats.org/officeDocument/2006/relationships/hyperlink" Target="http://www.blowupfilmfest.com/" TargetMode="External"/><Relationship Id="rId293" Type="http://schemas.openxmlformats.org/officeDocument/2006/relationships/hyperlink" Target="https://maps.google.com/?q=21+Ballard+Rd+Derry%2C+NH+03038+United+States" TargetMode="External"/><Relationship Id="rId292" Type="http://schemas.openxmlformats.org/officeDocument/2006/relationships/hyperlink" Target="http://www.bostonpalestinefilmfest.org" TargetMode="External"/><Relationship Id="rId291" Type="http://schemas.openxmlformats.org/officeDocument/2006/relationships/hyperlink" Target="https://filmfreeway.com/BostonLatinoInternationalFilmFestival" TargetMode="External"/><Relationship Id="rId290" Type="http://schemas.openxmlformats.org/officeDocument/2006/relationships/hyperlink" Target="http://www.bliff.org/" TargetMode="External"/><Relationship Id="rId286" Type="http://schemas.openxmlformats.org/officeDocument/2006/relationships/hyperlink" Target="http://www.bjff.org/" TargetMode="External"/><Relationship Id="rId285" Type="http://schemas.openxmlformats.org/officeDocument/2006/relationships/hyperlink" Target="http://www.bjff.org/" TargetMode="External"/><Relationship Id="rId284" Type="http://schemas.openxmlformats.org/officeDocument/2006/relationships/hyperlink" Target="https://maps.google.com/?q=1001+Watertown+Street+West+Newton%2C+MA+02465+United+States" TargetMode="External"/><Relationship Id="rId283" Type="http://schemas.openxmlformats.org/officeDocument/2006/relationships/hyperlink" Target="https://filmfreeway.com/BostonInternationalKidsFilmFestival" TargetMode="External"/><Relationship Id="rId289" Type="http://schemas.openxmlformats.org/officeDocument/2006/relationships/hyperlink" Target="http://www.bliff.org/" TargetMode="External"/><Relationship Id="rId288" Type="http://schemas.openxmlformats.org/officeDocument/2006/relationships/hyperlink" Target="https://maps.google.com/?q=1510+Centre+St+Newton+Boston%2C+MA+02131+United+States" TargetMode="External"/><Relationship Id="rId287" Type="http://schemas.openxmlformats.org/officeDocument/2006/relationships/hyperlink" Target="https://filmfreeway.com/TheBostonJewishFilmFestival" TargetMode="External"/><Relationship Id="rId282" Type="http://schemas.openxmlformats.org/officeDocument/2006/relationships/hyperlink" Target="http://bikff.org/" TargetMode="External"/><Relationship Id="rId281" Type="http://schemas.openxmlformats.org/officeDocument/2006/relationships/hyperlink" Target="https://maps.google.com/?q=6+Eastman+Place%2C+Suite+202+Melrose%2C+MA+02176+United+States" TargetMode="External"/><Relationship Id="rId280" Type="http://schemas.openxmlformats.org/officeDocument/2006/relationships/hyperlink" Target="https://filmfreeway.com/BostonInternationalFilmFestival" TargetMode="External"/><Relationship Id="rId275" Type="http://schemas.openxmlformats.org/officeDocument/2006/relationships/hyperlink" Target="http://www.bostonfilmfestival.org/" TargetMode="External"/><Relationship Id="rId274" Type="http://schemas.openxmlformats.org/officeDocument/2006/relationships/hyperlink" Target="http://www.bostonfilmfestival.org/" TargetMode="External"/><Relationship Id="rId273" Type="http://schemas.openxmlformats.org/officeDocument/2006/relationships/hyperlink" Target="http://www.bostoncomedyfestival.com/" TargetMode="External"/><Relationship Id="rId272" Type="http://schemas.openxmlformats.org/officeDocument/2006/relationships/hyperlink" Target="http://www.bostoncomedyfestival.com/" TargetMode="External"/><Relationship Id="rId279" Type="http://schemas.openxmlformats.org/officeDocument/2006/relationships/hyperlink" Target="http://www.bifilmfestival.com/" TargetMode="External"/><Relationship Id="rId278" Type="http://schemas.openxmlformats.org/officeDocument/2006/relationships/hyperlink" Target="http://www.bifilmfestival.com/" TargetMode="External"/><Relationship Id="rId277" Type="http://schemas.openxmlformats.org/officeDocument/2006/relationships/hyperlink" Target="https://maps.google.com/?q=9A+Hamilton+Place+Boston%2C+MA+02108+United+States" TargetMode="External"/><Relationship Id="rId276" Type="http://schemas.openxmlformats.org/officeDocument/2006/relationships/hyperlink" Target="https://filmfreeway.com/BostonFilmFestival" TargetMode="External"/><Relationship Id="rId1851" Type="http://schemas.openxmlformats.org/officeDocument/2006/relationships/hyperlink" Target="https://maps.google.com/?q=299+Alhambra+Circle+Suite+224+Miami%2C+FL+33134+United+States" TargetMode="External"/><Relationship Id="rId1852" Type="http://schemas.openxmlformats.org/officeDocument/2006/relationships/hyperlink" Target="https://namimiami.org/" TargetMode="External"/><Relationship Id="rId1853" Type="http://schemas.openxmlformats.org/officeDocument/2006/relationships/hyperlink" Target="https://filmfreeway.com/MiamiMentalHealthFilmFestival" TargetMode="External"/><Relationship Id="rId1854" Type="http://schemas.openxmlformats.org/officeDocument/2006/relationships/hyperlink" Target="https://charlottepride.org/reelout" TargetMode="External"/><Relationship Id="rId1855" Type="http://schemas.openxmlformats.org/officeDocument/2006/relationships/hyperlink" Target="https://filmfreeway.com/ReelOutCharlotte" TargetMode="External"/><Relationship Id="rId1856" Type="http://schemas.openxmlformats.org/officeDocument/2006/relationships/hyperlink" Target="https://www.reelpride.com" TargetMode="External"/><Relationship Id="rId1857" Type="http://schemas.openxmlformats.org/officeDocument/2006/relationships/hyperlink" Target="http://reelrecoveryfilmfestival.org/" TargetMode="External"/><Relationship Id="rId1858" Type="http://schemas.openxmlformats.org/officeDocument/2006/relationships/hyperlink" Target="https://filmfreeway.com/REELRecoveryFilmFestival-16881" TargetMode="External"/><Relationship Id="rId1859" Type="http://schemas.openxmlformats.org/officeDocument/2006/relationships/hyperlink" Target="https://maps.google.com/?q=Reel+Sisters+c%2Fo+African+Voices+270+West+96th+Street+New+York%2C+NY+10025+United+States" TargetMode="External"/><Relationship Id="rId1850" Type="http://schemas.openxmlformats.org/officeDocument/2006/relationships/hyperlink" Target="https://filmfreeway.com/ReelIndependentFilmExtravaganza" TargetMode="External"/><Relationship Id="rId1840" Type="http://schemas.openxmlformats.org/officeDocument/2006/relationships/hyperlink" Target="https://filmfreeway.com/RedRockFilmFestival" TargetMode="External"/><Relationship Id="rId1841" Type="http://schemas.openxmlformats.org/officeDocument/2006/relationships/hyperlink" Target="http://redwasp.org/" TargetMode="External"/><Relationship Id="rId1842" Type="http://schemas.openxmlformats.org/officeDocument/2006/relationships/hyperlink" Target="http://www.acbv.org/events/2019/red-wasp-film-festival-2019" TargetMode="External"/><Relationship Id="rId1843" Type="http://schemas.openxmlformats.org/officeDocument/2006/relationships/hyperlink" Target="https://filmfreeway.com/RedWaspFilmFestival" TargetMode="External"/><Relationship Id="rId1844" Type="http://schemas.openxmlformats.org/officeDocument/2006/relationships/hyperlink" Target="http://thedccenter.org/reelaffirmations" TargetMode="External"/><Relationship Id="rId1845" Type="http://schemas.openxmlformats.org/officeDocument/2006/relationships/hyperlink" Target="https://filmfreeway.com/ReelAffirmations" TargetMode="External"/><Relationship Id="rId1846" Type="http://schemas.openxmlformats.org/officeDocument/2006/relationships/hyperlink" Target="https://maps.google.com/?q=45+Pershing+Ave+Poughkeepsie%2C+NY+12601+United+States" TargetMode="External"/><Relationship Id="rId1847" Type="http://schemas.openxmlformats.org/officeDocument/2006/relationships/hyperlink" Target="https://feelthearteffect.org/events/reel-expressions/" TargetMode="External"/><Relationship Id="rId1848" Type="http://schemas.openxmlformats.org/officeDocument/2006/relationships/hyperlink" Target="https://feelthearteffect.org/events/reel-expressions/" TargetMode="External"/><Relationship Id="rId1849" Type="http://schemas.openxmlformats.org/officeDocument/2006/relationships/hyperlink" Target="https://www.reelindependentfilm.com/" TargetMode="External"/><Relationship Id="rId1873" Type="http://schemas.openxmlformats.org/officeDocument/2006/relationships/hyperlink" Target="https://maps.google.com/?q=P.O.+Box+2066+New+York%2C+New+York+10013+United+States" TargetMode="External"/><Relationship Id="rId1874" Type="http://schemas.openxmlformats.org/officeDocument/2006/relationships/hyperlink" Target="http://www.revolutionmefilms.com/" TargetMode="External"/><Relationship Id="rId1875" Type="http://schemas.openxmlformats.org/officeDocument/2006/relationships/hyperlink" Target="https://www.revolutionmefilms.com/" TargetMode="External"/><Relationship Id="rId1876" Type="http://schemas.openxmlformats.org/officeDocument/2006/relationships/hyperlink" Target="https://filmfreeway.com/RevolutionMeFilmFestival" TargetMode="External"/><Relationship Id="rId1877" Type="http://schemas.openxmlformats.org/officeDocument/2006/relationships/hyperlink" Target="https://maps.google.com/?q=109+W.+15th+Street+Richmond%2C+virginia+23224+United+States" TargetMode="External"/><Relationship Id="rId1878" Type="http://schemas.openxmlformats.org/officeDocument/2006/relationships/hyperlink" Target="https://www.dogtowndancetheatre.com/" TargetMode="External"/><Relationship Id="rId1879" Type="http://schemas.openxmlformats.org/officeDocument/2006/relationships/hyperlink" Target="https://filmfreeway.com/RichmondDanceFestival" TargetMode="External"/><Relationship Id="rId1870" Type="http://schemas.openxmlformats.org/officeDocument/2006/relationships/hyperlink" Target="https://www.rehobothfilm.com/festival/" TargetMode="External"/><Relationship Id="rId1871" Type="http://schemas.openxmlformats.org/officeDocument/2006/relationships/hyperlink" Target="https://www.rehobothfilm.com/festival/" TargetMode="External"/><Relationship Id="rId1872" Type="http://schemas.openxmlformats.org/officeDocument/2006/relationships/hyperlink" Target="https://filmfreeway.com/TheRehobothBeachIndependentFilmFestival" TargetMode="External"/><Relationship Id="rId1862" Type="http://schemas.openxmlformats.org/officeDocument/2006/relationships/hyperlink" Target="https://maps.google.com/?q=2345+NE+Lake+Breeze+Ln+Lees+Summit%2C+MO+64086+United+States" TargetMode="External"/><Relationship Id="rId1863" Type="http://schemas.openxmlformats.org/officeDocument/2006/relationships/hyperlink" Target="https://kcfilmfest.org/reel-spirit/competition/" TargetMode="External"/><Relationship Id="rId1864" Type="http://schemas.openxmlformats.org/officeDocument/2006/relationships/hyperlink" Target="https://filmfreeway.com/ReelSpiritYoungFilmmakers" TargetMode="External"/><Relationship Id="rId1865" Type="http://schemas.openxmlformats.org/officeDocument/2006/relationships/hyperlink" Target="http://reelwork.org" TargetMode="External"/><Relationship Id="rId1866" Type="http://schemas.openxmlformats.org/officeDocument/2006/relationships/hyperlink" Target="https://filmpittsburgh.org/pages/reelabilities" TargetMode="External"/><Relationship Id="rId1867" Type="http://schemas.openxmlformats.org/officeDocument/2006/relationships/hyperlink" Target="https://maps.google.com/?q=5720+N.+Ridge+Ave.+Chicago%2C+IL+60660+United+States" TargetMode="External"/><Relationship Id="rId1868" Type="http://schemas.openxmlformats.org/officeDocument/2006/relationships/hyperlink" Target="http://reelingfilmfestival.org/2018/" TargetMode="External"/><Relationship Id="rId1869" Type="http://schemas.openxmlformats.org/officeDocument/2006/relationships/hyperlink" Target="https://filmfreeway.com/ReelingFilmFestival" TargetMode="External"/><Relationship Id="rId1860" Type="http://schemas.openxmlformats.org/officeDocument/2006/relationships/hyperlink" Target="http://reelsisters.com/" TargetMode="External"/><Relationship Id="rId1861" Type="http://schemas.openxmlformats.org/officeDocument/2006/relationships/hyperlink" Target="https://filmfreeway.com/ReelSistersoftheDiasporaFilmFestival" TargetMode="External"/><Relationship Id="rId1810" Type="http://schemas.openxmlformats.org/officeDocument/2006/relationships/hyperlink" Target="https://filmfreeway.com/ProvincetownFilmFestival" TargetMode="External"/><Relationship Id="rId1811" Type="http://schemas.openxmlformats.org/officeDocument/2006/relationships/hyperlink" Target="https://maps.google.com/?q=20+6th+Street+Bristol%2C+TN+37620+United+States" TargetMode="External"/><Relationship Id="rId1812" Type="http://schemas.openxmlformats.org/officeDocument/2006/relationships/hyperlink" Target="http://www.pushfilmfest.com/" TargetMode="External"/><Relationship Id="rId1813" Type="http://schemas.openxmlformats.org/officeDocument/2006/relationships/hyperlink" Target="https://filmfreeway.com/PUSHFilmFest" TargetMode="External"/><Relationship Id="rId1814" Type="http://schemas.openxmlformats.org/officeDocument/2006/relationships/hyperlink" Target="http://www.q-fest.com" TargetMode="External"/><Relationship Id="rId1815" Type="http://schemas.openxmlformats.org/officeDocument/2006/relationships/hyperlink" Target="https://maps.google.com/?q=1315+Walnut+Street+Suite+1132+Philadelphia%2C+PA+19107+United+States" TargetMode="External"/><Relationship Id="rId1816" Type="http://schemas.openxmlformats.org/officeDocument/2006/relationships/hyperlink" Target="http://www.qflixphilly.com/" TargetMode="External"/><Relationship Id="rId1817" Type="http://schemas.openxmlformats.org/officeDocument/2006/relationships/hyperlink" Target="https://filmfreeway.com/qFLIXphiladelphia2019" TargetMode="External"/><Relationship Id="rId1818" Type="http://schemas.openxmlformats.org/officeDocument/2006/relationships/hyperlink" Target="https://maps.google.com/?q=101+Decatur+St.+Cumberland%2C+MD+21502+United+States" TargetMode="External"/><Relationship Id="rId1819" Type="http://schemas.openxmlformats.org/officeDocument/2006/relationships/hyperlink" Target="http://www.alleganyalliedarts.org/qcff/" TargetMode="External"/><Relationship Id="rId1800" Type="http://schemas.openxmlformats.org/officeDocument/2006/relationships/hyperlink" Target="https://princetonlibrary.org/peff/" TargetMode="External"/><Relationship Id="rId1801" Type="http://schemas.openxmlformats.org/officeDocument/2006/relationships/hyperlink" Target="https://princetonlibrary.org/peff/entry/" TargetMode="External"/><Relationship Id="rId1802" Type="http://schemas.openxmlformats.org/officeDocument/2006/relationships/hyperlink" Target="https://www.prindiefest.com" TargetMode="External"/><Relationship Id="rId1803" Type="http://schemas.openxmlformats.org/officeDocument/2006/relationships/hyperlink" Target="https://maps.google.com/?q=1005+Main+St.+Hope+Artiste+Village+-+%231211+Pawtucket%2C+RI+02860+United+States" TargetMode="External"/><Relationship Id="rId1804" Type="http://schemas.openxmlformats.org/officeDocument/2006/relationships/hyperlink" Target="http://providencechildrensfilmfestival.org/" TargetMode="External"/><Relationship Id="rId1805" Type="http://schemas.openxmlformats.org/officeDocument/2006/relationships/hyperlink" Target="https://filmfreeway.com/ProvidenceChildrensFilmFestival" TargetMode="External"/><Relationship Id="rId1806" Type="http://schemas.openxmlformats.org/officeDocument/2006/relationships/hyperlink" Target="http://www.plaff.org/" TargetMode="External"/><Relationship Id="rId1807" Type="http://schemas.openxmlformats.org/officeDocument/2006/relationships/hyperlink" Target="https://filmfreeway.com/PLAFF" TargetMode="External"/><Relationship Id="rId1808" Type="http://schemas.openxmlformats.org/officeDocument/2006/relationships/hyperlink" Target="http://www.ptownfilmfest.org/" TargetMode="External"/><Relationship Id="rId1809" Type="http://schemas.openxmlformats.org/officeDocument/2006/relationships/hyperlink" Target="http://www.ptownfilmfest.org/" TargetMode="External"/><Relationship Id="rId1830" Type="http://schemas.openxmlformats.org/officeDocument/2006/relationships/hyperlink" Target="https://maps.google.com/?q=202+S.+Railroad+Ave.+Kings+Mountain%2C+NC+28150+United+States" TargetMode="External"/><Relationship Id="rId1831" Type="http://schemas.openxmlformats.org/officeDocument/2006/relationships/hyperlink" Target="http://www.ccartscouncil.org/realtoreel/" TargetMode="External"/><Relationship Id="rId1832" Type="http://schemas.openxmlformats.org/officeDocument/2006/relationships/hyperlink" Target="https://filmfreeway.com/RealtoReelInternationalFilmFestival" TargetMode="External"/><Relationship Id="rId1833" Type="http://schemas.openxmlformats.org/officeDocument/2006/relationships/hyperlink" Target="http://realitybytes.niu.edu/" TargetMode="External"/><Relationship Id="rId1834" Type="http://schemas.openxmlformats.org/officeDocument/2006/relationships/hyperlink" Target="https://filmfreeway.com/RealityBytesIndependentStudentFilmFestival" TargetMode="External"/><Relationship Id="rId1835" Type="http://schemas.openxmlformats.org/officeDocument/2006/relationships/hyperlink" Target="http://www.reddirtfilm.com/" TargetMode="External"/><Relationship Id="rId1836" Type="http://schemas.openxmlformats.org/officeDocument/2006/relationships/hyperlink" Target="https://filmfreeway.com/RedDirtFilmFestival" TargetMode="External"/><Relationship Id="rId1837" Type="http://schemas.openxmlformats.org/officeDocument/2006/relationships/hyperlink" Target="https://www.rednationff.com/" TargetMode="External"/><Relationship Id="rId1838" Type="http://schemas.openxmlformats.org/officeDocument/2006/relationships/hyperlink" Target="https://maps.google.com/?q=755+S.+Main+%234-165+Festival+City%2C+UT+84720+United+States" TargetMode="External"/><Relationship Id="rId1839" Type="http://schemas.openxmlformats.org/officeDocument/2006/relationships/hyperlink" Target="http://www.redrockfilmfestival.com/" TargetMode="External"/><Relationship Id="rId1820" Type="http://schemas.openxmlformats.org/officeDocument/2006/relationships/hyperlink" Target="https://filmfreeway.com/QueenCityFilmFestival" TargetMode="External"/><Relationship Id="rId1821" Type="http://schemas.openxmlformats.org/officeDocument/2006/relationships/hyperlink" Target="https://maps.google.com/?q=74-15+35th+Ave.+%236F+Jackson+Heights%2C+NY+11372+United+States" TargetMode="External"/><Relationship Id="rId1822" Type="http://schemas.openxmlformats.org/officeDocument/2006/relationships/hyperlink" Target="https://www.queensworldfilmfestival.com/" TargetMode="External"/><Relationship Id="rId1823" Type="http://schemas.openxmlformats.org/officeDocument/2006/relationships/hyperlink" Target="https://filmfreeway.com/QueensWorldFilmFestival" TargetMode="External"/><Relationship Id="rId1824" Type="http://schemas.openxmlformats.org/officeDocument/2006/relationships/hyperlink" Target="https://maps.google.com/?q=P.O.+Box+292+Ashford%2C+WA+98304+United+States" TargetMode="External"/><Relationship Id="rId1825" Type="http://schemas.openxmlformats.org/officeDocument/2006/relationships/hyperlink" Target="http://rainier.film/" TargetMode="External"/><Relationship Id="rId1826" Type="http://schemas.openxmlformats.org/officeDocument/2006/relationships/hyperlink" Target="http://rainier.film/" TargetMode="External"/><Relationship Id="rId1827" Type="http://schemas.openxmlformats.org/officeDocument/2006/relationships/hyperlink" Target="https://filmfreeway.com/RainierIndependentFilmFestival" TargetMode="External"/><Relationship Id="rId1828" Type="http://schemas.openxmlformats.org/officeDocument/2006/relationships/hyperlink" Target="https://www.raleighfilmandartfestival.com/" TargetMode="External"/><Relationship Id="rId1829" Type="http://schemas.openxmlformats.org/officeDocument/2006/relationships/hyperlink" Target="https://filmfreeway.com/RaleighFilmandArtFestival" TargetMode="External"/><Relationship Id="rId1455" Type="http://schemas.openxmlformats.org/officeDocument/2006/relationships/hyperlink" Target="https://nashvillefilmfestival.org/" TargetMode="External"/><Relationship Id="rId2302" Type="http://schemas.openxmlformats.org/officeDocument/2006/relationships/hyperlink" Target="https://filmfreeway.com/TallyShortsFilmFestival" TargetMode="External"/><Relationship Id="rId1456" Type="http://schemas.openxmlformats.org/officeDocument/2006/relationships/hyperlink" Target="https://filmfreeway.com/NashFilm" TargetMode="External"/><Relationship Id="rId2303" Type="http://schemas.openxmlformats.org/officeDocument/2006/relationships/hyperlink" Target="https://tiglff.com/" TargetMode="External"/><Relationship Id="rId1457" Type="http://schemas.openxmlformats.org/officeDocument/2006/relationships/hyperlink" Target="http://nashvillejff.net/" TargetMode="External"/><Relationship Id="rId2304" Type="http://schemas.openxmlformats.org/officeDocument/2006/relationships/hyperlink" Target="https://filmfreeway.com/TampaInternationalGayLesbianFilmFestival" TargetMode="External"/><Relationship Id="rId1458" Type="http://schemas.openxmlformats.org/officeDocument/2006/relationships/hyperlink" Target="https://maps.google.com/?q=1600+6th+Street+Parker%2C+Arizona+85344+United+States" TargetMode="External"/><Relationship Id="rId2305" Type="http://schemas.openxmlformats.org/officeDocument/2006/relationships/hyperlink" Target="http://www.tbjff.org/" TargetMode="External"/><Relationship Id="rId1459" Type="http://schemas.openxmlformats.org/officeDocument/2006/relationships/hyperlink" Target="http://www.nativisions.com/" TargetMode="External"/><Relationship Id="rId2306" Type="http://schemas.openxmlformats.org/officeDocument/2006/relationships/hyperlink" Target="https://www.tbjff.org/" TargetMode="External"/><Relationship Id="rId2307" Type="http://schemas.openxmlformats.org/officeDocument/2006/relationships/hyperlink" Target="http://tbuff.org/" TargetMode="External"/><Relationship Id="rId2308" Type="http://schemas.openxmlformats.org/officeDocument/2006/relationships/hyperlink" Target="https://filmfreeway.com/TampaBayUndergroundFilmFestival" TargetMode="External"/><Relationship Id="rId2309" Type="http://schemas.openxmlformats.org/officeDocument/2006/relationships/hyperlink" Target="https://tiglff.com/" TargetMode="External"/><Relationship Id="rId629" Type="http://schemas.openxmlformats.org/officeDocument/2006/relationships/hyperlink" Target="http://www.docnyc.net/" TargetMode="External"/><Relationship Id="rId624" Type="http://schemas.openxmlformats.org/officeDocument/2006/relationships/hyperlink" Target="http://www.diyds.org" TargetMode="External"/><Relationship Id="rId623" Type="http://schemas.openxmlformats.org/officeDocument/2006/relationships/hyperlink" Target="https://filmfreeway.com/DiwaFilmShowcase" TargetMode="External"/><Relationship Id="rId622" Type="http://schemas.openxmlformats.org/officeDocument/2006/relationships/hyperlink" Target="https://www.festalpagdiriwang.com/diwa-film-showcase" TargetMode="External"/><Relationship Id="rId621" Type="http://schemas.openxmlformats.org/officeDocument/2006/relationships/hyperlink" Target="https://maps.google.com/?q=15438+38th+Lane+S+Apt+11-102+Tukwila%2C+WA+98188+United+States" TargetMode="External"/><Relationship Id="rId628" Type="http://schemas.openxmlformats.org/officeDocument/2006/relationships/hyperlink" Target="https://maps.google.com/?q=174+W.+4th+St.+Suite+180+New+York%2C+NY+10014+United+States" TargetMode="External"/><Relationship Id="rId627" Type="http://schemas.openxmlformats.org/officeDocument/2006/relationships/hyperlink" Target="https://filmfreeway.com/DOCLA" TargetMode="External"/><Relationship Id="rId626" Type="http://schemas.openxmlformats.org/officeDocument/2006/relationships/hyperlink" Target="https://www.docla.org/" TargetMode="External"/><Relationship Id="rId625" Type="http://schemas.openxmlformats.org/officeDocument/2006/relationships/hyperlink" Target="https://maps.google.com/?q=Parajanov-Vartanov+Institute+POBOX+17257+Beverly+Hills%2C+California+90209+United+States" TargetMode="External"/><Relationship Id="rId1450" Type="http://schemas.openxmlformats.org/officeDocument/2006/relationships/hyperlink" Target="https://maps.google.com/?q=5833+Pelican+Bay+Blvd+Naples%2C+FL+34108+United+States" TargetMode="External"/><Relationship Id="rId620" Type="http://schemas.openxmlformats.org/officeDocument/2006/relationships/hyperlink" Target="https://filmfreeway.com/DisOrientAsianAmericanFilmFestivalofOregon" TargetMode="External"/><Relationship Id="rId1451" Type="http://schemas.openxmlformats.org/officeDocument/2006/relationships/hyperlink" Target="https://artisnaples.org/naples-international-film-festival/" TargetMode="External"/><Relationship Id="rId1452" Type="http://schemas.openxmlformats.org/officeDocument/2006/relationships/hyperlink" Target="https://filmfreeway.com/NaplesInternationalFilmFestival" TargetMode="External"/><Relationship Id="rId1453" Type="http://schemas.openxmlformats.org/officeDocument/2006/relationships/hyperlink" Target="https://maps.google.com/?q=161+Rains+Ave.+Nashville%2C+Tennessee+37203+United+States" TargetMode="External"/><Relationship Id="rId2300" Type="http://schemas.openxmlformats.org/officeDocument/2006/relationships/hyperlink" Target="https://filmfreeway.com/TallgrassFilmFestival" TargetMode="External"/><Relationship Id="rId1454" Type="http://schemas.openxmlformats.org/officeDocument/2006/relationships/hyperlink" Target="http://www.nashvillefilmfestival.org/" TargetMode="External"/><Relationship Id="rId2301" Type="http://schemas.openxmlformats.org/officeDocument/2006/relationships/hyperlink" Target="https://tallyshorts.com/" TargetMode="External"/><Relationship Id="rId1444" Type="http://schemas.openxmlformats.org/officeDocument/2006/relationships/hyperlink" Target="https://maps.google.com/?q=68+Jay+Street+Suite+319+Brooklyn%2C+New+York+11201+United+States" TargetMode="External"/><Relationship Id="rId1445" Type="http://schemas.openxmlformats.org/officeDocument/2006/relationships/hyperlink" Target="http://www.nantucketfilmfestival.org/" TargetMode="External"/><Relationship Id="rId1446" Type="http://schemas.openxmlformats.org/officeDocument/2006/relationships/hyperlink" Target="http://nantucketfilmfestival.org/" TargetMode="External"/><Relationship Id="rId1447" Type="http://schemas.openxmlformats.org/officeDocument/2006/relationships/hyperlink" Target="https://filmfreeway.com/NantucketFilmFestival" TargetMode="External"/><Relationship Id="rId1448" Type="http://schemas.openxmlformats.org/officeDocument/2006/relationships/hyperlink" Target="https://www.cinemanapavalley.org/film/" TargetMode="External"/><Relationship Id="rId1449" Type="http://schemas.openxmlformats.org/officeDocument/2006/relationships/hyperlink" Target="https://filmfreeway.com/NapaValleyFilmFestival" TargetMode="External"/><Relationship Id="rId619" Type="http://schemas.openxmlformats.org/officeDocument/2006/relationships/hyperlink" Target="http://disorientfilm.org/" TargetMode="External"/><Relationship Id="rId618" Type="http://schemas.openxmlformats.org/officeDocument/2006/relationships/hyperlink" Target="https://maps.google.com/?q=1430+Willamette+Street+%2330+Eugene%2C+OR+97401+United+States" TargetMode="External"/><Relationship Id="rId613" Type="http://schemas.openxmlformats.org/officeDocument/2006/relationships/hyperlink" Target="http://destinycityfilmfestival.com/" TargetMode="External"/><Relationship Id="rId612" Type="http://schemas.openxmlformats.org/officeDocument/2006/relationships/hyperlink" Target="https://filmfreeway.com/DesmondDistrictDemons" TargetMode="External"/><Relationship Id="rId611" Type="http://schemas.openxmlformats.org/officeDocument/2006/relationships/hyperlink" Target="http://www.desmonddistrictdemons.com/" TargetMode="External"/><Relationship Id="rId610" Type="http://schemas.openxmlformats.org/officeDocument/2006/relationships/hyperlink" Target="https://filmfreeway.com/DenverUndergroundFilmFestival" TargetMode="External"/><Relationship Id="rId617" Type="http://schemas.openxmlformats.org/officeDocument/2006/relationships/hyperlink" Target="https://detroitjewishfilmfestival.com/" TargetMode="External"/><Relationship Id="rId616" Type="http://schemas.openxmlformats.org/officeDocument/2006/relationships/hyperlink" Target="https://filmfreeway.com/difestofanim" TargetMode="External"/><Relationship Id="rId615" Type="http://schemas.openxmlformats.org/officeDocument/2006/relationships/hyperlink" Target="http://www.difestofanim.com/" TargetMode="External"/><Relationship Id="rId614" Type="http://schemas.openxmlformats.org/officeDocument/2006/relationships/hyperlink" Target="https://filmfreeway.com/DestinyCityFilmFestivalandScreenplayCompetition" TargetMode="External"/><Relationship Id="rId1440" Type="http://schemas.openxmlformats.org/officeDocument/2006/relationships/hyperlink" Target="http://mysticon-va.com/" TargetMode="External"/><Relationship Id="rId1441" Type="http://schemas.openxmlformats.org/officeDocument/2006/relationships/hyperlink" Target="https://filmfreeway.com/MystiConIndependentFilmFestival" TargetMode="External"/><Relationship Id="rId1442" Type="http://schemas.openxmlformats.org/officeDocument/2006/relationships/hyperlink" Target="http://www.nacogdochesfilmfestival.com" TargetMode="External"/><Relationship Id="rId1443" Type="http://schemas.openxmlformats.org/officeDocument/2006/relationships/hyperlink" Target="https://filmfreeway.com/NacogdochesFilmFestival" TargetMode="External"/><Relationship Id="rId1477" Type="http://schemas.openxmlformats.org/officeDocument/2006/relationships/hyperlink" Target="https://maps.google.com/?q=155+Fleet+St+Portsmouth%2C+NH+03801+United+States" TargetMode="External"/><Relationship Id="rId2324" Type="http://schemas.openxmlformats.org/officeDocument/2006/relationships/hyperlink" Target="https://filmfreeway.com/TellurideHorrorShow" TargetMode="External"/><Relationship Id="rId1478" Type="http://schemas.openxmlformats.org/officeDocument/2006/relationships/hyperlink" Target="https://nhfilmfestival.com/" TargetMode="External"/><Relationship Id="rId2325" Type="http://schemas.openxmlformats.org/officeDocument/2006/relationships/hyperlink" Target="https://www.blackmariafilmfestival.org/page.php?content=content-ourcollection-2019" TargetMode="External"/><Relationship Id="rId1479" Type="http://schemas.openxmlformats.org/officeDocument/2006/relationships/hyperlink" Target="https://filmfreeway.com/NewHampshireFilmFestival" TargetMode="External"/><Relationship Id="rId2326" Type="http://schemas.openxmlformats.org/officeDocument/2006/relationships/hyperlink" Target="https://www.thrillerchiller.com" TargetMode="External"/><Relationship Id="rId2327" Type="http://schemas.openxmlformats.org/officeDocument/2006/relationships/hyperlink" Target="http://www.throughwomenseyes.com/" TargetMode="External"/><Relationship Id="rId2328" Type="http://schemas.openxmlformats.org/officeDocument/2006/relationships/hyperlink" Target="https://filmfreeway.com/ThroughWomensEyes" TargetMode="External"/><Relationship Id="rId2329" Type="http://schemas.openxmlformats.org/officeDocument/2006/relationships/hyperlink" Target="https://maps.google.com/?q=6+Beach+Road%2C+544+Tiburon%2C+CA+94920+United+States" TargetMode="External"/><Relationship Id="rId646" Type="http://schemas.openxmlformats.org/officeDocument/2006/relationships/hyperlink" Target="https://filmfreeway.com/DownstreamFilmFestival" TargetMode="External"/><Relationship Id="rId645" Type="http://schemas.openxmlformats.org/officeDocument/2006/relationships/hyperlink" Target="https://crwp.net/" TargetMode="External"/><Relationship Id="rId644" Type="http://schemas.openxmlformats.org/officeDocument/2006/relationships/hyperlink" Target="https://doubleexposurefestival.com" TargetMode="External"/><Relationship Id="rId643" Type="http://schemas.openxmlformats.org/officeDocument/2006/relationships/hyperlink" Target="https://filmfreeway.com/DoorCountyShortFilmFestival" TargetMode="External"/><Relationship Id="rId649" Type="http://schemas.openxmlformats.org/officeDocument/2006/relationships/hyperlink" Target="http://www.druidundergroundfilmfestival.com/" TargetMode="External"/><Relationship Id="rId648" Type="http://schemas.openxmlformats.org/officeDocument/2006/relationships/hyperlink" Target="https://filmfreeway.com/DragonCon" TargetMode="External"/><Relationship Id="rId647" Type="http://schemas.openxmlformats.org/officeDocument/2006/relationships/hyperlink" Target="http://filmfest.dragoncon.org/" TargetMode="External"/><Relationship Id="rId1470" Type="http://schemas.openxmlformats.org/officeDocument/2006/relationships/hyperlink" Target="https://www.nwffest.com/" TargetMode="External"/><Relationship Id="rId1471" Type="http://schemas.openxmlformats.org/officeDocument/2006/relationships/hyperlink" Target="https://filmfreeway.com/NevadaWomensFilmFestival" TargetMode="External"/><Relationship Id="rId1472" Type="http://schemas.openxmlformats.org/officeDocument/2006/relationships/hyperlink" Target="https://maps.google.com/?q=309+West+Morgan+Street+Durham%2C+NC+27701+United+States" TargetMode="External"/><Relationship Id="rId642" Type="http://schemas.openxmlformats.org/officeDocument/2006/relationships/hyperlink" Target="http://www.cometosisterbay.com/festivals-and-events/door-county-short-film-fest/" TargetMode="External"/><Relationship Id="rId1473" Type="http://schemas.openxmlformats.org/officeDocument/2006/relationships/hyperlink" Target="http://www.carolinatheatre.org/films/festivals/nevermore" TargetMode="External"/><Relationship Id="rId2320" Type="http://schemas.openxmlformats.org/officeDocument/2006/relationships/hyperlink" Target="https://telluridefilmfestival.org/" TargetMode="External"/><Relationship Id="rId641" Type="http://schemas.openxmlformats.org/officeDocument/2006/relationships/hyperlink" Target="https://filmfreeway.com/DocuWestInternationalFilmFestival" TargetMode="External"/><Relationship Id="rId1474" Type="http://schemas.openxmlformats.org/officeDocument/2006/relationships/hyperlink" Target="https://filmfreeway.com/NevermoreFilmFestival" TargetMode="External"/><Relationship Id="rId2321" Type="http://schemas.openxmlformats.org/officeDocument/2006/relationships/hyperlink" Target="https://passes.telluridefilmfestival.org/filmsubmission" TargetMode="External"/><Relationship Id="rId640" Type="http://schemas.openxmlformats.org/officeDocument/2006/relationships/hyperlink" Target="http://docuwestfest.com/" TargetMode="External"/><Relationship Id="rId1475" Type="http://schemas.openxmlformats.org/officeDocument/2006/relationships/hyperlink" Target="http://newdirectors.org/" TargetMode="External"/><Relationship Id="rId2322" Type="http://schemas.openxmlformats.org/officeDocument/2006/relationships/hyperlink" Target="https://maps.google.com/?q=126+W.+Colorado+Ave+Unit+102-B+Telluride%2C+CO+81435+United+States" TargetMode="External"/><Relationship Id="rId1476" Type="http://schemas.openxmlformats.org/officeDocument/2006/relationships/hyperlink" Target="http://www.newdirectors.org/" TargetMode="External"/><Relationship Id="rId2323" Type="http://schemas.openxmlformats.org/officeDocument/2006/relationships/hyperlink" Target="https://www.telluridehorrorshow.com/" TargetMode="External"/><Relationship Id="rId1466" Type="http://schemas.openxmlformats.org/officeDocument/2006/relationships/hyperlink" Target="https://maps.google.com/?q=PO+Box+2001+Nevada+City%2C+CA+95959+United+States" TargetMode="External"/><Relationship Id="rId2313" Type="http://schemas.openxmlformats.org/officeDocument/2006/relationships/hyperlink" Target="http://www.taosshortz.com/2016/" TargetMode="External"/><Relationship Id="rId1467" Type="http://schemas.openxmlformats.org/officeDocument/2006/relationships/hyperlink" Target="http://www.nevadacityfilmfestival.com/" TargetMode="External"/><Relationship Id="rId2314" Type="http://schemas.openxmlformats.org/officeDocument/2006/relationships/hyperlink" Target="http://www.taosshortz.com/2016/" TargetMode="External"/><Relationship Id="rId1468" Type="http://schemas.openxmlformats.org/officeDocument/2006/relationships/hyperlink" Target="http://www.nevadacityfilmfestival.com/" TargetMode="External"/><Relationship Id="rId2315" Type="http://schemas.openxmlformats.org/officeDocument/2006/relationships/hyperlink" Target="https://filmfreeway.com/TaosShortz" TargetMode="External"/><Relationship Id="rId1469" Type="http://schemas.openxmlformats.org/officeDocument/2006/relationships/hyperlink" Target="https://filmfreeway.com/NevadaCityFilmFestival" TargetMode="External"/><Relationship Id="rId2316" Type="http://schemas.openxmlformats.org/officeDocument/2006/relationships/hyperlink" Target="http://tsaff.tasveer.org" TargetMode="External"/><Relationship Id="rId2317" Type="http://schemas.openxmlformats.org/officeDocument/2006/relationships/hyperlink" Target="http://www.teaneckfilmfestival.org/" TargetMode="External"/><Relationship Id="rId2318" Type="http://schemas.openxmlformats.org/officeDocument/2006/relationships/hyperlink" Target="https://www.teaneckfilmfestival.org/" TargetMode="External"/><Relationship Id="rId2319" Type="http://schemas.openxmlformats.org/officeDocument/2006/relationships/hyperlink" Target="http://www.telluridefilmfestival.org/" TargetMode="External"/><Relationship Id="rId635" Type="http://schemas.openxmlformats.org/officeDocument/2006/relationships/hyperlink" Target="https://filmfreeway.com/DocLandsDocumentaryFilmFestival/" TargetMode="External"/><Relationship Id="rId634" Type="http://schemas.openxmlformats.org/officeDocument/2006/relationships/hyperlink" Target="https://www.doclands.com" TargetMode="External"/><Relationship Id="rId633" Type="http://schemas.openxmlformats.org/officeDocument/2006/relationships/hyperlink" Target="https://filmfreeway.com/DocSunbackFilmFestival" TargetMode="External"/><Relationship Id="rId632" Type="http://schemas.openxmlformats.org/officeDocument/2006/relationships/hyperlink" Target="http://www.docsunbackfilmfest.com/" TargetMode="External"/><Relationship Id="rId639" Type="http://schemas.openxmlformats.org/officeDocument/2006/relationships/hyperlink" Target="https://maps.google.com/?q=Alamo+Drafthouse+Denver+4255+W.+Colfax+Ave.+Denver%2C+Colorado+80204+United+States" TargetMode="External"/><Relationship Id="rId638" Type="http://schemas.openxmlformats.org/officeDocument/2006/relationships/hyperlink" Target="https://filmfreeway.com/DOCUTAH" TargetMode="External"/><Relationship Id="rId637" Type="http://schemas.openxmlformats.org/officeDocument/2006/relationships/hyperlink" Target="https://docutah.com/" TargetMode="External"/><Relationship Id="rId636" Type="http://schemas.openxmlformats.org/officeDocument/2006/relationships/hyperlink" Target="https://maps.google.com/?q=225+S+University+Ave+St.+George%2C+UT+84770+United+States" TargetMode="External"/><Relationship Id="rId1460" Type="http://schemas.openxmlformats.org/officeDocument/2006/relationships/hyperlink" Target="https://filmfreeway.com/NatiVisionsFilmFestival-915947" TargetMode="External"/><Relationship Id="rId1461" Type="http://schemas.openxmlformats.org/officeDocument/2006/relationships/hyperlink" Target="https://www.facebook.com/groups/ncisaff/" TargetMode="External"/><Relationship Id="rId631" Type="http://schemas.openxmlformats.org/officeDocument/2006/relationships/hyperlink" Target="https://filmfreeway.com/DOCNYC" TargetMode="External"/><Relationship Id="rId1462" Type="http://schemas.openxmlformats.org/officeDocument/2006/relationships/hyperlink" Target="https://filmfreeway.com/ncisaff" TargetMode="External"/><Relationship Id="rId630" Type="http://schemas.openxmlformats.org/officeDocument/2006/relationships/hyperlink" Target="http://www.docnyc.net/" TargetMode="External"/><Relationship Id="rId1463" Type="http://schemas.openxmlformats.org/officeDocument/2006/relationships/hyperlink" Target="https://maps.google.com/?q=3111+Saunders+Settlement+Rd+Sanborn%2C+New+York+14132+United+States" TargetMode="External"/><Relationship Id="rId2310" Type="http://schemas.openxmlformats.org/officeDocument/2006/relationships/hyperlink" Target="https://tiglff.com/" TargetMode="External"/><Relationship Id="rId1464" Type="http://schemas.openxmlformats.org/officeDocument/2006/relationships/hyperlink" Target="http://www.niagaracc.suny.edu/ncccfilmfestival/" TargetMode="External"/><Relationship Id="rId2311" Type="http://schemas.openxmlformats.org/officeDocument/2006/relationships/hyperlink" Target="https://filmfreeway.com/TampaInternationalGayLesbianFilmFestival" TargetMode="External"/><Relationship Id="rId1465" Type="http://schemas.openxmlformats.org/officeDocument/2006/relationships/hyperlink" Target="https://filmfreeway.com/NCCCFilmFestival" TargetMode="External"/><Relationship Id="rId2312" Type="http://schemas.openxmlformats.org/officeDocument/2006/relationships/hyperlink" Target="https://maps.google.com/?q=HC+81+Box+02+1977+Old+State+Rd+3+Questa%2C+New+Mexico+87556+United+States" TargetMode="External"/><Relationship Id="rId1411" Type="http://schemas.openxmlformats.org/officeDocument/2006/relationships/hyperlink" Target="https://filmfreeway.com/MonmouthFilmFestival" TargetMode="External"/><Relationship Id="rId1895" Type="http://schemas.openxmlformats.org/officeDocument/2006/relationships/hyperlink" Target="https://maps.google.com/?q=305+West+Fourth+Street+Suite+1A+Winston-Salem%2C+NC+27101+United+States" TargetMode="External"/><Relationship Id="rId1412" Type="http://schemas.openxmlformats.org/officeDocument/2006/relationships/hyperlink" Target="http://mononoawarefilm.com/" TargetMode="External"/><Relationship Id="rId1896" Type="http://schemas.openxmlformats.org/officeDocument/2006/relationships/hyperlink" Target="https://riverrunfilm.com/" TargetMode="External"/><Relationship Id="rId1413" Type="http://schemas.openxmlformats.org/officeDocument/2006/relationships/hyperlink" Target="http://www.montanafilmfestival.org" TargetMode="External"/><Relationship Id="rId1897" Type="http://schemas.openxmlformats.org/officeDocument/2006/relationships/hyperlink" Target="https://filmfreeway.com/RiverRun" TargetMode="External"/><Relationship Id="rId1414" Type="http://schemas.openxmlformats.org/officeDocument/2006/relationships/hyperlink" Target="https://filmfreeway.com/MontanaFilmFestival" TargetMode="External"/><Relationship Id="rId1898" Type="http://schemas.openxmlformats.org/officeDocument/2006/relationships/hyperlink" Target="https://maps.google.com/?q=Riverside%2C+California+92506+United+States" TargetMode="External"/><Relationship Id="rId1415" Type="http://schemas.openxmlformats.org/officeDocument/2006/relationships/hyperlink" Target="https://montclairfilm.org/" TargetMode="External"/><Relationship Id="rId1899" Type="http://schemas.openxmlformats.org/officeDocument/2006/relationships/hyperlink" Target="http://riversidefilm.org/" TargetMode="External"/><Relationship Id="rId1416" Type="http://schemas.openxmlformats.org/officeDocument/2006/relationships/hyperlink" Target="https://filmfreeway.com/MontclairFilm" TargetMode="External"/><Relationship Id="rId1417" Type="http://schemas.openxmlformats.org/officeDocument/2006/relationships/hyperlink" Target="http://www.montgomeryfilmfestival.com/" TargetMode="External"/><Relationship Id="rId1418" Type="http://schemas.openxmlformats.org/officeDocument/2006/relationships/hyperlink" Target="https://filmfreeway.com/MontgomeryFilmFestival" TargetMode="External"/><Relationship Id="rId1419" Type="http://schemas.openxmlformats.org/officeDocument/2006/relationships/hyperlink" Target="http://mosaicfilmfest.com/" TargetMode="External"/><Relationship Id="rId1890" Type="http://schemas.openxmlformats.org/officeDocument/2006/relationships/hyperlink" Target="http://www.riversedgefilmfestival.com" TargetMode="External"/><Relationship Id="rId1891" Type="http://schemas.openxmlformats.org/officeDocument/2006/relationships/hyperlink" Target="https://maps.google.com/?q=c%2Fo+Maiden+Alley+Cinema+112+Maiden+Alley+Paducah%2C+Kentucky+42001+United+States" TargetMode="External"/><Relationship Id="rId1892" Type="http://schemas.openxmlformats.org/officeDocument/2006/relationships/hyperlink" Target="http://www.riversedgefilmfestival.com/" TargetMode="External"/><Relationship Id="rId1893" Type="http://schemas.openxmlformats.org/officeDocument/2006/relationships/hyperlink" Target="http://www.riversedgefilmfestival.com/" TargetMode="External"/><Relationship Id="rId1410" Type="http://schemas.openxmlformats.org/officeDocument/2006/relationships/hyperlink" Target="https://www.monmouthfilmfestival.org/" TargetMode="External"/><Relationship Id="rId1894" Type="http://schemas.openxmlformats.org/officeDocument/2006/relationships/hyperlink" Target="https://filmfreeway.com/RiversEdgeInternationalFilmFestival" TargetMode="External"/><Relationship Id="rId1400" Type="http://schemas.openxmlformats.org/officeDocument/2006/relationships/hyperlink" Target="https://maps.google.com/?q=P.O.+Box+7721+Missoula%2C+MT+59807+United+States" TargetMode="External"/><Relationship Id="rId1884" Type="http://schemas.openxmlformats.org/officeDocument/2006/relationships/hyperlink" Target="https://maps.google.com/?q=41+N.+Broad+Street+Ridgewood%2C+NJ+07450+United+States" TargetMode="External"/><Relationship Id="rId1401" Type="http://schemas.openxmlformats.org/officeDocument/2006/relationships/hyperlink" Target="http://www.miscon.org/filmfestival/" TargetMode="External"/><Relationship Id="rId1885" Type="http://schemas.openxmlformats.org/officeDocument/2006/relationships/hyperlink" Target="https://ridgewoodguildfilmfest.com/" TargetMode="External"/><Relationship Id="rId1402" Type="http://schemas.openxmlformats.org/officeDocument/2006/relationships/hyperlink" Target="https://filmfreeway.com/MisConInternationalShortFilmFestival" TargetMode="External"/><Relationship Id="rId1886" Type="http://schemas.openxmlformats.org/officeDocument/2006/relationships/hyperlink" Target="https://filmfreeway.com/RidgewoodInternationalFilmFestival" TargetMode="External"/><Relationship Id="rId1403" Type="http://schemas.openxmlformats.org/officeDocument/2006/relationships/hyperlink" Target="https://www.mixnyc.org/" TargetMode="External"/><Relationship Id="rId1887" Type="http://schemas.openxmlformats.org/officeDocument/2006/relationships/hyperlink" Target="https://maps.google.com/?q=234+S.+Main+Street+Suite+5+Goshen%2C+Indiana+46526+United+States" TargetMode="External"/><Relationship Id="rId1404" Type="http://schemas.openxmlformats.org/officeDocument/2006/relationships/hyperlink" Target="https://www.mixnyc.org/" TargetMode="External"/><Relationship Id="rId1888" Type="http://schemas.openxmlformats.org/officeDocument/2006/relationships/hyperlink" Target="https://www.riverbendfilmfest.com/" TargetMode="External"/><Relationship Id="rId1405" Type="http://schemas.openxmlformats.org/officeDocument/2006/relationships/hyperlink" Target="https://maps.google.com/?q=25+Roxbury+Street%2C+Suite+207+Keene%2C+NH+03431+United+States" TargetMode="External"/><Relationship Id="rId1889" Type="http://schemas.openxmlformats.org/officeDocument/2006/relationships/hyperlink" Target="https://filmfreeway.com/RiverBendFilmFestival" TargetMode="External"/><Relationship Id="rId1406" Type="http://schemas.openxmlformats.org/officeDocument/2006/relationships/hyperlink" Target="https://www.moniff.org/" TargetMode="External"/><Relationship Id="rId1407" Type="http://schemas.openxmlformats.org/officeDocument/2006/relationships/hyperlink" Target="https://filmfreeway.com/MonadnockInternationalFilmFestival" TargetMode="External"/><Relationship Id="rId1408" Type="http://schemas.openxmlformats.org/officeDocument/2006/relationships/hyperlink" Target="http://monarchfilmfestival.com" TargetMode="External"/><Relationship Id="rId1409" Type="http://schemas.openxmlformats.org/officeDocument/2006/relationships/hyperlink" Target="https://filmfreeway.com/MonarchFilmFestival" TargetMode="External"/><Relationship Id="rId1880" Type="http://schemas.openxmlformats.org/officeDocument/2006/relationships/hyperlink" Target="https://maps.google.com/?q=3126+W.+Cary+Street+%23605+Richmond%2C+VA+23221+United+States" TargetMode="External"/><Relationship Id="rId1881" Type="http://schemas.openxmlformats.org/officeDocument/2006/relationships/hyperlink" Target="https://www.rvafilmfestival.com/" TargetMode="External"/><Relationship Id="rId1882" Type="http://schemas.openxmlformats.org/officeDocument/2006/relationships/hyperlink" Target="https://filmfreeway.com/RICHMONDINTERNATIONALFILMFESTIVAL" TargetMode="External"/><Relationship Id="rId1883" Type="http://schemas.openxmlformats.org/officeDocument/2006/relationships/hyperlink" Target="https://www.riffct.org" TargetMode="External"/><Relationship Id="rId1433" Type="http://schemas.openxmlformats.org/officeDocument/2006/relationships/hyperlink" Target="https://filmfreeway.com/MuscatineIndependentFilmFestival" TargetMode="External"/><Relationship Id="rId1434" Type="http://schemas.openxmlformats.org/officeDocument/2006/relationships/hyperlink" Target="https://myhero.com/films" TargetMode="External"/><Relationship Id="rId1435" Type="http://schemas.openxmlformats.org/officeDocument/2006/relationships/hyperlink" Target="https://filmfreeway.com/MYHEROIFF" TargetMode="External"/><Relationship Id="rId1436" Type="http://schemas.openxmlformats.org/officeDocument/2006/relationships/hyperlink" Target="http://www.myrtlebeachfilmfestival.com/" TargetMode="External"/><Relationship Id="rId1437" Type="http://schemas.openxmlformats.org/officeDocument/2006/relationships/hyperlink" Target="http://www.myrtlebeachfilmfestival.com/" TargetMode="External"/><Relationship Id="rId1438" Type="http://schemas.openxmlformats.org/officeDocument/2006/relationships/hyperlink" Target="https://filmfreeway.com/MyrtleBeachInternationalFilmFestival" TargetMode="External"/><Relationship Id="rId1439" Type="http://schemas.openxmlformats.org/officeDocument/2006/relationships/hyperlink" Target="https://maps.google.com/?q=3735+Franklin+Road+SW+Suite+228+Roanoke%2C+VA+24014+United+States" TargetMode="External"/><Relationship Id="rId609" Type="http://schemas.openxmlformats.org/officeDocument/2006/relationships/hyperlink" Target="https://www.duffcinema.org/" TargetMode="External"/><Relationship Id="rId608" Type="http://schemas.openxmlformats.org/officeDocument/2006/relationships/hyperlink" Target="https://filmfreeway.com/DenverJewishFilmFestival" TargetMode="External"/><Relationship Id="rId607" Type="http://schemas.openxmlformats.org/officeDocument/2006/relationships/hyperlink" Target="https://www.jccdenver.org/arts-culture/denver-jewish-film-festival/" TargetMode="External"/><Relationship Id="rId602" Type="http://schemas.openxmlformats.org/officeDocument/2006/relationships/hyperlink" Target="http://dentonbff.com/" TargetMode="External"/><Relationship Id="rId601" Type="http://schemas.openxmlformats.org/officeDocument/2006/relationships/hyperlink" Target="https://maps.google.com/?q=29+Wellington+Oaks+Circle+Denton%2C+TX+76210+United+States" TargetMode="External"/><Relationship Id="rId600" Type="http://schemas.openxmlformats.org/officeDocument/2006/relationships/hyperlink" Target="http://www.deltamoon.org" TargetMode="External"/><Relationship Id="rId606" Type="http://schemas.openxmlformats.org/officeDocument/2006/relationships/hyperlink" Target="https://www.jccdenver.org/arts-culture/denver-jewish-film-festival/" TargetMode="External"/><Relationship Id="rId605" Type="http://schemas.openxmlformats.org/officeDocument/2006/relationships/hyperlink" Target="https://denverfilmfestival.denverfilm.org/?detect=yes" TargetMode="External"/><Relationship Id="rId604" Type="http://schemas.openxmlformats.org/officeDocument/2006/relationships/hyperlink" Target="https://denverfilmfestival.denverfilm.org/directions/" TargetMode="External"/><Relationship Id="rId603" Type="http://schemas.openxmlformats.org/officeDocument/2006/relationships/hyperlink" Target="https://filmfreeway.com/DentonBlackFilmFestival" TargetMode="External"/><Relationship Id="rId1430" Type="http://schemas.openxmlformats.org/officeDocument/2006/relationships/hyperlink" Target="https://filmfreeway.com/Moviate" TargetMode="External"/><Relationship Id="rId1431" Type="http://schemas.openxmlformats.org/officeDocument/2006/relationships/hyperlink" Target="https://maps.google.com/?q=2786+Shamrock+Dr.+Muscatine%2C+IA+52761+United+States" TargetMode="External"/><Relationship Id="rId1432" Type="http://schemas.openxmlformats.org/officeDocument/2006/relationships/hyperlink" Target="https://muscatinefilmfest.com/" TargetMode="External"/><Relationship Id="rId1422" Type="http://schemas.openxmlformats.org/officeDocument/2006/relationships/hyperlink" Target="https://filmfreeway.com/MCNFF" TargetMode="External"/><Relationship Id="rId1423" Type="http://schemas.openxmlformats.org/officeDocument/2006/relationships/hyperlink" Target="https://maps.google.com/?q=4557+Colfax+Ave+North+Hollywood%2C+California+91602+United+States" TargetMode="External"/><Relationship Id="rId1424" Type="http://schemas.openxmlformats.org/officeDocument/2006/relationships/hyperlink" Target="https://filmfestivalflix.com/festival/maff-gathering/" TargetMode="External"/><Relationship Id="rId1425" Type="http://schemas.openxmlformats.org/officeDocument/2006/relationships/hyperlink" Target="https://filmfreeway.com/MountainAndAdventureFilmFestival" TargetMode="External"/><Relationship Id="rId1426" Type="http://schemas.openxmlformats.org/officeDocument/2006/relationships/hyperlink" Target="https://maps.google.com/?q=PO+Box+1088+109+E.+Colorado+Suite+1+Telluride%2C+CO+81435+United+States" TargetMode="External"/><Relationship Id="rId1427" Type="http://schemas.openxmlformats.org/officeDocument/2006/relationships/hyperlink" Target="https://www.mountainfilm.org/" TargetMode="External"/><Relationship Id="rId1428" Type="http://schemas.openxmlformats.org/officeDocument/2006/relationships/hyperlink" Target="https://filmfreeway.com/Mountainfilm" TargetMode="External"/><Relationship Id="rId1429" Type="http://schemas.openxmlformats.org/officeDocument/2006/relationships/hyperlink" Target="http://www.moviate.org/" TargetMode="External"/><Relationship Id="rId1420" Type="http://schemas.openxmlformats.org/officeDocument/2006/relationships/hyperlink" Target="https://filmfreeway.com/MosaicWorldFilmFestival" TargetMode="External"/><Relationship Id="rId1421" Type="http://schemas.openxmlformats.org/officeDocument/2006/relationships/hyperlink" Target="http://motorcitynightmares.com/" TargetMode="External"/><Relationship Id="rId1059" Type="http://schemas.openxmlformats.org/officeDocument/2006/relationships/hyperlink" Target="https://filmfreeway.com/IntendenceFilmFestival" TargetMode="External"/><Relationship Id="rId228" Type="http://schemas.openxmlformats.org/officeDocument/2006/relationships/hyperlink" Target="https://filmfreeway.com/BigWaterFilmFestival" TargetMode="External"/><Relationship Id="rId227" Type="http://schemas.openxmlformats.org/officeDocument/2006/relationships/hyperlink" Target="http://www.bigwaterfilmfestival.org/" TargetMode="External"/><Relationship Id="rId226" Type="http://schemas.openxmlformats.org/officeDocument/2006/relationships/hyperlink" Target="https://filmfreeway.com/BigSkyDocumentaryFilmFestival" TargetMode="External"/><Relationship Id="rId225" Type="http://schemas.openxmlformats.org/officeDocument/2006/relationships/hyperlink" Target="http://www.bigskyfilmfest.org/" TargetMode="External"/><Relationship Id="rId2380" Type="http://schemas.openxmlformats.org/officeDocument/2006/relationships/hyperlink" Target="https://filmfreeway.com/MiznaTwinCitiesArabFilmFestival" TargetMode="External"/><Relationship Id="rId229" Type="http://schemas.openxmlformats.org/officeDocument/2006/relationships/hyperlink" Target="http://glentheater.wixsite.com/billjohnsonfilm" TargetMode="External"/><Relationship Id="rId1050" Type="http://schemas.openxmlformats.org/officeDocument/2006/relationships/hyperlink" Target="https://maps.google.com/?q=221+Hay+Street+Fayetteville%2C+NC+28301+United+States" TargetMode="External"/><Relationship Id="rId2381" Type="http://schemas.openxmlformats.org/officeDocument/2006/relationships/hyperlink" Target="https://maps.google.com/?q=PO+Box+19403+Minneapolis%2C+Minnesota+55419+United+States" TargetMode="External"/><Relationship Id="rId220" Type="http://schemas.openxmlformats.org/officeDocument/2006/relationships/hyperlink" Target="https://filmfreeway.com/BigEasyInternationalFilmFestival" TargetMode="External"/><Relationship Id="rId1051" Type="http://schemas.openxmlformats.org/officeDocument/2006/relationships/hyperlink" Target="http://www.indigomoonfilmfestival.com/" TargetMode="External"/><Relationship Id="rId2382" Type="http://schemas.openxmlformats.org/officeDocument/2006/relationships/hyperlink" Target="http://www.tcbff.org/" TargetMode="External"/><Relationship Id="rId1052" Type="http://schemas.openxmlformats.org/officeDocument/2006/relationships/hyperlink" Target="https://filmfreeway.com/IndigoMoonFilmFestival" TargetMode="External"/><Relationship Id="rId2383" Type="http://schemas.openxmlformats.org/officeDocument/2006/relationships/hyperlink" Target="https://filmfreeway.com/tcbff" TargetMode="External"/><Relationship Id="rId1053" Type="http://schemas.openxmlformats.org/officeDocument/2006/relationships/hyperlink" Target="https://maps.google.com/?q=125+W.+South+St.+%231930+Indianapolis%2C+IN+46206+United+States" TargetMode="External"/><Relationship Id="rId2384" Type="http://schemas.openxmlformats.org/officeDocument/2006/relationships/hyperlink" Target="https://maps.google.com/?q=1621+West+End+Blvd.+St.+Louis+Park%2C+mn+55416+United+States" TargetMode="External"/><Relationship Id="rId1054" Type="http://schemas.openxmlformats.org/officeDocument/2006/relationships/hyperlink" Target="https://indyfilmfest.org/" TargetMode="External"/><Relationship Id="rId2385" Type="http://schemas.openxmlformats.org/officeDocument/2006/relationships/hyperlink" Target="http://twincitiesfilmfest.org/" TargetMode="External"/><Relationship Id="rId224" Type="http://schemas.openxmlformats.org/officeDocument/2006/relationships/hyperlink" Target="https://maps.google.com/?q=113+W.+Front+Street%2C+Suite+105+Missoula%2C+Montana+59802+United+States" TargetMode="External"/><Relationship Id="rId1055" Type="http://schemas.openxmlformats.org/officeDocument/2006/relationships/hyperlink" Target="https://filmfreeway.com/IndyFilmFest" TargetMode="External"/><Relationship Id="rId2386" Type="http://schemas.openxmlformats.org/officeDocument/2006/relationships/hyperlink" Target="https://filmfreeway.com/TwinCitiesFilmFest" TargetMode="External"/><Relationship Id="rId223" Type="http://schemas.openxmlformats.org/officeDocument/2006/relationships/hyperlink" Target="https://filmfreeway.com/BigMuddyFilmFestival" TargetMode="External"/><Relationship Id="rId1056" Type="http://schemas.openxmlformats.org/officeDocument/2006/relationships/hyperlink" Target="http://heartlandfilm.org/indyshorts" TargetMode="External"/><Relationship Id="rId2387" Type="http://schemas.openxmlformats.org/officeDocument/2006/relationships/hyperlink" Target="http://tcjfilmfest.org/" TargetMode="External"/><Relationship Id="rId222" Type="http://schemas.openxmlformats.org/officeDocument/2006/relationships/hyperlink" Target="http://bigmuddyfilm.com/" TargetMode="External"/><Relationship Id="rId1057" Type="http://schemas.openxmlformats.org/officeDocument/2006/relationships/hyperlink" Target="https://maps.google.com/?q=1625+Yukon+St+Lakewood%2C+CO+80214+United+States" TargetMode="External"/><Relationship Id="rId2388" Type="http://schemas.openxmlformats.org/officeDocument/2006/relationships/hyperlink" Target="https://filmfreeway.com/TwinCitiesJewishFilmFestival" TargetMode="External"/><Relationship Id="rId221" Type="http://schemas.openxmlformats.org/officeDocument/2006/relationships/hyperlink" Target="https://maps.google.com/?q=Southern+Illinois+University+Department+of+Cinema+%26amp%3B+Photography+1100+Lincoln+Drive%2C+Room+1101+Carbondale%2C+IL+62901+United+States" TargetMode="External"/><Relationship Id="rId1058" Type="http://schemas.openxmlformats.org/officeDocument/2006/relationships/hyperlink" Target="http://www.intendence.org/" TargetMode="External"/><Relationship Id="rId2389" Type="http://schemas.openxmlformats.org/officeDocument/2006/relationships/hyperlink" Target="https://www.twinfallssandwichesfilmfestival.com/" TargetMode="External"/><Relationship Id="rId1048" Type="http://schemas.openxmlformats.org/officeDocument/2006/relationships/hyperlink" Target="https://www.indiestreetfilmfestival.org/" TargetMode="External"/><Relationship Id="rId2379" Type="http://schemas.openxmlformats.org/officeDocument/2006/relationships/hyperlink" Target="https://mizna.org/arabfilmfest/" TargetMode="External"/><Relationship Id="rId1049" Type="http://schemas.openxmlformats.org/officeDocument/2006/relationships/hyperlink" Target="https://filmfreeway.com/IndieStreetFilmFestival" TargetMode="External"/><Relationship Id="rId217" Type="http://schemas.openxmlformats.org/officeDocument/2006/relationships/hyperlink" Target="https://www.bigapplefilmfestival.com/" TargetMode="External"/><Relationship Id="rId216" Type="http://schemas.openxmlformats.org/officeDocument/2006/relationships/hyperlink" Target="http://www.bicyclefilmfestival.com" TargetMode="External"/><Relationship Id="rId215" Type="http://schemas.openxmlformats.org/officeDocument/2006/relationships/hyperlink" Target="https://filmfreeway.com/BeverlyHillsFilmFestival" TargetMode="External"/><Relationship Id="rId699" Type="http://schemas.openxmlformats.org/officeDocument/2006/relationships/hyperlink" Target="https://filmfreeway.com/fairhopefilmfestival" TargetMode="External"/><Relationship Id="rId214" Type="http://schemas.openxmlformats.org/officeDocument/2006/relationships/hyperlink" Target="http://www.beverlyhillsfilmfestival.com/" TargetMode="External"/><Relationship Id="rId698" Type="http://schemas.openxmlformats.org/officeDocument/2006/relationships/hyperlink" Target="https://www.fairhopefilmfestival.org/" TargetMode="External"/><Relationship Id="rId219" Type="http://schemas.openxmlformats.org/officeDocument/2006/relationships/hyperlink" Target="http://bigeasyinternationalfilmfestival.com" TargetMode="External"/><Relationship Id="rId218" Type="http://schemas.openxmlformats.org/officeDocument/2006/relationships/hyperlink" Target="https://filmfreeway.com/BigAppleFilmFestival" TargetMode="External"/><Relationship Id="rId2370" Type="http://schemas.openxmlformats.org/officeDocument/2006/relationships/hyperlink" Target="http://www.tulsaamericanfilmfest.com/" TargetMode="External"/><Relationship Id="rId693" Type="http://schemas.openxmlformats.org/officeDocument/2006/relationships/hyperlink" Target="http://eyeworksfestival.com/" TargetMode="External"/><Relationship Id="rId1040" Type="http://schemas.openxmlformats.org/officeDocument/2006/relationships/hyperlink" Target="http://indiegrits.org/" TargetMode="External"/><Relationship Id="rId2371" Type="http://schemas.openxmlformats.org/officeDocument/2006/relationships/hyperlink" Target="https://filmfreeway.com/TulsaAmericanFilmFestival" TargetMode="External"/><Relationship Id="rId692" Type="http://schemas.openxmlformats.org/officeDocument/2006/relationships/hyperlink" Target="http://eyeworksfestival.com/" TargetMode="External"/><Relationship Id="rId1041" Type="http://schemas.openxmlformats.org/officeDocument/2006/relationships/hyperlink" Target="https://filmfreeway.com/IndieGrits" TargetMode="External"/><Relationship Id="rId2372" Type="http://schemas.openxmlformats.org/officeDocument/2006/relationships/hyperlink" Target="http://tulsaoverground.com/" TargetMode="External"/><Relationship Id="rId691" Type="http://schemas.openxmlformats.org/officeDocument/2006/relationships/hyperlink" Target="https://filmfreeway.com/ExtremelyShorts" TargetMode="External"/><Relationship Id="rId1042" Type="http://schemas.openxmlformats.org/officeDocument/2006/relationships/hyperlink" Target="http://www.indiehorrorfest.com/" TargetMode="External"/><Relationship Id="rId2373" Type="http://schemas.openxmlformats.org/officeDocument/2006/relationships/hyperlink" Target="https://filmfreeway.com/TulsaOverground" TargetMode="External"/><Relationship Id="rId690" Type="http://schemas.openxmlformats.org/officeDocument/2006/relationships/hyperlink" Target="http://www.aurorapictureshow.org/pages/home.asp" TargetMode="External"/><Relationship Id="rId1043" Type="http://schemas.openxmlformats.org/officeDocument/2006/relationships/hyperlink" Target="https://filmfreeway.com/IndieHorrorFest" TargetMode="External"/><Relationship Id="rId2374" Type="http://schemas.openxmlformats.org/officeDocument/2006/relationships/hyperlink" Target="https://maps.google.com/?q=c%2Fo+Tupelo+Public+Library+219+N+Madison+St%2C+Tupelo%2C+MS+Tupelo%2C+MS+38802+United+States" TargetMode="External"/><Relationship Id="rId213" Type="http://schemas.openxmlformats.org/officeDocument/2006/relationships/hyperlink" Target="http://www.beverlyhillsfilmfestival.com/" TargetMode="External"/><Relationship Id="rId697" Type="http://schemas.openxmlformats.org/officeDocument/2006/relationships/hyperlink" Target="https://maps.google.com/?q=Fairhope+Film+Festival+122+Fairhope+Avenue%2C+%231+Fairhope%2C+AL+36532+United+States" TargetMode="External"/><Relationship Id="rId1044" Type="http://schemas.openxmlformats.org/officeDocument/2006/relationships/hyperlink" Target="https://maps.google.com/?q=1910+Madison+Ave.+%23632+Memphis%2C+TN+38104+United+States" TargetMode="External"/><Relationship Id="rId2375" Type="http://schemas.openxmlformats.org/officeDocument/2006/relationships/hyperlink" Target="http://www.tupelofilmfestival.net/" TargetMode="External"/><Relationship Id="rId212" Type="http://schemas.openxmlformats.org/officeDocument/2006/relationships/hyperlink" Target="https://maps.google.com/?q=9663+Santa+Monica+Blvd.+%23777+Beverly+Hills%2C+CA+90210+United+States" TargetMode="External"/><Relationship Id="rId696" Type="http://schemas.openxmlformats.org/officeDocument/2006/relationships/hyperlink" Target="https://filmfreeway.com/F3FranklyFilmFest" TargetMode="External"/><Relationship Id="rId1045" Type="http://schemas.openxmlformats.org/officeDocument/2006/relationships/hyperlink" Target="http://indiememphis.com/" TargetMode="External"/><Relationship Id="rId2376" Type="http://schemas.openxmlformats.org/officeDocument/2006/relationships/hyperlink" Target="http://www.tupelofilmfestival.net/" TargetMode="External"/><Relationship Id="rId211" Type="http://schemas.openxmlformats.org/officeDocument/2006/relationships/hyperlink" Target="https://filmfreeway.com/BethesdaFilmFest" TargetMode="External"/><Relationship Id="rId695" Type="http://schemas.openxmlformats.org/officeDocument/2006/relationships/hyperlink" Target="http://www.franklyfilmfest.com/" TargetMode="External"/><Relationship Id="rId1046" Type="http://schemas.openxmlformats.org/officeDocument/2006/relationships/hyperlink" Target="https://filmfreeway.com/IndieMemphis" TargetMode="External"/><Relationship Id="rId2377" Type="http://schemas.openxmlformats.org/officeDocument/2006/relationships/hyperlink" Target="https://filmfreeway.com/TupeloFilmFestival" TargetMode="External"/><Relationship Id="rId210" Type="http://schemas.openxmlformats.org/officeDocument/2006/relationships/hyperlink" Target="https://www.bethesda.org/bethesda/bethesda-film-fest" TargetMode="External"/><Relationship Id="rId694" Type="http://schemas.openxmlformats.org/officeDocument/2006/relationships/hyperlink" Target="https://maps.google.com/?q=5340+Romance+Lane+Cincinnati%2C+OH+45238+United+States" TargetMode="External"/><Relationship Id="rId1047" Type="http://schemas.openxmlformats.org/officeDocument/2006/relationships/hyperlink" Target="https://maps.google.com/?q=Red+Bank+River+Center+140+Broad+Street+Red+Bank%2C+NJ+07701+United+States" TargetMode="External"/><Relationship Id="rId2378" Type="http://schemas.openxmlformats.org/officeDocument/2006/relationships/hyperlink" Target="https://maps.google.com/?q=2446+University+Ave+W+Suite+115+St.+Paul%2C+Minnesota+%28MN%29+55114+United+States" TargetMode="External"/><Relationship Id="rId249" Type="http://schemas.openxmlformats.org/officeDocument/2006/relationships/hyperlink" Target="https://filmfreeway.com/Blissfest333" TargetMode="External"/><Relationship Id="rId248" Type="http://schemas.openxmlformats.org/officeDocument/2006/relationships/hyperlink" Target="https://www.blissfest333.com/" TargetMode="External"/><Relationship Id="rId247" Type="http://schemas.openxmlformats.org/officeDocument/2006/relationships/hyperlink" Target="https://filmfreeway.com/BleedinghamFilmFestival" TargetMode="External"/><Relationship Id="rId1070" Type="http://schemas.openxmlformats.org/officeDocument/2006/relationships/hyperlink" Target="http://iffny.com/" TargetMode="External"/><Relationship Id="rId1071" Type="http://schemas.openxmlformats.org/officeDocument/2006/relationships/hyperlink" Target="https://filmfreeway.com/InternationalFilmmakerFestivalofNewYork" TargetMode="External"/><Relationship Id="rId1072" Type="http://schemas.openxmlformats.org/officeDocument/2006/relationships/hyperlink" Target="https://maps.google.com/?q=P.O.+Box+4388+Orlando%2C+FL+32802+United+States" TargetMode="External"/><Relationship Id="rId242" Type="http://schemas.openxmlformats.org/officeDocument/2006/relationships/hyperlink" Target="https://www.blacklaurelfilms.com" TargetMode="External"/><Relationship Id="rId1073" Type="http://schemas.openxmlformats.org/officeDocument/2006/relationships/hyperlink" Target="http://www.freethoughtfilmfest.org/" TargetMode="External"/><Relationship Id="rId241" Type="http://schemas.openxmlformats.org/officeDocument/2006/relationships/hyperlink" Target="https://filmfreeway.com/BlackHillsFilmFestival" TargetMode="External"/><Relationship Id="rId1074" Type="http://schemas.openxmlformats.org/officeDocument/2006/relationships/hyperlink" Target="https://filmfreeway.com/InternationalFreethoughtFilmFestival" TargetMode="External"/><Relationship Id="rId240" Type="http://schemas.openxmlformats.org/officeDocument/2006/relationships/hyperlink" Target="https://www.blackhillsfilmfestival.org/" TargetMode="External"/><Relationship Id="rId1075" Type="http://schemas.openxmlformats.org/officeDocument/2006/relationships/hyperlink" Target="https://maps.google.com/?q=7000+E+Mayo+Blvd+Suite+1059+Phoenix%2C+Arizona+85054+United+States" TargetMode="External"/><Relationship Id="rId1076" Type="http://schemas.openxmlformats.org/officeDocument/2006/relationships/hyperlink" Target="http://www.horrorscifi.com/" TargetMode="External"/><Relationship Id="rId246" Type="http://schemas.openxmlformats.org/officeDocument/2006/relationships/hyperlink" Target="https://bleedingham.com/" TargetMode="External"/><Relationship Id="rId1077" Type="http://schemas.openxmlformats.org/officeDocument/2006/relationships/hyperlink" Target="http://www.horrorscifi.com/" TargetMode="External"/><Relationship Id="rId245" Type="http://schemas.openxmlformats.org/officeDocument/2006/relationships/hyperlink" Target="https://www.blackstarfest.org" TargetMode="External"/><Relationship Id="rId1078" Type="http://schemas.openxmlformats.org/officeDocument/2006/relationships/hyperlink" Target="https://filmfreeway.com/InternationalHorrorSciFiFilmFestival" TargetMode="External"/><Relationship Id="rId244" Type="http://schemas.openxmlformats.org/officeDocument/2006/relationships/hyperlink" Target="https://filmfreeway.com/BlackbirdFilmFest" TargetMode="External"/><Relationship Id="rId1079" Type="http://schemas.openxmlformats.org/officeDocument/2006/relationships/hyperlink" Target="https://maps.google.com/?q=5009+Storer+Ave+%233+Cleveland%2C+OH+44102+United+States" TargetMode="External"/><Relationship Id="rId243" Type="http://schemas.openxmlformats.org/officeDocument/2006/relationships/hyperlink" Target="https://www.blackbirdfilmfest.com/" TargetMode="External"/><Relationship Id="rId239" Type="http://schemas.openxmlformats.org/officeDocument/2006/relationships/hyperlink" Target="https://filmfreeway.com/BlackHarvestFilmFestival" TargetMode="External"/><Relationship Id="rId238" Type="http://schemas.openxmlformats.org/officeDocument/2006/relationships/hyperlink" Target="http://www.siskelfilmcenter.org/blackharvest" TargetMode="External"/><Relationship Id="rId237" Type="http://schemas.openxmlformats.org/officeDocument/2006/relationships/hyperlink" Target="http://www.siskelfilmcenter.org/blackharvest_2014" TargetMode="External"/><Relationship Id="rId236" Type="http://schemas.openxmlformats.org/officeDocument/2006/relationships/hyperlink" Target="https://maps.google.com/?q=Gene+Siskel+Film+Center+164+N+State+Street+Chicago%2C+IL+60601+United+States" TargetMode="External"/><Relationship Id="rId2390" Type="http://schemas.openxmlformats.org/officeDocument/2006/relationships/hyperlink" Target="https://filmfreeway.com/TwinFallsSANDWICHESFilmFestival" TargetMode="External"/><Relationship Id="rId1060" Type="http://schemas.openxmlformats.org/officeDocument/2006/relationships/hyperlink" Target="https://www.interfaithfilmfest.com" TargetMode="External"/><Relationship Id="rId2391" Type="http://schemas.openxmlformats.org/officeDocument/2006/relationships/hyperlink" Target="http://www.twisteralleyfilmfestival.com/" TargetMode="External"/><Relationship Id="rId1061" Type="http://schemas.openxmlformats.org/officeDocument/2006/relationships/hyperlink" Target="https://maps.google.com/?q=555+Marriott+Drive+Building+2++Suite+315+Nashville%2C+TN+37214+United+States" TargetMode="External"/><Relationship Id="rId2392" Type="http://schemas.openxmlformats.org/officeDocument/2006/relationships/hyperlink" Target="https://filmfreeway.com/TwisterAlleyFilmFestival" TargetMode="External"/><Relationship Id="rId231" Type="http://schemas.openxmlformats.org/officeDocument/2006/relationships/hyperlink" Target="https://www.billythekidfilmfestival.com" TargetMode="External"/><Relationship Id="rId1062" Type="http://schemas.openxmlformats.org/officeDocument/2006/relationships/hyperlink" Target="https://www.ibffevents.com/" TargetMode="External"/><Relationship Id="rId2393" Type="http://schemas.openxmlformats.org/officeDocument/2006/relationships/hyperlink" Target="https://www.underexposedfilmfestivalyc.org/" TargetMode="External"/><Relationship Id="rId230" Type="http://schemas.openxmlformats.org/officeDocument/2006/relationships/hyperlink" Target="https://filmfreeway.com/BillJohnsonBlackFilmFestival" TargetMode="External"/><Relationship Id="rId1063" Type="http://schemas.openxmlformats.org/officeDocument/2006/relationships/hyperlink" Target="https://filmfreeway.com/InternationalBlackFilmFestivalofNashville" TargetMode="External"/><Relationship Id="rId2394" Type="http://schemas.openxmlformats.org/officeDocument/2006/relationships/hyperlink" Target="https://filmfreeway.com/UnderexposedFilmFestivalyc" TargetMode="External"/><Relationship Id="rId1064" Type="http://schemas.openxmlformats.org/officeDocument/2006/relationships/hyperlink" Target="http://www.buddhistfilmfoundation.org" TargetMode="External"/><Relationship Id="rId2395" Type="http://schemas.openxmlformats.org/officeDocument/2006/relationships/hyperlink" Target="https://maps.google.com/?q=The+Indie+Gathering+5009+Storer+Ave+Cleveland%2C+OH+44102+United+States" TargetMode="External"/><Relationship Id="rId1065" Type="http://schemas.openxmlformats.org/officeDocument/2006/relationships/hyperlink" Target="http://www.internationalcff.com/" TargetMode="External"/><Relationship Id="rId2396" Type="http://schemas.openxmlformats.org/officeDocument/2006/relationships/hyperlink" Target="http://www.unitedlatinofilm.com/" TargetMode="External"/><Relationship Id="rId235" Type="http://schemas.openxmlformats.org/officeDocument/2006/relationships/hyperlink" Target="https://filmfreeway.com/BlackCatPictureShow" TargetMode="External"/><Relationship Id="rId1066" Type="http://schemas.openxmlformats.org/officeDocument/2006/relationships/hyperlink" Target="http://www.internationalcff.org/" TargetMode="External"/><Relationship Id="rId2397" Type="http://schemas.openxmlformats.org/officeDocument/2006/relationships/hyperlink" Target="https://filmfreeway.com/UnitedLatinoFilm" TargetMode="External"/><Relationship Id="rId234" Type="http://schemas.openxmlformats.org/officeDocument/2006/relationships/hyperlink" Target="http://www.lcnaugusta.com/black-cat-picture-show/" TargetMode="External"/><Relationship Id="rId1067" Type="http://schemas.openxmlformats.org/officeDocument/2006/relationships/hyperlink" Target="https://filmfreeway.com/icffofficial" TargetMode="External"/><Relationship Id="rId2398" Type="http://schemas.openxmlformats.org/officeDocument/2006/relationships/hyperlink" Target="http://www.unaff.org/" TargetMode="External"/><Relationship Id="rId233" Type="http://schemas.openxmlformats.org/officeDocument/2006/relationships/hyperlink" Target="https://maps.google.com/?q=304+8th+Street+Augusta%2C+Georgia+30901+United+States" TargetMode="External"/><Relationship Id="rId1068" Type="http://schemas.openxmlformats.org/officeDocument/2006/relationships/hyperlink" Target="http://100-seconds.org" TargetMode="External"/><Relationship Id="rId2399" Type="http://schemas.openxmlformats.org/officeDocument/2006/relationships/hyperlink" Target="http://www.unaff.org/" TargetMode="External"/><Relationship Id="rId232" Type="http://schemas.openxmlformats.org/officeDocument/2006/relationships/hyperlink" Target="http://blackbearfilmfestival.squarespace.com" TargetMode="External"/><Relationship Id="rId1069" Type="http://schemas.openxmlformats.org/officeDocument/2006/relationships/hyperlink" Target="https://maps.google.com/?q=1487+Anderson+Ave+Apt.1+Fort+Lee%2C+New+Jersey+07024+United+States" TargetMode="External"/><Relationship Id="rId1015" Type="http://schemas.openxmlformats.org/officeDocument/2006/relationships/hyperlink" Target="https://filmfreeway.com/IllinoisInternationalFilmFestival" TargetMode="External"/><Relationship Id="rId1499" Type="http://schemas.openxmlformats.org/officeDocument/2006/relationships/hyperlink" Target="http://africanfilmny.org" TargetMode="External"/><Relationship Id="rId2346" Type="http://schemas.openxmlformats.org/officeDocument/2006/relationships/hyperlink" Target="http://trentonfilmsociety.org/trenton-film-festival/" TargetMode="External"/><Relationship Id="rId1016" Type="http://schemas.openxmlformats.org/officeDocument/2006/relationships/hyperlink" Target="http://www.imageout.org/index.php" TargetMode="External"/><Relationship Id="rId2347" Type="http://schemas.openxmlformats.org/officeDocument/2006/relationships/hyperlink" Target="https://filmfreeway.com/TrentonFilmFestival" TargetMode="External"/><Relationship Id="rId1017" Type="http://schemas.openxmlformats.org/officeDocument/2006/relationships/hyperlink" Target="http://www.imageout.org/index.php" TargetMode="External"/><Relationship Id="rId2348" Type="http://schemas.openxmlformats.org/officeDocument/2006/relationships/hyperlink" Target="http://www.trifi.org/" TargetMode="External"/><Relationship Id="rId1018" Type="http://schemas.openxmlformats.org/officeDocument/2006/relationships/hyperlink" Target="https://filmfreeway.com/ImageOutRochesterLGBTQFilmFestival" TargetMode="External"/><Relationship Id="rId2349" Type="http://schemas.openxmlformats.org/officeDocument/2006/relationships/hyperlink" Target="https://filmfreeway.com/TriCitiesInternationalFilmFestival" TargetMode="External"/><Relationship Id="rId1019" Type="http://schemas.openxmlformats.org/officeDocument/2006/relationships/hyperlink" Target="https://www.imaginethisprods.com/" TargetMode="External"/><Relationship Id="rId668" Type="http://schemas.openxmlformats.org/officeDocument/2006/relationships/hyperlink" Target="https://maps.google.com/?q=112+Depot+Street+La+Grande%2C+OR+97850+United+States" TargetMode="External"/><Relationship Id="rId667" Type="http://schemas.openxmlformats.org/officeDocument/2006/relationships/hyperlink" Target="https://filmfreeway.com/EastLansingFilmFestival" TargetMode="External"/><Relationship Id="rId666" Type="http://schemas.openxmlformats.org/officeDocument/2006/relationships/hyperlink" Target="http://elff.com/" TargetMode="External"/><Relationship Id="rId665" Type="http://schemas.openxmlformats.org/officeDocument/2006/relationships/hyperlink" Target="http://elff.com/" TargetMode="External"/><Relationship Id="rId669" Type="http://schemas.openxmlformats.org/officeDocument/2006/relationships/hyperlink" Target="http://eofilmfest.com/" TargetMode="External"/><Relationship Id="rId1490" Type="http://schemas.openxmlformats.org/officeDocument/2006/relationships/hyperlink" Target="https://jccmetrowest.org/programs/njjff/" TargetMode="External"/><Relationship Id="rId660" Type="http://schemas.openxmlformats.org/officeDocument/2006/relationships/hyperlink" Target="https://filmfreeway.com/TheEarthDayFilmFestival" TargetMode="External"/><Relationship Id="rId1491" Type="http://schemas.openxmlformats.org/officeDocument/2006/relationships/hyperlink" Target="https://filmfreeway.com/njjff" TargetMode="External"/><Relationship Id="rId1492" Type="http://schemas.openxmlformats.org/officeDocument/2006/relationships/hyperlink" Target="https://maps.google.com/?q=2355+Westwood+Blvd.+%23381+Los+Angeles%2C+CA+90064+United+States" TargetMode="External"/><Relationship Id="rId1493" Type="http://schemas.openxmlformats.org/officeDocument/2006/relationships/hyperlink" Target="https://www.newmediafilmfestival.com/" TargetMode="External"/><Relationship Id="rId2340" Type="http://schemas.openxmlformats.org/officeDocument/2006/relationships/hyperlink" Target="https://filmfreeway.com/Translations" TargetMode="External"/><Relationship Id="rId1010" Type="http://schemas.openxmlformats.org/officeDocument/2006/relationships/hyperlink" Target="http://www.idyllwildcinemafest.com/" TargetMode="External"/><Relationship Id="rId1494" Type="http://schemas.openxmlformats.org/officeDocument/2006/relationships/hyperlink" Target="https://filmfreeway.com/NewMediaFilmFestival" TargetMode="External"/><Relationship Id="rId2341" Type="http://schemas.openxmlformats.org/officeDocument/2006/relationships/hyperlink" Target="https://www.traversecityfilmfest.org/" TargetMode="External"/><Relationship Id="rId664" Type="http://schemas.openxmlformats.org/officeDocument/2006/relationships/hyperlink" Target="https://maps.google.com/?q=510+Kedzie+Street+East+Lansing%2C+Michigan+48823+United+States" TargetMode="External"/><Relationship Id="rId1011" Type="http://schemas.openxmlformats.org/officeDocument/2006/relationships/hyperlink" Target="https://filmfreeway.com/IIFC2020" TargetMode="External"/><Relationship Id="rId1495" Type="http://schemas.openxmlformats.org/officeDocument/2006/relationships/hyperlink" Target="https://maps.google.com/?q=1215+Prytania+Street+Suite+423+New+Orleans%2C+LA+70130+United+States" TargetMode="External"/><Relationship Id="rId2342" Type="http://schemas.openxmlformats.org/officeDocument/2006/relationships/hyperlink" Target="https://filmfreeway.com/TraverseCityFilmFestival" TargetMode="External"/><Relationship Id="rId663" Type="http://schemas.openxmlformats.org/officeDocument/2006/relationships/hyperlink" Target="https://filmfreeway.com/EarthPortFilmFestival" TargetMode="External"/><Relationship Id="rId1012" Type="http://schemas.openxmlformats.org/officeDocument/2006/relationships/hyperlink" Target="https://maps.google.com/?q=134+N+Cass+Ave.+Suite+A+Westmont%2C+IL+60554+United+States" TargetMode="External"/><Relationship Id="rId1496" Type="http://schemas.openxmlformats.org/officeDocument/2006/relationships/hyperlink" Target="http://www.neworleansfilmsociety.org/pages/detail/31/film-festival" TargetMode="External"/><Relationship Id="rId2343" Type="http://schemas.openxmlformats.org/officeDocument/2006/relationships/hyperlink" Target="https://www.tcifilmfest.org/" TargetMode="External"/><Relationship Id="rId662" Type="http://schemas.openxmlformats.org/officeDocument/2006/relationships/hyperlink" Target="https://www.earthportfilm.org/" TargetMode="External"/><Relationship Id="rId1013" Type="http://schemas.openxmlformats.org/officeDocument/2006/relationships/hyperlink" Target="http://www.illinoisinternationalfilmfestival.com/" TargetMode="External"/><Relationship Id="rId1497" Type="http://schemas.openxmlformats.org/officeDocument/2006/relationships/hyperlink" Target="https://neworleansfilmsociety.org/" TargetMode="External"/><Relationship Id="rId2344" Type="http://schemas.openxmlformats.org/officeDocument/2006/relationships/hyperlink" Target="https://filmfreeway.com/TREASURECOASTINTERNATIONALFILMFESTIVAL-1" TargetMode="External"/><Relationship Id="rId661" Type="http://schemas.openxmlformats.org/officeDocument/2006/relationships/hyperlink" Target="https://maps.google.com/?q=331+High+Street+Suite+2+Newburyport%2C+Massachusetts+01950+United+States" TargetMode="External"/><Relationship Id="rId1014" Type="http://schemas.openxmlformats.org/officeDocument/2006/relationships/hyperlink" Target="http://www.illinoisinternationalfilmfestival.com/" TargetMode="External"/><Relationship Id="rId1498" Type="http://schemas.openxmlformats.org/officeDocument/2006/relationships/hyperlink" Target="https://filmfreeway.com/NewOrleansFilmFestival" TargetMode="External"/><Relationship Id="rId2345" Type="http://schemas.openxmlformats.org/officeDocument/2006/relationships/hyperlink" Target="http://trentonfilmsociety.org/" TargetMode="External"/><Relationship Id="rId1004" Type="http://schemas.openxmlformats.org/officeDocument/2006/relationships/hyperlink" Target="https://maps.google.com/?q=1+Harpst+St+Humboldt+State+University+Arcata%2C+CA+95521+United+States" TargetMode="External"/><Relationship Id="rId1488" Type="http://schemas.openxmlformats.org/officeDocument/2006/relationships/hyperlink" Target="https://maps.google.com/?q=760+Northfield+Ave+West+Orange%2C+New+Jersey+07052+United+States" TargetMode="External"/><Relationship Id="rId2335" Type="http://schemas.openxmlformats.org/officeDocument/2006/relationships/hyperlink" Target="https://www.wifdallas.org" TargetMode="External"/><Relationship Id="rId1005" Type="http://schemas.openxmlformats.org/officeDocument/2006/relationships/hyperlink" Target="http://hsufilmfestival.com/" TargetMode="External"/><Relationship Id="rId1489" Type="http://schemas.openxmlformats.org/officeDocument/2006/relationships/hyperlink" Target="http://jccmetrowest.org/njjff/" TargetMode="External"/><Relationship Id="rId2336" Type="http://schemas.openxmlformats.org/officeDocument/2006/relationships/hyperlink" Target="http://www.transientvisions.org/" TargetMode="External"/><Relationship Id="rId1006" Type="http://schemas.openxmlformats.org/officeDocument/2006/relationships/hyperlink" Target="https://filmfreeway.com/HumboldtInternationalFilmFestival" TargetMode="External"/><Relationship Id="rId2337" Type="http://schemas.openxmlformats.org/officeDocument/2006/relationships/hyperlink" Target="http://www.transientvisions.org/" TargetMode="External"/><Relationship Id="rId1007" Type="http://schemas.openxmlformats.org/officeDocument/2006/relationships/hyperlink" Target="https://maps.google.com/?q=Huntington+Beach%2C+CA+92648+United+States" TargetMode="External"/><Relationship Id="rId2338" Type="http://schemas.openxmlformats.org/officeDocument/2006/relationships/hyperlink" Target="https://maps.google.com/?q=1122+E+Pike+St+%231313+Seattle%2C+WA+98122+United+States" TargetMode="External"/><Relationship Id="rId1008" Type="http://schemas.openxmlformats.org/officeDocument/2006/relationships/hyperlink" Target="http://hbfilmfest.com/" TargetMode="External"/><Relationship Id="rId2339" Type="http://schemas.openxmlformats.org/officeDocument/2006/relationships/hyperlink" Target="https://threedollarbillcinema.org/translations/" TargetMode="External"/><Relationship Id="rId1009" Type="http://schemas.openxmlformats.org/officeDocument/2006/relationships/hyperlink" Target="https://filmfreeway.com/hbfilmfest" TargetMode="External"/><Relationship Id="rId657" Type="http://schemas.openxmlformats.org/officeDocument/2006/relationships/hyperlink" Target="http://www.durangofilmfestival.com/" TargetMode="External"/><Relationship Id="rId656" Type="http://schemas.openxmlformats.org/officeDocument/2006/relationships/hyperlink" Target="http://www.durangofilmfestival.com/" TargetMode="External"/><Relationship Id="rId655" Type="http://schemas.openxmlformats.org/officeDocument/2006/relationships/hyperlink" Target="https://maps.google.com/?q=24+Town+Plaza+Unit+A+Durango%2C+CO+81301+United+States" TargetMode="External"/><Relationship Id="rId654" Type="http://schemas.openxmlformats.org/officeDocument/2006/relationships/hyperlink" Target="https://filmfreeway.com/DuluthSuperiorFilmFestival" TargetMode="External"/><Relationship Id="rId659" Type="http://schemas.openxmlformats.org/officeDocument/2006/relationships/hyperlink" Target="http://www.earthdayfilmfest.org/" TargetMode="External"/><Relationship Id="rId658" Type="http://schemas.openxmlformats.org/officeDocument/2006/relationships/hyperlink" Target="https://filmfreeway.com/DurangoFilmAnIndependentFilmFestival" TargetMode="External"/><Relationship Id="rId1480" Type="http://schemas.openxmlformats.org/officeDocument/2006/relationships/hyperlink" Target="http://www.nhjewishfilmfestival.org/" TargetMode="External"/><Relationship Id="rId1481" Type="http://schemas.openxmlformats.org/officeDocument/2006/relationships/hyperlink" Target="http://www.newhavenfilmfestival.com/" TargetMode="External"/><Relationship Id="rId1482" Type="http://schemas.openxmlformats.org/officeDocument/2006/relationships/hyperlink" Target="https://filmfreeway.com/NewHavenFilmFestival" TargetMode="External"/><Relationship Id="rId1483" Type="http://schemas.openxmlformats.org/officeDocument/2006/relationships/hyperlink" Target="https://maps.google.com/?q=6542-A+Lower+York+Rd.+%23219+New+Hope%2C+PA+18938+United+States" TargetMode="External"/><Relationship Id="rId2330" Type="http://schemas.openxmlformats.org/officeDocument/2006/relationships/hyperlink" Target="http://www.tiburonfilmfestival.com/" TargetMode="External"/><Relationship Id="rId653" Type="http://schemas.openxmlformats.org/officeDocument/2006/relationships/hyperlink" Target="https://www.ds-ff.com/" TargetMode="External"/><Relationship Id="rId1000" Type="http://schemas.openxmlformats.org/officeDocument/2006/relationships/hyperlink" Target="https://maps.google.com/?q=20+N.+Sampson+Ste+100+Houston%2C+TX+77003+United+States" TargetMode="External"/><Relationship Id="rId1484" Type="http://schemas.openxmlformats.org/officeDocument/2006/relationships/hyperlink" Target="https://newhopefilmfestival.com/" TargetMode="External"/><Relationship Id="rId2331" Type="http://schemas.openxmlformats.org/officeDocument/2006/relationships/hyperlink" Target="https://filmfreeway.com/TiburonInternationalFilmFestival" TargetMode="External"/><Relationship Id="rId652" Type="http://schemas.openxmlformats.org/officeDocument/2006/relationships/hyperlink" Target="https://filmfreeway.com/DTLAFF" TargetMode="External"/><Relationship Id="rId1001" Type="http://schemas.openxmlformats.org/officeDocument/2006/relationships/hyperlink" Target="http://www.hpff.org/" TargetMode="External"/><Relationship Id="rId1485" Type="http://schemas.openxmlformats.org/officeDocument/2006/relationships/hyperlink" Target="https://filmfreeway.com/NewHopeFilmFestival" TargetMode="External"/><Relationship Id="rId2332" Type="http://schemas.openxmlformats.org/officeDocument/2006/relationships/hyperlink" Target="http://www.detourdance.com/tdff/" TargetMode="External"/><Relationship Id="rId651" Type="http://schemas.openxmlformats.org/officeDocument/2006/relationships/hyperlink" Target="http://www.dtlaff.com/" TargetMode="External"/><Relationship Id="rId1002" Type="http://schemas.openxmlformats.org/officeDocument/2006/relationships/hyperlink" Target="https://filmfreeway.com/HoustonPalestineFilmFestival" TargetMode="External"/><Relationship Id="rId1486" Type="http://schemas.openxmlformats.org/officeDocument/2006/relationships/hyperlink" Target="http://www.njfilmfest.com/" TargetMode="External"/><Relationship Id="rId2333" Type="http://schemas.openxmlformats.org/officeDocument/2006/relationships/hyperlink" Target="https://filmfreeway.com/TinyDanceFilmFestival" TargetMode="External"/><Relationship Id="rId650" Type="http://schemas.openxmlformats.org/officeDocument/2006/relationships/hyperlink" Target="https://filmfreeway.com/DruidUndergroundFilmFestival" TargetMode="External"/><Relationship Id="rId1003" Type="http://schemas.openxmlformats.org/officeDocument/2006/relationships/hyperlink" Target="https://ff.hrw.org/" TargetMode="External"/><Relationship Id="rId1487" Type="http://schemas.openxmlformats.org/officeDocument/2006/relationships/hyperlink" Target="https://filmfreeway.com/NewJerseyInternationalFilmFestival" TargetMode="External"/><Relationship Id="rId2334" Type="http://schemas.openxmlformats.org/officeDocument/2006/relationships/hyperlink" Target="https://topangafilminstitute.org" TargetMode="External"/><Relationship Id="rId1037" Type="http://schemas.openxmlformats.org/officeDocument/2006/relationships/hyperlink" Target="http://www.theindiegathering.com/" TargetMode="External"/><Relationship Id="rId2368" Type="http://schemas.openxmlformats.org/officeDocument/2006/relationships/hyperlink" Target="http://www.laup.org/tulipanes" TargetMode="External"/><Relationship Id="rId1038" Type="http://schemas.openxmlformats.org/officeDocument/2006/relationships/hyperlink" Target="https://filmfreeway.com/TheIndieGathering" TargetMode="External"/><Relationship Id="rId2369" Type="http://schemas.openxmlformats.org/officeDocument/2006/relationships/hyperlink" Target="https://maps.google.com/?q=2205+East+Admiral+Blvd.+Tulsa%2C+OK+74110+United+States" TargetMode="External"/><Relationship Id="rId1039" Type="http://schemas.openxmlformats.org/officeDocument/2006/relationships/hyperlink" Target="https://maps.google.com/?q=Nickelodeon+Theatre+1607+Main+Street+Columbia%2C+South+Carolina+29201+United+States" TargetMode="External"/><Relationship Id="rId206" Type="http://schemas.openxmlformats.org/officeDocument/2006/relationships/hyperlink" Target="https://maps.google.com/?q=Imaginative+Productions+588+Sutter+Street+Suite+325+San+Francisco%2C+California+94102+United+States" TargetMode="External"/><Relationship Id="rId205" Type="http://schemas.openxmlformats.org/officeDocument/2006/relationships/hyperlink" Target="https://filmfreeway.com/berkshireinternationalfilmfestival" TargetMode="External"/><Relationship Id="rId689" Type="http://schemas.openxmlformats.org/officeDocument/2006/relationships/hyperlink" Target="https://maps.google.com/?q=2442+Bartlett+St+Houston%2C+Texas+77098+United+States" TargetMode="External"/><Relationship Id="rId204" Type="http://schemas.openxmlformats.org/officeDocument/2006/relationships/hyperlink" Target="https://www.biffma.org/" TargetMode="External"/><Relationship Id="rId688" Type="http://schemas.openxmlformats.org/officeDocument/2006/relationships/hyperlink" Target="https://filmfreeway.com/ExplorersClubPolarFilmFestival-298809" TargetMode="External"/><Relationship Id="rId203" Type="http://schemas.openxmlformats.org/officeDocument/2006/relationships/hyperlink" Target="http://www.biffma.org/" TargetMode="External"/><Relationship Id="rId687" Type="http://schemas.openxmlformats.org/officeDocument/2006/relationships/hyperlink" Target="https://explorers.org/events/detail/6th_annual_polar_film_festival_thursday" TargetMode="External"/><Relationship Id="rId209" Type="http://schemas.openxmlformats.org/officeDocument/2006/relationships/hyperlink" Target="https://maps.google.com/?q=7700+Old+Georgetown+Road+Lobby+Level+Bethesda%2C+MD+20814+United+States" TargetMode="External"/><Relationship Id="rId208" Type="http://schemas.openxmlformats.org/officeDocument/2006/relationships/hyperlink" Target="https://filmfreeway.com/BestActorsFilmFestival" TargetMode="External"/><Relationship Id="rId207" Type="http://schemas.openxmlformats.org/officeDocument/2006/relationships/hyperlink" Target="http://www.actorsfestival.com/" TargetMode="External"/><Relationship Id="rId682" Type="http://schemas.openxmlformats.org/officeDocument/2006/relationships/hyperlink" Target="https://filmfreeway.com/EtheriaFilmNight" TargetMode="External"/><Relationship Id="rId2360" Type="http://schemas.openxmlformats.org/officeDocument/2006/relationships/hyperlink" Target="http://trinityinternationalfilmfest.blogspot.com/" TargetMode="External"/><Relationship Id="rId681" Type="http://schemas.openxmlformats.org/officeDocument/2006/relationships/hyperlink" Target="http://www.etheriafilmnight.com/" TargetMode="External"/><Relationship Id="rId1030" Type="http://schemas.openxmlformats.org/officeDocument/2006/relationships/hyperlink" Target="https://filmfreeway.com/iffla" TargetMode="External"/><Relationship Id="rId2361" Type="http://schemas.openxmlformats.org/officeDocument/2006/relationships/hyperlink" Target="https://filmfreeway.com/TrinityInternationalFilmFestival" TargetMode="External"/><Relationship Id="rId680" Type="http://schemas.openxmlformats.org/officeDocument/2006/relationships/hyperlink" Target="https://filmfreeway.com/EpicACGFest" TargetMode="External"/><Relationship Id="rId1031" Type="http://schemas.openxmlformats.org/officeDocument/2006/relationships/hyperlink" Target="https://maps.google.com/?q=3733+N+Meridian+St.+Indianapolis%2C+IN+46208+United+States" TargetMode="External"/><Relationship Id="rId2362" Type="http://schemas.openxmlformats.org/officeDocument/2006/relationships/hyperlink" Target="http://www.truefalse.org/" TargetMode="External"/><Relationship Id="rId1032" Type="http://schemas.openxmlformats.org/officeDocument/2006/relationships/hyperlink" Target="http://www.indylgbtfilmfest.com" TargetMode="External"/><Relationship Id="rId2363" Type="http://schemas.openxmlformats.org/officeDocument/2006/relationships/hyperlink" Target="https://truefalse.org/submit/features-shorts/" TargetMode="External"/><Relationship Id="rId202" Type="http://schemas.openxmlformats.org/officeDocument/2006/relationships/hyperlink" Target="http://www.berkeleyvideofilmfest.org/" TargetMode="External"/><Relationship Id="rId686" Type="http://schemas.openxmlformats.org/officeDocument/2006/relationships/hyperlink" Target="https://maps.google.com/?q=46+East+70th+Street+New+York%2C+Ny+10021+United+States" TargetMode="External"/><Relationship Id="rId1033" Type="http://schemas.openxmlformats.org/officeDocument/2006/relationships/hyperlink" Target="https://filmfreeway.com/IndianapolisLGBTFilmFestival" TargetMode="External"/><Relationship Id="rId2364" Type="http://schemas.openxmlformats.org/officeDocument/2006/relationships/hyperlink" Target="http://www.tucsonfilmandmusicfestival.com" TargetMode="External"/><Relationship Id="rId201" Type="http://schemas.openxmlformats.org/officeDocument/2006/relationships/hyperlink" Target="http://www.berkeleyvideofilmfest.org/" TargetMode="External"/><Relationship Id="rId685" Type="http://schemas.openxmlformats.org/officeDocument/2006/relationships/hyperlink" Target="https://www.experimentsincinema.org/submissions" TargetMode="External"/><Relationship Id="rId1034" Type="http://schemas.openxmlformats.org/officeDocument/2006/relationships/hyperlink" Target="http://www.indiefestusa.us/" TargetMode="External"/><Relationship Id="rId2365" Type="http://schemas.openxmlformats.org/officeDocument/2006/relationships/hyperlink" Target="https://filmfreeway.com/TucsonFilmFestival" TargetMode="External"/><Relationship Id="rId200" Type="http://schemas.openxmlformats.org/officeDocument/2006/relationships/hyperlink" Target="https://filmfreeway.com/BentonvilleFilmFestival" TargetMode="External"/><Relationship Id="rId684" Type="http://schemas.openxmlformats.org/officeDocument/2006/relationships/hyperlink" Target="https://www.experimentsincinema.org/" TargetMode="External"/><Relationship Id="rId1035" Type="http://schemas.openxmlformats.org/officeDocument/2006/relationships/hyperlink" Target="https://filmfreeway.com/IndieFestUSAInternationalFilmFestival" TargetMode="External"/><Relationship Id="rId2366" Type="http://schemas.openxmlformats.org/officeDocument/2006/relationships/hyperlink" Target="https://tucsonjcc.org/arts/tijff/" TargetMode="External"/><Relationship Id="rId683" Type="http://schemas.openxmlformats.org/officeDocument/2006/relationships/hyperlink" Target="https://everettfilmfestival.org" TargetMode="External"/><Relationship Id="rId1036" Type="http://schemas.openxmlformats.org/officeDocument/2006/relationships/hyperlink" Target="https://maps.google.com/?q=5009+Storer+Ave+%233+Cleveland%2C+OH+44102+United+States" TargetMode="External"/><Relationship Id="rId2367" Type="http://schemas.openxmlformats.org/officeDocument/2006/relationships/hyperlink" Target="https://tucsonjcc.org/arts/tijff/" TargetMode="External"/><Relationship Id="rId1026" Type="http://schemas.openxmlformats.org/officeDocument/2006/relationships/hyperlink" Target="https://filmfreeway.com/IFFBoston" TargetMode="External"/><Relationship Id="rId2357" Type="http://schemas.openxmlformats.org/officeDocument/2006/relationships/hyperlink" Target="http://www.trinityfilmfestival.org/" TargetMode="External"/><Relationship Id="rId1027" Type="http://schemas.openxmlformats.org/officeDocument/2006/relationships/hyperlink" Target="https://maps.google.com/?q=5225+Wilshire+Blvd%2C+%23617+Los+Angeles%2C+CA+90036+United+States" TargetMode="External"/><Relationship Id="rId2358" Type="http://schemas.openxmlformats.org/officeDocument/2006/relationships/hyperlink" Target="https://filmfreeway.com/TrinityFilmFestival" TargetMode="External"/><Relationship Id="rId1028" Type="http://schemas.openxmlformats.org/officeDocument/2006/relationships/hyperlink" Target="http://www.indianfilmfestival.org/" TargetMode="External"/><Relationship Id="rId2359" Type="http://schemas.openxmlformats.org/officeDocument/2006/relationships/hyperlink" Target="https://maps.google.com/?q=27139+Stanford+Inkster%2C+MI+48141+United+States" TargetMode="External"/><Relationship Id="rId1029" Type="http://schemas.openxmlformats.org/officeDocument/2006/relationships/hyperlink" Target="http://www.indianfilmfestival.org/" TargetMode="External"/><Relationship Id="rId679" Type="http://schemas.openxmlformats.org/officeDocument/2006/relationships/hyperlink" Target="http://www.eacgfest.org/" TargetMode="External"/><Relationship Id="rId678" Type="http://schemas.openxmlformats.org/officeDocument/2006/relationships/hyperlink" Target="https://filmfreeway.com/EnvironmentalFilmFestivalInTheNationsCapital" TargetMode="External"/><Relationship Id="rId677" Type="http://schemas.openxmlformats.org/officeDocument/2006/relationships/hyperlink" Target="https://dceff.org/" TargetMode="External"/><Relationship Id="rId676" Type="http://schemas.openxmlformats.org/officeDocument/2006/relationships/hyperlink" Target="https://maps.google.com/?q=1224+M+Street+NW+Suite+301+Washington%2C+DC+20005+United+States" TargetMode="External"/><Relationship Id="rId671" Type="http://schemas.openxmlformats.org/officeDocument/2006/relationships/hyperlink" Target="http://www.ebertfest.com/" TargetMode="External"/><Relationship Id="rId670" Type="http://schemas.openxmlformats.org/officeDocument/2006/relationships/hyperlink" Target="https://filmfreeway.com/eofilmfest" TargetMode="External"/><Relationship Id="rId2350" Type="http://schemas.openxmlformats.org/officeDocument/2006/relationships/hyperlink" Target="https://maps.google.com/?q=2444+E.+20th+St+Tulsa%2C+okla+74114+United+States" TargetMode="External"/><Relationship Id="rId1020" Type="http://schemas.openxmlformats.org/officeDocument/2006/relationships/hyperlink" Target="https://filmfreeway.com/ITWIFF" TargetMode="External"/><Relationship Id="rId2351" Type="http://schemas.openxmlformats.org/officeDocument/2006/relationships/hyperlink" Target="http://tribalfilmfestival.org/" TargetMode="External"/><Relationship Id="rId1021" Type="http://schemas.openxmlformats.org/officeDocument/2006/relationships/hyperlink" Target="http://www.inmotionfestival.com/" TargetMode="External"/><Relationship Id="rId2352" Type="http://schemas.openxmlformats.org/officeDocument/2006/relationships/hyperlink" Target="https://filmfreeway.com/TribalFilmFestival" TargetMode="External"/><Relationship Id="rId675" Type="http://schemas.openxmlformats.org/officeDocument/2006/relationships/hyperlink" Target="https://filmfreeway.com/EllensburgFilmFestival" TargetMode="External"/><Relationship Id="rId1022" Type="http://schemas.openxmlformats.org/officeDocument/2006/relationships/hyperlink" Target="https://filmfreeway.com/InMotionDanceFilmFestival" TargetMode="External"/><Relationship Id="rId2353" Type="http://schemas.openxmlformats.org/officeDocument/2006/relationships/hyperlink" Target="https://tribecafilm.com/" TargetMode="External"/><Relationship Id="rId674" Type="http://schemas.openxmlformats.org/officeDocument/2006/relationships/hyperlink" Target="http://ellensburgfilmfestival.com/" TargetMode="External"/><Relationship Id="rId1023" Type="http://schemas.openxmlformats.org/officeDocument/2006/relationships/hyperlink" Target="https://maps.google.com/?q=411A+Highland+Avenue+%23403+Somerville%2C+MA+02144+United+States" TargetMode="External"/><Relationship Id="rId2354" Type="http://schemas.openxmlformats.org/officeDocument/2006/relationships/hyperlink" Target="https://tribecafilm.com/" TargetMode="External"/><Relationship Id="rId673" Type="http://schemas.openxmlformats.org/officeDocument/2006/relationships/hyperlink" Target="https://maps.google.com/?q=P.O.+Box+1071+Ellensburg%2C+WA+98926+United+States" TargetMode="External"/><Relationship Id="rId1024" Type="http://schemas.openxmlformats.org/officeDocument/2006/relationships/hyperlink" Target="http://iffboston.org/" TargetMode="External"/><Relationship Id="rId2355" Type="http://schemas.openxmlformats.org/officeDocument/2006/relationships/hyperlink" Target="https://filmfreeway.com/TribecaFilmFestival" TargetMode="External"/><Relationship Id="rId672" Type="http://schemas.openxmlformats.org/officeDocument/2006/relationships/hyperlink" Target="https://www.mccneb.edu/Community-Business/Community-Events/Elkhorn-Valley-BEA-D-7-Film-and-Media-Conference.aspx" TargetMode="External"/><Relationship Id="rId1025" Type="http://schemas.openxmlformats.org/officeDocument/2006/relationships/hyperlink" Target="http://iffboston.org/" TargetMode="External"/><Relationship Id="rId2356" Type="http://schemas.openxmlformats.org/officeDocument/2006/relationships/hyperlink" Target="https://maps.google.com/?q=300+Summit+Street+Box+702574+Hartford%2C+CT+06106+United+States" TargetMode="External"/><Relationship Id="rId190" Type="http://schemas.openxmlformats.org/officeDocument/2006/relationships/hyperlink" Target="https://filmfreeway.com/BeloitInternationalFilmFestival" TargetMode="External"/><Relationship Id="rId194" Type="http://schemas.openxmlformats.org/officeDocument/2006/relationships/hyperlink" Target="https://filmfreeway.com/BendFilm" TargetMode="External"/><Relationship Id="rId193" Type="http://schemas.openxmlformats.org/officeDocument/2006/relationships/hyperlink" Target="http://www.bendfilm.org/" TargetMode="External"/><Relationship Id="rId192" Type="http://schemas.openxmlformats.org/officeDocument/2006/relationships/hyperlink" Target="http://www.bendfilm.org/" TargetMode="External"/><Relationship Id="rId191" Type="http://schemas.openxmlformats.org/officeDocument/2006/relationships/hyperlink" Target="https://maps.google.com/?q=1000+NW+Wall+Street+Suite+240+Bend%2C+Oregon+97703+United+States" TargetMode="External"/><Relationship Id="rId187" Type="http://schemas.openxmlformats.org/officeDocument/2006/relationships/hyperlink" Target="https://bhrff.webs.com" TargetMode="External"/><Relationship Id="rId186" Type="http://schemas.openxmlformats.org/officeDocument/2006/relationships/hyperlink" Target="https://filmfreeway.com/BeaufortInternationalFilmFestival" TargetMode="External"/><Relationship Id="rId185" Type="http://schemas.openxmlformats.org/officeDocument/2006/relationships/hyperlink" Target="https://www.beaufortfilmfestival.com/" TargetMode="External"/><Relationship Id="rId184" Type="http://schemas.openxmlformats.org/officeDocument/2006/relationships/hyperlink" Target="http://www.beaufortfilmfestival.com/" TargetMode="External"/><Relationship Id="rId189" Type="http://schemas.openxmlformats.org/officeDocument/2006/relationships/hyperlink" Target="https://beloitfilmfest.org/" TargetMode="External"/><Relationship Id="rId188" Type="http://schemas.openxmlformats.org/officeDocument/2006/relationships/hyperlink" Target="https://maps.google.com/?q=444+E.+Grand+Ave.+Suite+100+Beloit%2C+WI+53511+United+States" TargetMode="External"/><Relationship Id="rId183" Type="http://schemas.openxmlformats.org/officeDocument/2006/relationships/hyperlink" Target="https://maps.google.com/?q=PO+Box+998+Beaufort%2C+SC+29901+United+States" TargetMode="External"/><Relationship Id="rId182" Type="http://schemas.openxmlformats.org/officeDocument/2006/relationships/hyperlink" Target="https://filmfreeway.com/BAICFF" TargetMode="External"/><Relationship Id="rId181" Type="http://schemas.openxmlformats.org/officeDocument/2006/relationships/hyperlink" Target="http://baicff.com/" TargetMode="External"/><Relationship Id="rId180" Type="http://schemas.openxmlformats.org/officeDocument/2006/relationships/hyperlink" Target="https://maps.google.com/?q=BAICFF+%2F+Aerial+Contrivance+Workshop+6114+La+Salle+Ave.+%23648+Oakland%2C+CA+94611+United+States" TargetMode="External"/><Relationship Id="rId176" Type="http://schemas.openxmlformats.org/officeDocument/2006/relationships/hyperlink" Target="https://www.bam.org" TargetMode="External"/><Relationship Id="rId175" Type="http://schemas.openxmlformats.org/officeDocument/2006/relationships/hyperlink" Target="https://filmfreeway.com/BaltimoreInternationalBlackFilmFestival" TargetMode="External"/><Relationship Id="rId174" Type="http://schemas.openxmlformats.org/officeDocument/2006/relationships/hyperlink" Target="http://www.bibff.com/" TargetMode="External"/><Relationship Id="rId173" Type="http://schemas.openxmlformats.org/officeDocument/2006/relationships/hyperlink" Target="https://filmfreeway.com/BalticonShortFilmFestival" TargetMode="External"/><Relationship Id="rId179" Type="http://schemas.openxmlformats.org/officeDocument/2006/relationships/hyperlink" Target="https://brjff.com/" TargetMode="External"/><Relationship Id="rId178" Type="http://schemas.openxmlformats.org/officeDocument/2006/relationships/hyperlink" Target="https://filmfreeway.com/BareBonesFilmFestival" TargetMode="External"/><Relationship Id="rId177" Type="http://schemas.openxmlformats.org/officeDocument/2006/relationships/hyperlink" Target="http://www.barebonesfilmfestival.org/" TargetMode="External"/><Relationship Id="rId1910" Type="http://schemas.openxmlformats.org/officeDocument/2006/relationships/hyperlink" Target="http://www.ryff.org/" TargetMode="External"/><Relationship Id="rId1911" Type="http://schemas.openxmlformats.org/officeDocument/2006/relationships/hyperlink" Target="https://filmfreeway.com/RocklandYouthFilmFestival" TargetMode="External"/><Relationship Id="rId1912" Type="http://schemas.openxmlformats.org/officeDocument/2006/relationships/hyperlink" Target="https://maps.google.com/?q=106+S.+Austin+Street+Rockport%2C+Texas+78382+United+States" TargetMode="External"/><Relationship Id="rId1913" Type="http://schemas.openxmlformats.org/officeDocument/2006/relationships/hyperlink" Target="http://rockportfilmfestival.com/" TargetMode="External"/><Relationship Id="rId1914" Type="http://schemas.openxmlformats.org/officeDocument/2006/relationships/hyperlink" Target="https://filmfreeway.com/RockportFilmFestival" TargetMode="External"/><Relationship Id="rId1915" Type="http://schemas.openxmlformats.org/officeDocument/2006/relationships/hyperlink" Target="https://rmwfilminstitute.org/festival" TargetMode="External"/><Relationship Id="rId1916" Type="http://schemas.openxmlformats.org/officeDocument/2006/relationships/hyperlink" Target="https://www.romcomfest.com" TargetMode="External"/><Relationship Id="rId1917" Type="http://schemas.openxmlformats.org/officeDocument/2006/relationships/hyperlink" Target="https://maps.google.com/?q=Rome+International+Film+Festival+3+Central+Plaza%2C+%23+367+Rome%2C+GA+30161+United+States" TargetMode="External"/><Relationship Id="rId1918" Type="http://schemas.openxmlformats.org/officeDocument/2006/relationships/hyperlink" Target="http://www.romeinternationalfilmfestival.com/" TargetMode="External"/><Relationship Id="rId1919" Type="http://schemas.openxmlformats.org/officeDocument/2006/relationships/hyperlink" Target="http://www.riffga.com/" TargetMode="External"/><Relationship Id="rId1900" Type="http://schemas.openxmlformats.org/officeDocument/2006/relationships/hyperlink" Target="https://www.riversidefilmfestival.org/" TargetMode="External"/><Relationship Id="rId1901" Type="http://schemas.openxmlformats.org/officeDocument/2006/relationships/hyperlink" Target="https://filmfreeway.com/RiversideInternationalFilmFestival" TargetMode="External"/><Relationship Id="rId1902" Type="http://schemas.openxmlformats.org/officeDocument/2006/relationships/hyperlink" Target="https://maps.google.com/?q=RICFF+c%2Fo+Children%26%2339%3Bs+Institute+274+Goodman+St.+North%2C+Ste.+D103+Rochester%2C+NY+14607+United+States" TargetMode="External"/><Relationship Id="rId1903" Type="http://schemas.openxmlformats.org/officeDocument/2006/relationships/hyperlink" Target="https://www.kidsfestroc.org/" TargetMode="External"/><Relationship Id="rId1904" Type="http://schemas.openxmlformats.org/officeDocument/2006/relationships/hyperlink" Target="https://filmfreeway.com/kidsfestroc" TargetMode="External"/><Relationship Id="rId1905" Type="http://schemas.openxmlformats.org/officeDocument/2006/relationships/hyperlink" Target="http://rochesterfilmfest.org/" TargetMode="External"/><Relationship Id="rId1906" Type="http://schemas.openxmlformats.org/officeDocument/2006/relationships/hyperlink" Target="http://rochesterfilmfest.org/" TargetMode="External"/><Relationship Id="rId1907" Type="http://schemas.openxmlformats.org/officeDocument/2006/relationships/hyperlink" Target="https://filmfreeway.com/RochesterInternationalFilmFestival" TargetMode="External"/><Relationship Id="rId1908" Type="http://schemas.openxmlformats.org/officeDocument/2006/relationships/hyperlink" Target="https://jccrockland.org/film-festival/" TargetMode="External"/><Relationship Id="rId1909" Type="http://schemas.openxmlformats.org/officeDocument/2006/relationships/hyperlink" Target="https://maps.google.com/?q=14+Spring+Valley+Commons+Spring+Valley%2C+NY+10977+United+States" TargetMode="External"/><Relationship Id="rId198" Type="http://schemas.openxmlformats.org/officeDocument/2006/relationships/hyperlink" Target="http://bentonvillefilmfestival.com/" TargetMode="External"/><Relationship Id="rId197" Type="http://schemas.openxmlformats.org/officeDocument/2006/relationships/hyperlink" Target="https://maps.google.com/?q=640+B+Street+Bentonville%2C+AR+72712+United+States" TargetMode="External"/><Relationship Id="rId196" Type="http://schemas.openxmlformats.org/officeDocument/2006/relationships/hyperlink" Target="https://bentfilmfest.org/submityourfilm/" TargetMode="External"/><Relationship Id="rId195" Type="http://schemas.openxmlformats.org/officeDocument/2006/relationships/hyperlink" Target="https://bentfilmfest.org/" TargetMode="External"/><Relationship Id="rId199" Type="http://schemas.openxmlformats.org/officeDocument/2006/relationships/hyperlink" Target="http://bentonvillefilmfestival.com/" TargetMode="External"/><Relationship Id="rId150" Type="http://schemas.openxmlformats.org/officeDocument/2006/relationships/hyperlink" Target="http://www.auff.org/" TargetMode="External"/><Relationship Id="rId149" Type="http://schemas.openxmlformats.org/officeDocument/2006/relationships/hyperlink" Target="http://www.auff.org/" TargetMode="External"/><Relationship Id="rId148" Type="http://schemas.openxmlformats.org/officeDocument/2006/relationships/hyperlink" Target="https://maps.google.com/?q=1180+Briarcliff+Ct.+Ne+%231+Atlanta%2C+Georgia+30306+United+States" TargetMode="External"/><Relationship Id="rId1090" Type="http://schemas.openxmlformats.org/officeDocument/2006/relationships/hyperlink" Target="http://www.international-shorts.com/" TargetMode="External"/><Relationship Id="rId1091" Type="http://schemas.openxmlformats.org/officeDocument/2006/relationships/hyperlink" Target="https://filmfreeway.com/InternationalShorts" TargetMode="External"/><Relationship Id="rId1092" Type="http://schemas.openxmlformats.org/officeDocument/2006/relationships/hyperlink" Target="https://maps.google.com/?q=718+South+Higgins+Ave+Missoula%2C+Montana+59801+United+States" TargetMode="External"/><Relationship Id="rId1093" Type="http://schemas.openxmlformats.org/officeDocument/2006/relationships/hyperlink" Target="http://wildlifefilms.org/" TargetMode="External"/><Relationship Id="rId1094" Type="http://schemas.openxmlformats.org/officeDocument/2006/relationships/hyperlink" Target="http://wildlifefilms.org/" TargetMode="External"/><Relationship Id="rId143" Type="http://schemas.openxmlformats.org/officeDocument/2006/relationships/hyperlink" Target="https://maps.google.com/?q=1800+Peachtree+Street+NE%2C+Suite+830+Atlanta%2C+GA+30309+United+States" TargetMode="External"/><Relationship Id="rId1095" Type="http://schemas.openxmlformats.org/officeDocument/2006/relationships/hyperlink" Target="https://filmfreeway.com/InternationalWildlifeFilmFestival" TargetMode="External"/><Relationship Id="rId142" Type="http://schemas.openxmlformats.org/officeDocument/2006/relationships/hyperlink" Target="https://filmfreeway.com/atlantahorrorfest" TargetMode="External"/><Relationship Id="rId1096" Type="http://schemas.openxmlformats.org/officeDocument/2006/relationships/hyperlink" Target="https://maps.google.com/?q=700+Locust+St+Suite+100+Des+Moines%2C+Iowa+50309+United+States" TargetMode="External"/><Relationship Id="rId141" Type="http://schemas.openxmlformats.org/officeDocument/2006/relationships/hyperlink" Target="http://atlantahorrorfilmfest.com/" TargetMode="External"/><Relationship Id="rId1097" Type="http://schemas.openxmlformats.org/officeDocument/2006/relationships/hyperlink" Target="http://desmoinesartsfestival.org/interrobangfilmfestival/" TargetMode="External"/><Relationship Id="rId140" Type="http://schemas.openxmlformats.org/officeDocument/2006/relationships/hyperlink" Target="http://atlantahorrorfilmfest.com/" TargetMode="External"/><Relationship Id="rId1098" Type="http://schemas.openxmlformats.org/officeDocument/2006/relationships/hyperlink" Target="https://filmfreeway.com/InterrobangFilmFestival" TargetMode="External"/><Relationship Id="rId147" Type="http://schemas.openxmlformats.org/officeDocument/2006/relationships/hyperlink" Target="https://filmfreeway.com/atlantashortsfest" TargetMode="External"/><Relationship Id="rId1099" Type="http://schemas.openxmlformats.org/officeDocument/2006/relationships/hyperlink" Target="https://maps.google.com/?q=105+Becker+Communication+Studies+Building+Iowa+City%2C+Iowa+52242+United+States" TargetMode="External"/><Relationship Id="rId146" Type="http://schemas.openxmlformats.org/officeDocument/2006/relationships/hyperlink" Target="http://www.atlantashortsfest.com/" TargetMode="External"/><Relationship Id="rId145" Type="http://schemas.openxmlformats.org/officeDocument/2006/relationships/hyperlink" Target="https://filmfreeway.com/AtlJewishFIlm" TargetMode="External"/><Relationship Id="rId144" Type="http://schemas.openxmlformats.org/officeDocument/2006/relationships/hyperlink" Target="https://www.ajff.org/" TargetMode="External"/><Relationship Id="rId139" Type="http://schemas.openxmlformats.org/officeDocument/2006/relationships/hyperlink" Target="https://maps.google.com/?q=1180+Briarcliff+CT+NE+Unit+1+Atlanta%2C+GA+30306+United+States" TargetMode="External"/><Relationship Id="rId138" Type="http://schemas.openxmlformats.org/officeDocument/2006/relationships/hyperlink" Target="https://filmfreeway.com/ATLFF" TargetMode="External"/><Relationship Id="rId137" Type="http://schemas.openxmlformats.org/officeDocument/2006/relationships/hyperlink" Target="http://atlantafilmfestival.com/" TargetMode="External"/><Relationship Id="rId1080" Type="http://schemas.openxmlformats.org/officeDocument/2006/relationships/hyperlink" Target="http://www.horrorhotel.net/home.html" TargetMode="External"/><Relationship Id="rId1081" Type="http://schemas.openxmlformats.org/officeDocument/2006/relationships/hyperlink" Target="https://filmfreeway.com/HorrorHotel" TargetMode="External"/><Relationship Id="rId1082" Type="http://schemas.openxmlformats.org/officeDocument/2006/relationships/hyperlink" Target="https://www.maritimefilmfestival.com/" TargetMode="External"/><Relationship Id="rId1083" Type="http://schemas.openxmlformats.org/officeDocument/2006/relationships/hyperlink" Target="https://filmfreeway.com/InternationalMaritimeFilmFestival" TargetMode="External"/><Relationship Id="rId132" Type="http://schemas.openxmlformats.org/officeDocument/2006/relationships/hyperlink" Target="https://info.filmfestivalcircuit.com/atlanta-comedy-film-festival" TargetMode="External"/><Relationship Id="rId1084" Type="http://schemas.openxmlformats.org/officeDocument/2006/relationships/hyperlink" Target="https://maps.google.com/?q=1007+General+Kennedy+Ave.+Suite+205+The+Presidio+San+Francisco%2C+CA+94129+United+States" TargetMode="External"/><Relationship Id="rId131" Type="http://schemas.openxmlformats.org/officeDocument/2006/relationships/hyperlink" Target="https://maps.google.com/?q=931+Monroe+Dr+NE%2C+Atlanta%2C+GA+30308+United+States" TargetMode="External"/><Relationship Id="rId1085" Type="http://schemas.openxmlformats.org/officeDocument/2006/relationships/hyperlink" Target="http://intloceanfilmfest.org/" TargetMode="External"/><Relationship Id="rId130" Type="http://schemas.openxmlformats.org/officeDocument/2006/relationships/hyperlink" Target="https://filmfreeway.com/AthensInternationalFilmandVideoFestival" TargetMode="External"/><Relationship Id="rId1086" Type="http://schemas.openxmlformats.org/officeDocument/2006/relationships/hyperlink" Target="https://filmfreeway.com/IOFF2020" TargetMode="External"/><Relationship Id="rId1087" Type="http://schemas.openxmlformats.org/officeDocument/2006/relationships/hyperlink" Target="https://maps.google.com/?q=7304+5th+Avenue%2C+PMB+184+Brooklyn%2C+New+York+11209+United+States" TargetMode="External"/><Relationship Id="rId136" Type="http://schemas.openxmlformats.org/officeDocument/2006/relationships/hyperlink" Target="http://atlantafilmfestival.com/" TargetMode="External"/><Relationship Id="rId1088" Type="http://schemas.openxmlformats.org/officeDocument/2006/relationships/hyperlink" Target="http://iprhff.com/" TargetMode="External"/><Relationship Id="rId135" Type="http://schemas.openxmlformats.org/officeDocument/2006/relationships/hyperlink" Target="https://filmfreeway.com/docufest" TargetMode="External"/><Relationship Id="rId1089" Type="http://schemas.openxmlformats.org/officeDocument/2006/relationships/hyperlink" Target="https://filmfreeway.com/iprhff" TargetMode="External"/><Relationship Id="rId134" Type="http://schemas.openxmlformats.org/officeDocument/2006/relationships/hyperlink" Target="http://www.docufest.com/" TargetMode="External"/><Relationship Id="rId133" Type="http://schemas.openxmlformats.org/officeDocument/2006/relationships/hyperlink" Target="https://filmfreeway.com/AtlantaComedyFilmFestival" TargetMode="External"/><Relationship Id="rId172" Type="http://schemas.openxmlformats.org/officeDocument/2006/relationships/hyperlink" Target="https://www.balticon.org/wp53/" TargetMode="External"/><Relationship Id="rId171" Type="http://schemas.openxmlformats.org/officeDocument/2006/relationships/hyperlink" Target="https://filmfreeway.com/AzaleaFilmFestival" TargetMode="External"/><Relationship Id="rId170" Type="http://schemas.openxmlformats.org/officeDocument/2006/relationships/hyperlink" Target="http://www.azaleafilmfestival.com" TargetMode="External"/><Relationship Id="rId165" Type="http://schemas.openxmlformats.org/officeDocument/2006/relationships/hyperlink" Target="https://filmfreeway.com/austinrevolutionfilmfest" TargetMode="External"/><Relationship Id="rId164" Type="http://schemas.openxmlformats.org/officeDocument/2006/relationships/hyperlink" Target="https://www.austinrevolution.com/" TargetMode="External"/><Relationship Id="rId163" Type="http://schemas.openxmlformats.org/officeDocument/2006/relationships/hyperlink" Target="https://austinjff.org/" TargetMode="External"/><Relationship Id="rId162" Type="http://schemas.openxmlformats.org/officeDocument/2006/relationships/hyperlink" Target="https://filmfreeway.com/AustinFilmFestival" TargetMode="External"/><Relationship Id="rId169" Type="http://schemas.openxmlformats.org/officeDocument/2006/relationships/hyperlink" Target="https://maps.google.com/?q=6404+Hillcrest+Park+Ct+Mobile%2C+AL+36695+United+States" TargetMode="External"/><Relationship Id="rId168" Type="http://schemas.openxmlformats.org/officeDocument/2006/relationships/hyperlink" Target="https://filmfreeway.com/AwarenessFestival" TargetMode="External"/><Relationship Id="rId167" Type="http://schemas.openxmlformats.org/officeDocument/2006/relationships/hyperlink" Target="https://awarenessfestival.org/" TargetMode="External"/><Relationship Id="rId166" Type="http://schemas.openxmlformats.org/officeDocument/2006/relationships/hyperlink" Target="https://maps.google.com/?q=3503+W.+Pico+Blvd+Los+Angeles%2C+California+90019+United+States" TargetMode="External"/><Relationship Id="rId161" Type="http://schemas.openxmlformats.org/officeDocument/2006/relationships/hyperlink" Target="https://austinfilmfestival.com/" TargetMode="External"/><Relationship Id="rId160" Type="http://schemas.openxmlformats.org/officeDocument/2006/relationships/hyperlink" Target="https://maps.google.com/?q=1801+Salina+St.+Austin%2C+Texas+78702+United+States" TargetMode="External"/><Relationship Id="rId159" Type="http://schemas.openxmlformats.org/officeDocument/2006/relationships/hyperlink" Target="https://filmfreeway.com/AustinComedyShortFilmFestival" TargetMode="External"/><Relationship Id="rId154" Type="http://schemas.openxmlformats.org/officeDocument/2006/relationships/hyperlink" Target="https://filmfreeway.com/DownbeachFilmFestivalAtlanticCityCinefest" TargetMode="External"/><Relationship Id="rId153" Type="http://schemas.openxmlformats.org/officeDocument/2006/relationships/hyperlink" Target="http://atlanticcitycinefest.org/" TargetMode="External"/><Relationship Id="rId152" Type="http://schemas.openxmlformats.org/officeDocument/2006/relationships/hyperlink" Target="https://maps.google.com/?q=218+N.+Huntington+Avenue+Margate%2C+NJ+08402+United+States" TargetMode="External"/><Relationship Id="rId151" Type="http://schemas.openxmlformats.org/officeDocument/2006/relationships/hyperlink" Target="https://filmfreeway.com/auff" TargetMode="External"/><Relationship Id="rId158" Type="http://schemas.openxmlformats.org/officeDocument/2006/relationships/hyperlink" Target="https://info.filmfestivalcircuit.com/austin-comedy-short-film-festival" TargetMode="External"/><Relationship Id="rId157" Type="http://schemas.openxmlformats.org/officeDocument/2006/relationships/hyperlink" Target="https://maps.google.com/?q=8600+FM+620+N+Austin%2C+TX+78726+United+States" TargetMode="External"/><Relationship Id="rId156" Type="http://schemas.openxmlformats.org/officeDocument/2006/relationships/hyperlink" Target="https://filmfreeway.com/AAAFF" TargetMode="External"/><Relationship Id="rId155" Type="http://schemas.openxmlformats.org/officeDocument/2006/relationships/hyperlink" Target="https://www.aaafilmfest.org/" TargetMode="External"/><Relationship Id="rId1972" Type="http://schemas.openxmlformats.org/officeDocument/2006/relationships/hyperlink" Target="https://filmfreeway.com/SANDIEGOBLACKFILMFESTIVAL" TargetMode="External"/><Relationship Id="rId1973" Type="http://schemas.openxmlformats.org/officeDocument/2006/relationships/hyperlink" Target="https://maps.google.com/?q=2683+Via+de+la+Valle%2C+Suite+G210+Del+Mar%2C+CA+92014+United+States" TargetMode="External"/><Relationship Id="rId1974" Type="http://schemas.openxmlformats.org/officeDocument/2006/relationships/hyperlink" Target="https://sdfilmfest.com/" TargetMode="External"/><Relationship Id="rId1975" Type="http://schemas.openxmlformats.org/officeDocument/2006/relationships/hyperlink" Target="https://filmfreeway.com/SanDiegoFilmFestival" TargetMode="External"/><Relationship Id="rId1976" Type="http://schemas.openxmlformats.org/officeDocument/2006/relationships/hyperlink" Target="https://www.sdkidsfilms.org/" TargetMode="External"/><Relationship Id="rId1977" Type="http://schemas.openxmlformats.org/officeDocument/2006/relationships/hyperlink" Target="https://filmfreeway.com/SDIKFF" TargetMode="External"/><Relationship Id="rId1978" Type="http://schemas.openxmlformats.org/officeDocument/2006/relationships/hyperlink" Target="https://maps.google.com/?q=4126+Executive+Drive+La+Jolla%2C+CA+92037-1348+United+States" TargetMode="External"/><Relationship Id="rId1979" Type="http://schemas.openxmlformats.org/officeDocument/2006/relationships/hyperlink" Target="http://www.sdcjc.org/sdjff/" TargetMode="External"/><Relationship Id="rId1970" Type="http://schemas.openxmlformats.org/officeDocument/2006/relationships/hyperlink" Target="http://www.sdbff.com/" TargetMode="External"/><Relationship Id="rId1971" Type="http://schemas.openxmlformats.org/officeDocument/2006/relationships/hyperlink" Target="http://www.sdbff.com/" TargetMode="External"/><Relationship Id="rId1961" Type="http://schemas.openxmlformats.org/officeDocument/2006/relationships/hyperlink" Target="http://safilm.com/" TargetMode="External"/><Relationship Id="rId1962" Type="http://schemas.openxmlformats.org/officeDocument/2006/relationships/hyperlink" Target="https://filmfreeway.com/SAFILM" TargetMode="External"/><Relationship Id="rId1963" Type="http://schemas.openxmlformats.org/officeDocument/2006/relationships/hyperlink" Target="http://www.pridesanantonio.org/qfest-film-festival.html" TargetMode="External"/><Relationship Id="rId1964" Type="http://schemas.openxmlformats.org/officeDocument/2006/relationships/hyperlink" Target="https://filmfreeway.com/SanAntonioQFest" TargetMode="External"/><Relationship Id="rId1965" Type="http://schemas.openxmlformats.org/officeDocument/2006/relationships/hyperlink" Target="https://maps.google.com/?q=2467+Marilouise+Way+San+Diego%2C+CA+92103+United+States" TargetMode="External"/><Relationship Id="rId1966" Type="http://schemas.openxmlformats.org/officeDocument/2006/relationships/hyperlink" Target="http://sandiegoaff.org/" TargetMode="External"/><Relationship Id="rId1967" Type="http://schemas.openxmlformats.org/officeDocument/2006/relationships/hyperlink" Target="https://filmfreeway.com/SanDiegoArabFilmFestival" TargetMode="External"/><Relationship Id="rId1968" Type="http://schemas.openxmlformats.org/officeDocument/2006/relationships/hyperlink" Target="https://sdaff.org" TargetMode="External"/><Relationship Id="rId1969" Type="http://schemas.openxmlformats.org/officeDocument/2006/relationships/hyperlink" Target="https://filmfreeway.com/SanDiegoAsianFilmFestival" TargetMode="External"/><Relationship Id="rId1960" Type="http://schemas.openxmlformats.org/officeDocument/2006/relationships/hyperlink" Target="http://safilm.com/" TargetMode="External"/><Relationship Id="rId1510" Type="http://schemas.openxmlformats.org/officeDocument/2006/relationships/hyperlink" Target="http://www.mentalhealthfilmfest.nyc" TargetMode="External"/><Relationship Id="rId1994" Type="http://schemas.openxmlformats.org/officeDocument/2006/relationships/hyperlink" Target="http://sfbff.org/wordpress/" TargetMode="External"/><Relationship Id="rId1511" Type="http://schemas.openxmlformats.org/officeDocument/2006/relationships/hyperlink" Target="https://maps.google.com/?q=358+West+44th+Street+Producers+Club+New+York%2C+NY+10036+United+States" TargetMode="External"/><Relationship Id="rId1995" Type="http://schemas.openxmlformats.org/officeDocument/2006/relationships/hyperlink" Target="https://filmfreeway.com/sfbff" TargetMode="External"/><Relationship Id="rId1512" Type="http://schemas.openxmlformats.org/officeDocument/2006/relationships/hyperlink" Target="http://nycscff.com/" TargetMode="External"/><Relationship Id="rId1996" Type="http://schemas.openxmlformats.org/officeDocument/2006/relationships/hyperlink" Target="https://maps.google.com/?q=2440+16th+St+%23107+San+Francisco%2C+CA+93103+United+States" TargetMode="External"/><Relationship Id="rId1513" Type="http://schemas.openxmlformats.org/officeDocument/2006/relationships/hyperlink" Target="https://filmfreeway.com/NYCSCFF" TargetMode="External"/><Relationship Id="rId1997" Type="http://schemas.openxmlformats.org/officeDocument/2006/relationships/hyperlink" Target="http://sfindie.com/" TargetMode="External"/><Relationship Id="rId1514" Type="http://schemas.openxmlformats.org/officeDocument/2006/relationships/hyperlink" Target="https://maps.google.com/?q=New+York%2C+NY+United+States" TargetMode="External"/><Relationship Id="rId1998" Type="http://schemas.openxmlformats.org/officeDocument/2006/relationships/hyperlink" Target="https://filmfreeway.com/SanFranciscoDocumentaryFestival" TargetMode="External"/><Relationship Id="rId1515" Type="http://schemas.openxmlformats.org/officeDocument/2006/relationships/hyperlink" Target="http://www.nycshorts.com/" TargetMode="External"/><Relationship Id="rId1999" Type="http://schemas.openxmlformats.org/officeDocument/2006/relationships/hyperlink" Target="https://maps.google.com/?q=S.F.+Frozen+Film+Festival+588+Sutter+St.+%23103+San+Francisco%2C+CA+94102+United+States" TargetMode="External"/><Relationship Id="rId1516" Type="http://schemas.openxmlformats.org/officeDocument/2006/relationships/hyperlink" Target="http://www.nycshorts.com/" TargetMode="External"/><Relationship Id="rId1517" Type="http://schemas.openxmlformats.org/officeDocument/2006/relationships/hyperlink" Target="https://filmfreeway.com/NewYorkCityShortFilmFestivalNYCShorts" TargetMode="External"/><Relationship Id="rId1518" Type="http://schemas.openxmlformats.org/officeDocument/2006/relationships/hyperlink" Target="https://www.filmlinc.org/nyff2015/" TargetMode="External"/><Relationship Id="rId1519" Type="http://schemas.openxmlformats.org/officeDocument/2006/relationships/hyperlink" Target="https://www.filmlinc.org/" TargetMode="External"/><Relationship Id="rId1990" Type="http://schemas.openxmlformats.org/officeDocument/2006/relationships/hyperlink" Target="https://filmfreeway.com/SanDiegoUndergroundFilmFestival" TargetMode="External"/><Relationship Id="rId1991" Type="http://schemas.openxmlformats.org/officeDocument/2006/relationships/hyperlink" Target="https://www.sdufex.com" TargetMode="External"/><Relationship Id="rId1992" Type="http://schemas.openxmlformats.org/officeDocument/2006/relationships/hyperlink" Target="https://maps.google.com/?q=P.O.+Box+15490+San+Francisco%2C+CA+94115+United+States" TargetMode="External"/><Relationship Id="rId1993" Type="http://schemas.openxmlformats.org/officeDocument/2006/relationships/hyperlink" Target="http://www.sfbff.org/" TargetMode="External"/><Relationship Id="rId1983" Type="http://schemas.openxmlformats.org/officeDocument/2006/relationships/hyperlink" Target="http://sdlatinofilm.com/" TargetMode="External"/><Relationship Id="rId1500" Type="http://schemas.openxmlformats.org/officeDocument/2006/relationships/hyperlink" Target="https://filmfreeway.com/NYAFF27" TargetMode="External"/><Relationship Id="rId1984" Type="http://schemas.openxmlformats.org/officeDocument/2006/relationships/hyperlink" Target="http://sdlatinofilm.com/" TargetMode="External"/><Relationship Id="rId1501" Type="http://schemas.openxmlformats.org/officeDocument/2006/relationships/hyperlink" Target="https://maps.google.com/?q=p.o+box+PO+Box+8582+86+Broadway+Woodcliff+Lake%2C+NJ+07677+United+States" TargetMode="External"/><Relationship Id="rId1985" Type="http://schemas.openxmlformats.org/officeDocument/2006/relationships/hyperlink" Target="https://filmfreeway.com/SanDiegoLatinoFilmFestival" TargetMode="External"/><Relationship Id="rId1502" Type="http://schemas.openxmlformats.org/officeDocument/2006/relationships/hyperlink" Target="https://nychorrorfest.com/" TargetMode="External"/><Relationship Id="rId1986" Type="http://schemas.openxmlformats.org/officeDocument/2006/relationships/hyperlink" Target="https://maps.google.com/?q=565+Pearl+Street+%23100+La+Jolla%2C+CA+92037+United+States" TargetMode="External"/><Relationship Id="rId1503" Type="http://schemas.openxmlformats.org/officeDocument/2006/relationships/hyperlink" Target="https://filmfreeway.com/NewYorkCityFilmFestival" TargetMode="External"/><Relationship Id="rId1987" Type="http://schemas.openxmlformats.org/officeDocument/2006/relationships/hyperlink" Target="http://sdsurffilmfestival.com/" TargetMode="External"/><Relationship Id="rId1504" Type="http://schemas.openxmlformats.org/officeDocument/2006/relationships/hyperlink" Target="https://maps.google.com/?q=358+West+44th+Street+Second+Floor+%28Producers+Club%29+New+York%2C+NY+10036+United+States" TargetMode="External"/><Relationship Id="rId1988" Type="http://schemas.openxmlformats.org/officeDocument/2006/relationships/hyperlink" Target="https://filmfreeway.com/SanDiegoSurfFilmFestival" TargetMode="External"/><Relationship Id="rId1505" Type="http://schemas.openxmlformats.org/officeDocument/2006/relationships/hyperlink" Target="https://www.nycindieff.com/" TargetMode="External"/><Relationship Id="rId1989" Type="http://schemas.openxmlformats.org/officeDocument/2006/relationships/hyperlink" Target="https://www.sdundergroundarts.org/" TargetMode="External"/><Relationship Id="rId1506" Type="http://schemas.openxmlformats.org/officeDocument/2006/relationships/hyperlink" Target="https://www.nycindieff.com/" TargetMode="External"/><Relationship Id="rId1507" Type="http://schemas.openxmlformats.org/officeDocument/2006/relationships/hyperlink" Target="https://filmfreeway.com/NYCIndieFF" TargetMode="External"/><Relationship Id="rId1508" Type="http://schemas.openxmlformats.org/officeDocument/2006/relationships/hyperlink" Target="http://www.nyciff.com/" TargetMode="External"/><Relationship Id="rId1509" Type="http://schemas.openxmlformats.org/officeDocument/2006/relationships/hyperlink" Target="https://filmfreeway.com/NEWYORKCITYINTERNATIONALFILMFESTIVALNYCIFF" TargetMode="External"/><Relationship Id="rId1980" Type="http://schemas.openxmlformats.org/officeDocument/2006/relationships/hyperlink" Target="https://www.sdcjc.org/sdjff/" TargetMode="External"/><Relationship Id="rId1981" Type="http://schemas.openxmlformats.org/officeDocument/2006/relationships/hyperlink" Target="https://filmfreeway.com/SanDiegoJewishFilmFestival" TargetMode="External"/><Relationship Id="rId1982" Type="http://schemas.openxmlformats.org/officeDocument/2006/relationships/hyperlink" Target="https://maps.google.com/?q=2921+El+Cajon+Boulevard+San+Diego%2C+CA+92105+United+States" TargetMode="External"/><Relationship Id="rId1930" Type="http://schemas.openxmlformats.org/officeDocument/2006/relationships/hyperlink" Target="https://filmfreeway.com/TheRoxburyInternationalFilmFestival" TargetMode="External"/><Relationship Id="rId1931" Type="http://schemas.openxmlformats.org/officeDocument/2006/relationships/hyperlink" Target="https://maps.google.com/?q=200+N.+Main+Street+Royal+Oak%2C+MI+48067+United+States" TargetMode="External"/><Relationship Id="rId1932" Type="http://schemas.openxmlformats.org/officeDocument/2006/relationships/hyperlink" Target="https://www.royalstarr.org/" TargetMode="External"/><Relationship Id="rId1933" Type="http://schemas.openxmlformats.org/officeDocument/2006/relationships/hyperlink" Target="https://filmfreeway.com/RoyalStarrFilmFestival" TargetMode="External"/><Relationship Id="rId1934" Type="http://schemas.openxmlformats.org/officeDocument/2006/relationships/hyperlink" Target="http://www.mvaaff.com/" TargetMode="External"/><Relationship Id="rId1935" Type="http://schemas.openxmlformats.org/officeDocument/2006/relationships/hyperlink" Target="https://filmfreeway.com/mvaaff" TargetMode="External"/><Relationship Id="rId1936" Type="http://schemas.openxmlformats.org/officeDocument/2006/relationships/hyperlink" Target="https://rvaeff.org/" TargetMode="External"/><Relationship Id="rId1937" Type="http://schemas.openxmlformats.org/officeDocument/2006/relationships/hyperlink" Target="https://filmfreeway.com/RVAEnvironmentalFilmFestival" TargetMode="External"/><Relationship Id="rId1938" Type="http://schemas.openxmlformats.org/officeDocument/2006/relationships/hyperlink" Target="https://maps.google.com/?q=PO+Box+273+Concord%2C+NH+03302+United+States" TargetMode="External"/><Relationship Id="rId1939" Type="http://schemas.openxmlformats.org/officeDocument/2006/relationships/hyperlink" Target="http://www.snobfilmfestival.com/" TargetMode="External"/><Relationship Id="rId1920" Type="http://schemas.openxmlformats.org/officeDocument/2006/relationships/hyperlink" Target="https://filmfreeway.com/RIFF" TargetMode="External"/><Relationship Id="rId1921" Type="http://schemas.openxmlformats.org/officeDocument/2006/relationships/hyperlink" Target="https://maps.google.com/?q=232+Third+St+Suite+E-106+Brooklyn%2C+NY+11215+United+States" TargetMode="External"/><Relationship Id="rId1922" Type="http://schemas.openxmlformats.org/officeDocument/2006/relationships/hyperlink" Target="https://www.rooftopfilms.com/" TargetMode="External"/><Relationship Id="rId1923" Type="http://schemas.openxmlformats.org/officeDocument/2006/relationships/hyperlink" Target="https://filmfreeway.com/RooftopFilms" TargetMode="External"/><Relationship Id="rId1924" Type="http://schemas.openxmlformats.org/officeDocument/2006/relationships/hyperlink" Target="http://www.roswellfilmcon.com/" TargetMode="External"/><Relationship Id="rId1925" Type="http://schemas.openxmlformats.org/officeDocument/2006/relationships/hyperlink" Target="https://filmfreeway.com/RoswellScififilmfestival" TargetMode="External"/><Relationship Id="rId1926" Type="http://schemas.openxmlformats.org/officeDocument/2006/relationships/hyperlink" Target="https://maps.google.com/?q=P.O.+Box+5010+411+E.+Monroe+Springfield%2C+IL+62705+United+States" TargetMode="External"/><Relationship Id="rId1927" Type="http://schemas.openxmlformats.org/officeDocument/2006/relationships/hyperlink" Target="http://route66filmfestival.net" TargetMode="External"/><Relationship Id="rId1928" Type="http://schemas.openxmlformats.org/officeDocument/2006/relationships/hyperlink" Target="https://filmfreeway.com/Route66FilmFestival" TargetMode="External"/><Relationship Id="rId1929" Type="http://schemas.openxmlformats.org/officeDocument/2006/relationships/hyperlink" Target="https://www.roxburyinternationalfilmfestival.com/" TargetMode="External"/><Relationship Id="rId1950" Type="http://schemas.openxmlformats.org/officeDocument/2006/relationships/hyperlink" Target="http://www.sacramentofilmfestival.com/" TargetMode="External"/><Relationship Id="rId1951" Type="http://schemas.openxmlformats.org/officeDocument/2006/relationships/hyperlink" Target="https://www.sacramentofilmfestival.com/" TargetMode="External"/><Relationship Id="rId1952" Type="http://schemas.openxmlformats.org/officeDocument/2006/relationships/hyperlink" Target="https://filmfreeway.com/SacramentoInternationalFilmFestival" TargetMode="External"/><Relationship Id="rId1953" Type="http://schemas.openxmlformats.org/officeDocument/2006/relationships/hyperlink" Target="https://salemfilmfest.com/2019/" TargetMode="External"/><Relationship Id="rId1954" Type="http://schemas.openxmlformats.org/officeDocument/2006/relationships/hyperlink" Target="http://saluteyourshortsfest.com" TargetMode="External"/><Relationship Id="rId1955" Type="http://schemas.openxmlformats.org/officeDocument/2006/relationships/hyperlink" Target="https://maps.google.com/?q=723+S.+Brazos+Street+San+Antonio%2C+Texas+78207+United+States" TargetMode="External"/><Relationship Id="rId1956" Type="http://schemas.openxmlformats.org/officeDocument/2006/relationships/hyperlink" Target="http://www.guadalupeculturalarts.org/cinefestival/" TargetMode="External"/><Relationship Id="rId1957" Type="http://schemas.openxmlformats.org/officeDocument/2006/relationships/hyperlink" Target="http://www.guadalupeculturalarts.org/cinefestival/" TargetMode="External"/><Relationship Id="rId1958" Type="http://schemas.openxmlformats.org/officeDocument/2006/relationships/hyperlink" Target="https://filmfreeway.com/SanAntonioCineFestival" TargetMode="External"/><Relationship Id="rId1959" Type="http://schemas.openxmlformats.org/officeDocument/2006/relationships/hyperlink" Target="https://maps.google.com/?q=8452+Fredericksburg+Rd+PMB+%23264+San+Antonio%2C+TX+78229+United+States" TargetMode="External"/><Relationship Id="rId1940" Type="http://schemas.openxmlformats.org/officeDocument/2006/relationships/hyperlink" Target="https://www.snobfilmfestival.com/" TargetMode="External"/><Relationship Id="rId1941" Type="http://schemas.openxmlformats.org/officeDocument/2006/relationships/hyperlink" Target="https://filmfreeway.com/SNOBFilmFestival" TargetMode="External"/><Relationship Id="rId1942" Type="http://schemas.openxmlformats.org/officeDocument/2006/relationships/hyperlink" Target="https://maps.google.com/?q=10423+Ambassador+Dr.+Rancho+Cordova%2C+CA+95670+United+States" TargetMode="External"/><Relationship Id="rId1943" Type="http://schemas.openxmlformats.org/officeDocument/2006/relationships/hyperlink" Target="http://www.sacfilm.com/" TargetMode="External"/><Relationship Id="rId1944" Type="http://schemas.openxmlformats.org/officeDocument/2006/relationships/hyperlink" Target="http://www.sacfilm.com/" TargetMode="External"/><Relationship Id="rId1945" Type="http://schemas.openxmlformats.org/officeDocument/2006/relationships/hyperlink" Target="https://filmfreeway.com/SacramentoFilmandMusicFestival" TargetMode="External"/><Relationship Id="rId1946" Type="http://schemas.openxmlformats.org/officeDocument/2006/relationships/hyperlink" Target="http://www.sacfilm.com" TargetMode="External"/><Relationship Id="rId1947" Type="http://schemas.openxmlformats.org/officeDocument/2006/relationships/hyperlink" Target="https://www.sachorrorfilmfest.com/" TargetMode="External"/><Relationship Id="rId1948" Type="http://schemas.openxmlformats.org/officeDocument/2006/relationships/hyperlink" Target="https://filmfreeway.com/SacramentoHorrorFilmFestival" TargetMode="External"/><Relationship Id="rId1949" Type="http://schemas.openxmlformats.org/officeDocument/2006/relationships/hyperlink" Target="https://maps.google.com/?q=1500+West+El+Camino+Ave+%23362+Sacramento%2C+California+95833-1945+United+States" TargetMode="External"/><Relationship Id="rId1576" Type="http://schemas.openxmlformats.org/officeDocument/2006/relationships/hyperlink" Target="https://filmfreeway.com/NorthHollywoodCineFest" TargetMode="External"/><Relationship Id="rId2423" Type="http://schemas.openxmlformats.org/officeDocument/2006/relationships/hyperlink" Target="http://www.valleyfilmfest.com/" TargetMode="External"/><Relationship Id="rId1577" Type="http://schemas.openxmlformats.org/officeDocument/2006/relationships/hyperlink" Target="http://nlglff.org/" TargetMode="External"/><Relationship Id="rId2424" Type="http://schemas.openxmlformats.org/officeDocument/2006/relationships/hyperlink" Target="https://filmfreeway.com/TheValleyFilmFestival" TargetMode="External"/><Relationship Id="rId1578" Type="http://schemas.openxmlformats.org/officeDocument/2006/relationships/hyperlink" Target="https://maps.google.com/?q=PO+Box+2026+Teaneck%2C+NJ+07666+United+States" TargetMode="External"/><Relationship Id="rId2425" Type="http://schemas.openxmlformats.org/officeDocument/2006/relationships/hyperlink" Target="http://vtiff.org/" TargetMode="External"/><Relationship Id="rId1579" Type="http://schemas.openxmlformats.org/officeDocument/2006/relationships/hyperlink" Target="http://www.nefilmfestival.com/" TargetMode="External"/><Relationship Id="rId2426" Type="http://schemas.openxmlformats.org/officeDocument/2006/relationships/hyperlink" Target="http://vtiff.org/" TargetMode="External"/><Relationship Id="rId2427" Type="http://schemas.openxmlformats.org/officeDocument/2006/relationships/hyperlink" Target="https://filmfreeway.com/VTIFF" TargetMode="External"/><Relationship Id="rId2428" Type="http://schemas.openxmlformats.org/officeDocument/2006/relationships/hyperlink" Target="https://maps.google.com/?q=1360+US+Hwy+1+Suite+6+Vero+Beach%2C+Florida+32960+United+States" TargetMode="External"/><Relationship Id="rId2429" Type="http://schemas.openxmlformats.org/officeDocument/2006/relationships/hyperlink" Target="https://vbwff.com/" TargetMode="External"/><Relationship Id="rId509" Type="http://schemas.openxmlformats.org/officeDocument/2006/relationships/hyperlink" Target="https://www.comicpalooza.com/" TargetMode="External"/><Relationship Id="rId508" Type="http://schemas.openxmlformats.org/officeDocument/2006/relationships/hyperlink" Target="https://columbusjcc.org/cultural-arts/film-festival/" TargetMode="External"/><Relationship Id="rId503" Type="http://schemas.openxmlformats.org/officeDocument/2006/relationships/hyperlink" Target="https://filmfreeway.com/ColoradoEnvironmentalFilmFestival" TargetMode="External"/><Relationship Id="rId987" Type="http://schemas.openxmlformats.org/officeDocument/2006/relationships/hyperlink" Target="https://filmfreeway.com/HorrorHoundWeekendFilmFestival" TargetMode="External"/><Relationship Id="rId502" Type="http://schemas.openxmlformats.org/officeDocument/2006/relationships/hyperlink" Target="https://www.ceff.net/" TargetMode="External"/><Relationship Id="rId986" Type="http://schemas.openxmlformats.org/officeDocument/2006/relationships/hyperlink" Target="http://www.horrorhound.com/FilmFest" TargetMode="External"/><Relationship Id="rId501" Type="http://schemas.openxmlformats.org/officeDocument/2006/relationships/hyperlink" Target="http://www.ceff.net/" TargetMode="External"/><Relationship Id="rId985" Type="http://schemas.openxmlformats.org/officeDocument/2006/relationships/hyperlink" Target="https://maps.google.com/?q=11355+Chester+Road+Cincinnati%2C+Ohio+45246+United+States" TargetMode="External"/><Relationship Id="rId500" Type="http://schemas.openxmlformats.org/officeDocument/2006/relationships/hyperlink" Target="https://maps.google.com/?q=4385+Wadsworth+Blvd%2C+Suite+151+Wheat+Ridge%2C+Colorado+80033+United+States" TargetMode="External"/><Relationship Id="rId984" Type="http://schemas.openxmlformats.org/officeDocument/2006/relationships/hyperlink" Target="https://filmfreeway.com/HorrorintheHills" TargetMode="External"/><Relationship Id="rId507" Type="http://schemas.openxmlformats.org/officeDocument/2006/relationships/hyperlink" Target="https://filmfreeway.com/ColumbusFilmFestival" TargetMode="External"/><Relationship Id="rId506" Type="http://schemas.openxmlformats.org/officeDocument/2006/relationships/hyperlink" Target="https://columbusfilmfestival.wordpress.com/" TargetMode="External"/><Relationship Id="rId505" Type="http://schemas.openxmlformats.org/officeDocument/2006/relationships/hyperlink" Target="https://www.ccad.edu/experience-art/columbus-international-film-festival" TargetMode="External"/><Relationship Id="rId989" Type="http://schemas.openxmlformats.org/officeDocument/2006/relationships/hyperlink" Target="http://www.hsdfi.org/" TargetMode="External"/><Relationship Id="rId504" Type="http://schemas.openxmlformats.org/officeDocument/2006/relationships/hyperlink" Target="https://maps.google.com/?q=271+E+Jenkines+Ave+Columbus%2C+OH+43207+United+States" TargetMode="External"/><Relationship Id="rId988" Type="http://schemas.openxmlformats.org/officeDocument/2006/relationships/hyperlink" Target="https://maps.google.com/?q=659+Ouachita+Ave.+Hot+Springs+National+Park%2C+AR+71901+United+States" TargetMode="External"/><Relationship Id="rId1570" Type="http://schemas.openxmlformats.org/officeDocument/2006/relationships/hyperlink" Target="http://blackartsalliance.org/" TargetMode="External"/><Relationship Id="rId1571" Type="http://schemas.openxmlformats.org/officeDocument/2006/relationships/hyperlink" Target="https://filmfreeway.com/NCBlackFilmFestival" TargetMode="External"/><Relationship Id="rId983" Type="http://schemas.openxmlformats.org/officeDocument/2006/relationships/hyperlink" Target="http://www.horrorinthehills.com/" TargetMode="External"/><Relationship Id="rId1572" Type="http://schemas.openxmlformats.org/officeDocument/2006/relationships/hyperlink" Target="http://www.carolinatheatre.org/films/festivals/ncglff" TargetMode="External"/><Relationship Id="rId982" Type="http://schemas.openxmlformats.org/officeDocument/2006/relationships/hyperlink" Target="https://filmfreeway.com/HorrorHausFilmFestival" TargetMode="External"/><Relationship Id="rId1573" Type="http://schemas.openxmlformats.org/officeDocument/2006/relationships/hyperlink" Target="http://www.carolinatheatre.org/films/festivals/ncglff" TargetMode="External"/><Relationship Id="rId2420" Type="http://schemas.openxmlformats.org/officeDocument/2006/relationships/hyperlink" Target="https://maps.google.com/?q=Vail%2C+CO+81657+United+States" TargetMode="External"/><Relationship Id="rId981" Type="http://schemas.openxmlformats.org/officeDocument/2006/relationships/hyperlink" Target="http://horrorhausfilmfestival.com/" TargetMode="External"/><Relationship Id="rId1574" Type="http://schemas.openxmlformats.org/officeDocument/2006/relationships/hyperlink" Target="https://filmfreeway.com/NorthCarolinaGayLesbianFilmFestival" TargetMode="External"/><Relationship Id="rId2421" Type="http://schemas.openxmlformats.org/officeDocument/2006/relationships/hyperlink" Target="http://www.vailfilmfestival.com/" TargetMode="External"/><Relationship Id="rId980" Type="http://schemas.openxmlformats.org/officeDocument/2006/relationships/hyperlink" Target="https://filmfreeway.com/HorribleImaginingsFilmFest" TargetMode="External"/><Relationship Id="rId1575" Type="http://schemas.openxmlformats.org/officeDocument/2006/relationships/hyperlink" Target="https://www.nohocinefest.com/" TargetMode="External"/><Relationship Id="rId2422" Type="http://schemas.openxmlformats.org/officeDocument/2006/relationships/hyperlink" Target="https://filmfreeway.com/VailFilmFestival" TargetMode="External"/><Relationship Id="rId1565" Type="http://schemas.openxmlformats.org/officeDocument/2006/relationships/hyperlink" Target="https://nolahorrorfilmfest.com/" TargetMode="External"/><Relationship Id="rId2412" Type="http://schemas.openxmlformats.org/officeDocument/2006/relationships/hyperlink" Target="http://www.usafilmfestival.com/" TargetMode="External"/><Relationship Id="rId1566" Type="http://schemas.openxmlformats.org/officeDocument/2006/relationships/hyperlink" Target="https://filmfreeway.com/NOLAHorrorFilmFest" TargetMode="External"/><Relationship Id="rId2413" Type="http://schemas.openxmlformats.org/officeDocument/2006/relationships/hyperlink" Target="https://filmfreeway.com/USAFilmFestival" TargetMode="External"/><Relationship Id="rId1567" Type="http://schemas.openxmlformats.org/officeDocument/2006/relationships/hyperlink" Target="https://nolahff.com" TargetMode="External"/><Relationship Id="rId2414" Type="http://schemas.openxmlformats.org/officeDocument/2006/relationships/hyperlink" Target="http://www.utahdancefilmfestival.org/" TargetMode="External"/><Relationship Id="rId1568" Type="http://schemas.openxmlformats.org/officeDocument/2006/relationships/hyperlink" Target="http://www.nordicfilmfest.org/" TargetMode="External"/><Relationship Id="rId2415" Type="http://schemas.openxmlformats.org/officeDocument/2006/relationships/hyperlink" Target="https://filmfreeway.com/UtahDanceFilmFestival" TargetMode="External"/><Relationship Id="rId1569" Type="http://schemas.openxmlformats.org/officeDocument/2006/relationships/hyperlink" Target="https://filmfreeway.com/NordicInternationalFilmFestival" TargetMode="External"/><Relationship Id="rId2416" Type="http://schemas.openxmlformats.org/officeDocument/2006/relationships/hyperlink" Target="https://maps.google.com/?q=15+Cresent+Road%2CSuite+204+Greenbelt%2C+MD+20770+United+States" TargetMode="External"/><Relationship Id="rId2417" Type="http://schemas.openxmlformats.org/officeDocument/2006/relationships/hyperlink" Target="http://www.utopiafilmfestival.org/" TargetMode="External"/><Relationship Id="rId2418" Type="http://schemas.openxmlformats.org/officeDocument/2006/relationships/hyperlink" Target="https://www.utopiafilmfestival.org/" TargetMode="External"/><Relationship Id="rId2419" Type="http://schemas.openxmlformats.org/officeDocument/2006/relationships/hyperlink" Target="https://filmfreeway.com/Utopiafest-954719" TargetMode="External"/><Relationship Id="rId976" Type="http://schemas.openxmlformats.org/officeDocument/2006/relationships/hyperlink" Target="https://filmfreeway.com/HollywoodShortFilmFestival" TargetMode="External"/><Relationship Id="rId975" Type="http://schemas.openxmlformats.org/officeDocument/2006/relationships/hyperlink" Target="https://www.hollywoodsff.org/" TargetMode="External"/><Relationship Id="rId974" Type="http://schemas.openxmlformats.org/officeDocument/2006/relationships/hyperlink" Target="https://maps.google.com/?q=Los+Angeles%2C+CA+90065+United+States" TargetMode="External"/><Relationship Id="rId973" Type="http://schemas.openxmlformats.org/officeDocument/2006/relationships/hyperlink" Target="https://filmfreeway.com/HOLLYWOOD_FILM_HRIFF" TargetMode="External"/><Relationship Id="rId979" Type="http://schemas.openxmlformats.org/officeDocument/2006/relationships/hyperlink" Target="http://www.hifilmfest.com/" TargetMode="External"/><Relationship Id="rId978" Type="http://schemas.openxmlformats.org/officeDocument/2006/relationships/hyperlink" Target="https://maps.google.com/?q=5934+Cumberland+St+San+Diego%2C+California+92139+United+States" TargetMode="External"/><Relationship Id="rId977" Type="http://schemas.openxmlformats.org/officeDocument/2006/relationships/hyperlink" Target="https://www.facebook.com/hrfilmfest" TargetMode="External"/><Relationship Id="rId1560" Type="http://schemas.openxmlformats.org/officeDocument/2006/relationships/hyperlink" Target="https://filmfreeway.com/NightmaresFilmFest" TargetMode="External"/><Relationship Id="rId972" Type="http://schemas.openxmlformats.org/officeDocument/2006/relationships/hyperlink" Target="http://www.hollywoodreelindependentfilmfestival.com/" TargetMode="External"/><Relationship Id="rId1561" Type="http://schemas.openxmlformats.org/officeDocument/2006/relationships/hyperlink" Target="http://www.nihilists.net/film.html" TargetMode="External"/><Relationship Id="rId971" Type="http://schemas.openxmlformats.org/officeDocument/2006/relationships/hyperlink" Target="https://maps.google.com/?q=%23+828+1615+N.+Wilcox+Avenue+Hollywood%2C+CA+90078+United+States" TargetMode="External"/><Relationship Id="rId1562" Type="http://schemas.openxmlformats.org/officeDocument/2006/relationships/hyperlink" Target="https://maps.google.com/?q=136+Metropolitan+Avenue+Brooklyn%2C+NY+11249+United+States" TargetMode="External"/><Relationship Id="rId970" Type="http://schemas.openxmlformats.org/officeDocument/2006/relationships/hyperlink" Target="https://filmfreeway.com/HollywoodHorrorfest" TargetMode="External"/><Relationship Id="rId1563" Type="http://schemas.openxmlformats.org/officeDocument/2006/relationships/hyperlink" Target="https://nitehawkshortsfestival.com" TargetMode="External"/><Relationship Id="rId2410" Type="http://schemas.openxmlformats.org/officeDocument/2006/relationships/hyperlink" Target="https://filmfreeway.com/UrbanworldFilmFestival" TargetMode="External"/><Relationship Id="rId1564" Type="http://schemas.openxmlformats.org/officeDocument/2006/relationships/hyperlink" Target="https://filmfreeway.com/NitehawkShortsFestival" TargetMode="External"/><Relationship Id="rId2411" Type="http://schemas.openxmlformats.org/officeDocument/2006/relationships/hyperlink" Target="https://maps.google.com/?q=6116+N.+Central+Expressway%2C+Suite+105+Dallas%2C+Texas+75206+United+States" TargetMode="External"/><Relationship Id="rId1114" Type="http://schemas.openxmlformats.org/officeDocument/2006/relationships/hyperlink" Target="http://www.israelfilmfestival.com/" TargetMode="External"/><Relationship Id="rId1598" Type="http://schemas.openxmlformats.org/officeDocument/2006/relationships/hyperlink" Target="https://filmfreeway.com/OaklandInternationalFilmFestival" TargetMode="External"/><Relationship Id="rId2445" Type="http://schemas.openxmlformats.org/officeDocument/2006/relationships/hyperlink" Target="https://www.wjff.org/" TargetMode="External"/><Relationship Id="rId1115" Type="http://schemas.openxmlformats.org/officeDocument/2006/relationships/hyperlink" Target="http://www.israelfilmfestival.com/" TargetMode="External"/><Relationship Id="rId1599" Type="http://schemas.openxmlformats.org/officeDocument/2006/relationships/hyperlink" Target="https://osidefilm.org/" TargetMode="External"/><Relationship Id="rId2446" Type="http://schemas.openxmlformats.org/officeDocument/2006/relationships/hyperlink" Target="https://www.wjff.org/" TargetMode="External"/><Relationship Id="rId1116" Type="http://schemas.openxmlformats.org/officeDocument/2006/relationships/hyperlink" Target="http://www.italianfilmfests.org" TargetMode="External"/><Relationship Id="rId2447" Type="http://schemas.openxmlformats.org/officeDocument/2006/relationships/hyperlink" Target="https://filmfreeway.com/WJFF" TargetMode="External"/><Relationship Id="rId1117" Type="http://schemas.openxmlformats.org/officeDocument/2006/relationships/hyperlink" Target="https://maps.google.com/?q=69+Brown+Street+Box+1930+Providence%2C+Rhode+Island+02912+United+States" TargetMode="External"/><Relationship Id="rId2448" Type="http://schemas.openxmlformats.org/officeDocument/2006/relationships/hyperlink" Target="https://maps.google.com/?q=11911+Freedom+Drive+Suite+850+Reston%2C+VA+20190+United+States" TargetMode="External"/><Relationship Id="rId1118" Type="http://schemas.openxmlformats.org/officeDocument/2006/relationships/hyperlink" Target="http://ivyfilmfestival.org/index.html" TargetMode="External"/><Relationship Id="rId2449" Type="http://schemas.openxmlformats.org/officeDocument/2006/relationships/hyperlink" Target="https://wwfilmfest.com/" TargetMode="External"/><Relationship Id="rId1119" Type="http://schemas.openxmlformats.org/officeDocument/2006/relationships/hyperlink" Target="https://filmfreeway.com/IvyFilmFestival" TargetMode="External"/><Relationship Id="rId525" Type="http://schemas.openxmlformats.org/officeDocument/2006/relationships/hyperlink" Target="https://filmfreeway.com/CopaShortsFilmFest" TargetMode="External"/><Relationship Id="rId524" Type="http://schemas.openxmlformats.org/officeDocument/2006/relationships/hyperlink" Target="http://copashortsfilmfest.org" TargetMode="External"/><Relationship Id="rId523" Type="http://schemas.openxmlformats.org/officeDocument/2006/relationships/hyperlink" Target="https://filmfreeway.com/ConnecticutLGBTQFilmFestival" TargetMode="External"/><Relationship Id="rId522" Type="http://schemas.openxmlformats.org/officeDocument/2006/relationships/hyperlink" Target="https://outfilmct.org/" TargetMode="External"/><Relationship Id="rId529" Type="http://schemas.openxmlformats.org/officeDocument/2006/relationships/hyperlink" Target="https://covellitefilmfest.org/" TargetMode="External"/><Relationship Id="rId528" Type="http://schemas.openxmlformats.org/officeDocument/2006/relationships/hyperlink" Target="https://maps.google.com/?q=57+W+BROADWAY+Butte%2C+Montana+59701+United+States" TargetMode="External"/><Relationship Id="rId527" Type="http://schemas.openxmlformats.org/officeDocument/2006/relationships/hyperlink" Target="https://filmfreeway.com/CordilleraInternationalFilmFestival" TargetMode="External"/><Relationship Id="rId526" Type="http://schemas.openxmlformats.org/officeDocument/2006/relationships/hyperlink" Target="https://www.ciffnv.org/" TargetMode="External"/><Relationship Id="rId1590" Type="http://schemas.openxmlformats.org/officeDocument/2006/relationships/hyperlink" Target="https://maps.google.com/?q=358+West+44th+Street+Producers+Club+New+York%2C+NY+10036+United+States" TargetMode="External"/><Relationship Id="rId1591" Type="http://schemas.openxmlformats.org/officeDocument/2006/relationships/hyperlink" Target="http://nycsdff.com/" TargetMode="External"/><Relationship Id="rId1592" Type="http://schemas.openxmlformats.org/officeDocument/2006/relationships/hyperlink" Target="https://filmfreeway.com/NYCSDFF" TargetMode="External"/><Relationship Id="rId1593" Type="http://schemas.openxmlformats.org/officeDocument/2006/relationships/hyperlink" Target="https://maps.google.com/?q=231+W.+Jefferson+Blvd+Dallas%2C+TX+75208+United+States" TargetMode="External"/><Relationship Id="rId2440" Type="http://schemas.openxmlformats.org/officeDocument/2006/relationships/hyperlink" Target="https://filmfreeway.com/VOBFilmFestival" TargetMode="External"/><Relationship Id="rId521" Type="http://schemas.openxmlformats.org/officeDocument/2006/relationships/hyperlink" Target="http://www.outfilmct.org/" TargetMode="External"/><Relationship Id="rId1110" Type="http://schemas.openxmlformats.org/officeDocument/2006/relationships/hyperlink" Target="https://filmfreeway.com/IrishFilmFestivalBoston2020" TargetMode="External"/><Relationship Id="rId1594" Type="http://schemas.openxmlformats.org/officeDocument/2006/relationships/hyperlink" Target="http://oakclifffilmfestival.com/" TargetMode="External"/><Relationship Id="rId2441" Type="http://schemas.openxmlformats.org/officeDocument/2006/relationships/hyperlink" Target="https://maps.google.com/?q=1172+FIRST+AVE+Salt+Lake+City%2C+Utah+84103+United+States" TargetMode="External"/><Relationship Id="rId520" Type="http://schemas.openxmlformats.org/officeDocument/2006/relationships/hyperlink" Target="https://filmfreeway.com/ConeyIslandFilmFestival" TargetMode="External"/><Relationship Id="rId1111" Type="http://schemas.openxmlformats.org/officeDocument/2006/relationships/hyperlink" Target="https://maps.google.com/?q=13700+Alton+Parkway+%23154+Irvine%2C+Ca+92618+United+States" TargetMode="External"/><Relationship Id="rId1595" Type="http://schemas.openxmlformats.org/officeDocument/2006/relationships/hyperlink" Target="https://filmfreeway.com/filmoakcliff" TargetMode="External"/><Relationship Id="rId2442" Type="http://schemas.openxmlformats.org/officeDocument/2006/relationships/hyperlink" Target="http://www.wasatchfilmfestival.org/" TargetMode="External"/><Relationship Id="rId1112" Type="http://schemas.openxmlformats.org/officeDocument/2006/relationships/hyperlink" Target="https://www.irvinefilmfest.com/" TargetMode="External"/><Relationship Id="rId1596" Type="http://schemas.openxmlformats.org/officeDocument/2006/relationships/hyperlink" Target="http://www.oiff.org/" TargetMode="External"/><Relationship Id="rId2443" Type="http://schemas.openxmlformats.org/officeDocument/2006/relationships/hyperlink" Target="https://filmfreeway.com/WasatchMountainFilmFestival" TargetMode="External"/><Relationship Id="rId1113" Type="http://schemas.openxmlformats.org/officeDocument/2006/relationships/hyperlink" Target="https://filmfreeway.com/IrvineInternationalFilmFestival" TargetMode="External"/><Relationship Id="rId1597" Type="http://schemas.openxmlformats.org/officeDocument/2006/relationships/hyperlink" Target="http://www.oiff.org/" TargetMode="External"/><Relationship Id="rId2444" Type="http://schemas.openxmlformats.org/officeDocument/2006/relationships/hyperlink" Target="https://maps.google.com/?q=1529+16th+St+NW+Washington%2C+District+of+Columbia+20036+United+States" TargetMode="External"/><Relationship Id="rId1103" Type="http://schemas.openxmlformats.org/officeDocument/2006/relationships/hyperlink" Target="http://iranianfilmfestival.org/" TargetMode="External"/><Relationship Id="rId1587" Type="http://schemas.openxmlformats.org/officeDocument/2006/relationships/hyperlink" Target="https://filmfreeway.com/NYPortugueseShortFilmFestival" TargetMode="External"/><Relationship Id="rId2434" Type="http://schemas.openxmlformats.org/officeDocument/2006/relationships/hyperlink" Target="http://www.vietfilmfest.com" TargetMode="External"/><Relationship Id="rId1104" Type="http://schemas.openxmlformats.org/officeDocument/2006/relationships/hyperlink" Target="https://filmfreeway.com/IranianFilmFestivalSanFrancisco" TargetMode="External"/><Relationship Id="rId1588" Type="http://schemas.openxmlformats.org/officeDocument/2006/relationships/hyperlink" Target="http://duotheater.org/film.php" TargetMode="External"/><Relationship Id="rId2435" Type="http://schemas.openxmlformats.org/officeDocument/2006/relationships/hyperlink" Target="http://www.virginiafilmfestival.org/" TargetMode="External"/><Relationship Id="rId1105" Type="http://schemas.openxmlformats.org/officeDocument/2006/relationships/hyperlink" Target="https://maps.google.com/?q=Gene+Siskel+Film+Center+164+North+State+Street+Chicago%2C+IL+60601+United+States" TargetMode="External"/><Relationship Id="rId1589" Type="http://schemas.openxmlformats.org/officeDocument/2006/relationships/hyperlink" Target="https://filmfreeway.com/NYCDowntownShortFilmFestival" TargetMode="External"/><Relationship Id="rId2436" Type="http://schemas.openxmlformats.org/officeDocument/2006/relationships/hyperlink" Target="http://virginiafilmfestival.org/" TargetMode="External"/><Relationship Id="rId1106" Type="http://schemas.openxmlformats.org/officeDocument/2006/relationships/hyperlink" Target="https://hiberniantransmedia.org/moviehooley/" TargetMode="External"/><Relationship Id="rId2437" Type="http://schemas.openxmlformats.org/officeDocument/2006/relationships/hyperlink" Target="https://filmfreeway.com/VirginiaFilmFestival" TargetMode="External"/><Relationship Id="rId1107" Type="http://schemas.openxmlformats.org/officeDocument/2006/relationships/hyperlink" Target="https://filmfreeway.com/IrishAmericanMovieHooley" TargetMode="External"/><Relationship Id="rId2438" Type="http://schemas.openxmlformats.org/officeDocument/2006/relationships/hyperlink" Target="https://maps.google.com/?q=28+Gleneida+Avenue+Carmel%2C+NY+10512+United+States" TargetMode="External"/><Relationship Id="rId1108" Type="http://schemas.openxmlformats.org/officeDocument/2006/relationships/hyperlink" Target="http://www.irishfilmfestival.com/" TargetMode="External"/><Relationship Id="rId2439" Type="http://schemas.openxmlformats.org/officeDocument/2006/relationships/hyperlink" Target="http://www.vobfilmfestival.com/" TargetMode="External"/><Relationship Id="rId1109" Type="http://schemas.openxmlformats.org/officeDocument/2006/relationships/hyperlink" Target="http://www.irishfilmfestival.com/" TargetMode="External"/><Relationship Id="rId519" Type="http://schemas.openxmlformats.org/officeDocument/2006/relationships/hyperlink" Target="http://www.coneyislandfilmfestival.com/" TargetMode="External"/><Relationship Id="rId514" Type="http://schemas.openxmlformats.org/officeDocument/2006/relationships/hyperlink" Target="http://www.connooga.com" TargetMode="External"/><Relationship Id="rId998" Type="http://schemas.openxmlformats.org/officeDocument/2006/relationships/hyperlink" Target="https://houstonlatinofilmfestival.org/" TargetMode="External"/><Relationship Id="rId513" Type="http://schemas.openxmlformats.org/officeDocument/2006/relationships/hyperlink" Target="https://filmfreeway.com/CommonGoodInternationalFilmFestival" TargetMode="External"/><Relationship Id="rId997" Type="http://schemas.openxmlformats.org/officeDocument/2006/relationships/hyperlink" Target="https://www.erjcchouston.org/arts/houston-jewish-film-festival/" TargetMode="External"/><Relationship Id="rId512" Type="http://schemas.openxmlformats.org/officeDocument/2006/relationships/hyperlink" Target="http://whiteheadfilmfestival.org/" TargetMode="External"/><Relationship Id="rId996" Type="http://schemas.openxmlformats.org/officeDocument/2006/relationships/hyperlink" Target="https://filmfreeway.com/HoustonComedyFilmFestival" TargetMode="External"/><Relationship Id="rId511" Type="http://schemas.openxmlformats.org/officeDocument/2006/relationships/hyperlink" Target="https://maps.google.com/?q=The+Center+for+Process+Studies+1325+N.+College+Ave+Claremont%2C+CA+91711+United+States" TargetMode="External"/><Relationship Id="rId995" Type="http://schemas.openxmlformats.org/officeDocument/2006/relationships/hyperlink" Target="https://info.filmfestivalcircuit.com/houston-comedy-film-festival" TargetMode="External"/><Relationship Id="rId518" Type="http://schemas.openxmlformats.org/officeDocument/2006/relationships/hyperlink" Target="http://www.coneyislandfilmfestival.com/" TargetMode="External"/><Relationship Id="rId517" Type="http://schemas.openxmlformats.org/officeDocument/2006/relationships/hyperlink" Target="https://maps.google.com/?q=1208+Surf+Avenue+Brooklyn%2C+NY+11224+United+States" TargetMode="External"/><Relationship Id="rId516" Type="http://schemas.openxmlformats.org/officeDocument/2006/relationships/hyperlink" Target="https://filmfreeway.com/2019ConCarolinasShortFilmFestival" TargetMode="External"/><Relationship Id="rId515" Type="http://schemas.openxmlformats.org/officeDocument/2006/relationships/hyperlink" Target="http://www.concarolinas.org/events/concarolinas-short-film-festival/" TargetMode="External"/><Relationship Id="rId999" Type="http://schemas.openxmlformats.org/officeDocument/2006/relationships/hyperlink" Target="https://filmfreeway.com/houstonlatinofilmfestival" TargetMode="External"/><Relationship Id="rId990" Type="http://schemas.openxmlformats.org/officeDocument/2006/relationships/hyperlink" Target="https://www.hsdfi.org/" TargetMode="External"/><Relationship Id="rId1580" Type="http://schemas.openxmlformats.org/officeDocument/2006/relationships/hyperlink" Target="https://filmfreeway.com/NortheastFilmFestival" TargetMode="External"/><Relationship Id="rId1581" Type="http://schemas.openxmlformats.org/officeDocument/2006/relationships/hyperlink" Target="https://www.newhorrorfest.com/" TargetMode="External"/><Relationship Id="rId1582" Type="http://schemas.openxmlformats.org/officeDocument/2006/relationships/hyperlink" Target="https://filmfreeway.com/NortheastWisconsinHorrorFilmFestival" TargetMode="External"/><Relationship Id="rId510" Type="http://schemas.openxmlformats.org/officeDocument/2006/relationships/hyperlink" Target="https://filmfreeway.com/Comicpalooza" TargetMode="External"/><Relationship Id="rId994" Type="http://schemas.openxmlformats.org/officeDocument/2006/relationships/hyperlink" Target="https://filmfreeway.com/HotSpringsHorrorFilmFestival" TargetMode="External"/><Relationship Id="rId1583" Type="http://schemas.openxmlformats.org/officeDocument/2006/relationships/hyperlink" Target="https://maps.google.com/?q=8900+Little+River+Turnpike+Fairfax%2C+VA+22031+United+States" TargetMode="External"/><Relationship Id="rId2430" Type="http://schemas.openxmlformats.org/officeDocument/2006/relationships/hyperlink" Target="https://filmfreeway.com/VeroBeachWineandFilmFestival" TargetMode="External"/><Relationship Id="rId993" Type="http://schemas.openxmlformats.org/officeDocument/2006/relationships/hyperlink" Target="https://hotspringshorrorfilmfestival.com/" TargetMode="External"/><Relationship Id="rId1100" Type="http://schemas.openxmlformats.org/officeDocument/2006/relationships/hyperlink" Target="https://icdocs.wordpress.com/" TargetMode="External"/><Relationship Id="rId1584" Type="http://schemas.openxmlformats.org/officeDocument/2006/relationships/hyperlink" Target="https://www.jccnv.org/film-festival/northern-virginia-jewish-film-festival/" TargetMode="External"/><Relationship Id="rId2431" Type="http://schemas.openxmlformats.org/officeDocument/2006/relationships/hyperlink" Target="https://maps.google.com/?q=One+O%26%2339%3BConnor+Plaza+Suite+930+Victoria%2C+TX+77901+United+States" TargetMode="External"/><Relationship Id="rId992" Type="http://schemas.openxmlformats.org/officeDocument/2006/relationships/hyperlink" Target="https://maps.google.com/?q=Historic+Central+Theater+1008+Central+Ave+Hot+Springs+National+Park%2C+AR+71901+United+States" TargetMode="External"/><Relationship Id="rId1101" Type="http://schemas.openxmlformats.org/officeDocument/2006/relationships/hyperlink" Target="https://filmfreeway.com/icdocs" TargetMode="External"/><Relationship Id="rId1585" Type="http://schemas.openxmlformats.org/officeDocument/2006/relationships/hyperlink" Target="https://filmfreeway.com/NVJFF" TargetMode="External"/><Relationship Id="rId2432" Type="http://schemas.openxmlformats.org/officeDocument/2006/relationships/hyperlink" Target="http://www.vtxiff.com/" TargetMode="External"/><Relationship Id="rId991" Type="http://schemas.openxmlformats.org/officeDocument/2006/relationships/hyperlink" Target="https://filmfreeway.com/HotSpringsDocumentaryFilmFestival" TargetMode="External"/><Relationship Id="rId1102" Type="http://schemas.openxmlformats.org/officeDocument/2006/relationships/hyperlink" Target="https://maps.google.com/?q=6+Beach+Road%2C+544+Tiburon%2C+CA+94920+United+States" TargetMode="External"/><Relationship Id="rId1586" Type="http://schemas.openxmlformats.org/officeDocument/2006/relationships/hyperlink" Target="http://arteinstitute.org/nypsff/" TargetMode="External"/><Relationship Id="rId2433" Type="http://schemas.openxmlformats.org/officeDocument/2006/relationships/hyperlink" Target="https://filmfreeway.com/vtxiff" TargetMode="External"/><Relationship Id="rId1532" Type="http://schemas.openxmlformats.org/officeDocument/2006/relationships/hyperlink" Target="https://maps.google.com/?q=Videology+Bar+%26amp%3B+Cinema+308+Bedford+Avenue+Brooklyn%2C+New+York+11211+United+States" TargetMode="External"/><Relationship Id="rId1533" Type="http://schemas.openxmlformats.org/officeDocument/2006/relationships/hyperlink" Target="https://liftoff.network/" TargetMode="External"/><Relationship Id="rId1534" Type="http://schemas.openxmlformats.org/officeDocument/2006/relationships/hyperlink" Target="https://filmfreeway.com/NewYorkLiftOffFilmFestival" TargetMode="External"/><Relationship Id="rId1535" Type="http://schemas.openxmlformats.org/officeDocument/2006/relationships/hyperlink" Target="https://maps.google.com/?q=Center+for+Jewish+History+15+West+16th+Street+New+York%2C+NY+10011+United+States" TargetMode="External"/><Relationship Id="rId1536" Type="http://schemas.openxmlformats.org/officeDocument/2006/relationships/hyperlink" Target="http://nysephardifilmfestival.org/" TargetMode="External"/><Relationship Id="rId1537" Type="http://schemas.openxmlformats.org/officeDocument/2006/relationships/hyperlink" Target="https://filmfreeway.com/NewYorkSephardicFilmFestival" TargetMode="External"/><Relationship Id="rId1538" Type="http://schemas.openxmlformats.org/officeDocument/2006/relationships/hyperlink" Target="https://www.nyshorts.net/" TargetMode="External"/><Relationship Id="rId1539" Type="http://schemas.openxmlformats.org/officeDocument/2006/relationships/hyperlink" Target="https://filmfreeway.com/NYshorts" TargetMode="External"/><Relationship Id="rId949" Type="http://schemas.openxmlformats.org/officeDocument/2006/relationships/hyperlink" Target="https://filmfreeway.com/HighFallsFilmFestivalRochesterNY" TargetMode="External"/><Relationship Id="rId948" Type="http://schemas.openxmlformats.org/officeDocument/2006/relationships/hyperlink" Target="http://highfallsfilmfestival.com" TargetMode="External"/><Relationship Id="rId943" Type="http://schemas.openxmlformats.org/officeDocument/2006/relationships/hyperlink" Target="https://filmfreeway.com/HellsHalfMileFilmMusicFestival" TargetMode="External"/><Relationship Id="rId942" Type="http://schemas.openxmlformats.org/officeDocument/2006/relationships/hyperlink" Target="http://hhmfest.com/" TargetMode="External"/><Relationship Id="rId941" Type="http://schemas.openxmlformats.org/officeDocument/2006/relationships/hyperlink" Target="https://maps.google.com/?q=4106+E+Wilder+Road+%23283+Bay+City%2C+MI+48706+United+States" TargetMode="External"/><Relationship Id="rId940" Type="http://schemas.openxmlformats.org/officeDocument/2006/relationships/hyperlink" Target="https://filmfreeway.com/HeartlandFilmFestival" TargetMode="External"/><Relationship Id="rId947" Type="http://schemas.openxmlformats.org/officeDocument/2006/relationships/hyperlink" Target="https://maps.google.com/?q=45+East+Avenue+4th+Floor+Rochester%2C+NY+14604+United+States" TargetMode="External"/><Relationship Id="rId946" Type="http://schemas.openxmlformats.org/officeDocument/2006/relationships/hyperlink" Target="https://filmfreeway.com/heritagefilmfestival" TargetMode="External"/><Relationship Id="rId945" Type="http://schemas.openxmlformats.org/officeDocument/2006/relationships/hyperlink" Target="https://www.heritagefilmfestival.org/" TargetMode="External"/><Relationship Id="rId944" Type="http://schemas.openxmlformats.org/officeDocument/2006/relationships/hyperlink" Target="https://maps.google.com/?q=The+Heritage+Film+Festival+P.O.+Box+7823+Largo%2C+MD+20792+United+States" TargetMode="External"/><Relationship Id="rId1530" Type="http://schemas.openxmlformats.org/officeDocument/2006/relationships/hyperlink" Target="https://www.nykfcf.com/index/content/call-for-submission/" TargetMode="External"/><Relationship Id="rId1531" Type="http://schemas.openxmlformats.org/officeDocument/2006/relationships/hyperlink" Target="http://nylatinofilmfestival.com" TargetMode="External"/><Relationship Id="rId1521" Type="http://schemas.openxmlformats.org/officeDocument/2006/relationships/hyperlink" Target="http://www.iaac.us/" TargetMode="External"/><Relationship Id="rId1522" Type="http://schemas.openxmlformats.org/officeDocument/2006/relationships/hyperlink" Target="https://filmfreeway.com/NYIFF20" TargetMode="External"/><Relationship Id="rId1523" Type="http://schemas.openxmlformats.org/officeDocument/2006/relationships/hyperlink" Target="https://maps.google.com/?q=225+Broadway%2C+%232730+New+York%2C+New+York+10007+United+States" TargetMode="External"/><Relationship Id="rId1524" Type="http://schemas.openxmlformats.org/officeDocument/2006/relationships/hyperlink" Target="http://www.gkids.com/" TargetMode="External"/><Relationship Id="rId1525" Type="http://schemas.openxmlformats.org/officeDocument/2006/relationships/hyperlink" Target="https://nyicff.org/" TargetMode="External"/><Relationship Id="rId1526" Type="http://schemas.openxmlformats.org/officeDocument/2006/relationships/hyperlink" Target="https://filmfreeway.com/NYICFF" TargetMode="External"/><Relationship Id="rId1527" Type="http://schemas.openxmlformats.org/officeDocument/2006/relationships/hyperlink" Target="https://www.filmlinc.org/festivals/new-york-jewish-film-festival/" TargetMode="External"/><Relationship Id="rId1528" Type="http://schemas.openxmlformats.org/officeDocument/2006/relationships/hyperlink" Target="https://www.filmlinc.org/festivals/new-york-jewish-film-festival/" TargetMode="External"/><Relationship Id="rId1529" Type="http://schemas.openxmlformats.org/officeDocument/2006/relationships/hyperlink" Target="http://www.nykfcf.com" TargetMode="External"/><Relationship Id="rId939" Type="http://schemas.openxmlformats.org/officeDocument/2006/relationships/hyperlink" Target="http://heartlandfilm.org/festival/" TargetMode="External"/><Relationship Id="rId938" Type="http://schemas.openxmlformats.org/officeDocument/2006/relationships/hyperlink" Target="https://maps.google.com/?q=1043+Virginia+Ave.+Suite+2+Indianapolis%2C+IN+46203+United+States" TargetMode="External"/><Relationship Id="rId937" Type="http://schemas.openxmlformats.org/officeDocument/2006/relationships/hyperlink" Target="https://filmfreeway.com/HaytiHeritageFilmFest" TargetMode="External"/><Relationship Id="rId932" Type="http://schemas.openxmlformats.org/officeDocument/2006/relationships/hyperlink" Target="http://www.hiff.org/" TargetMode="External"/><Relationship Id="rId931" Type="http://schemas.openxmlformats.org/officeDocument/2006/relationships/hyperlink" Target="https://filmfreeway.com/HarvardFilmFestival" TargetMode="External"/><Relationship Id="rId930" Type="http://schemas.openxmlformats.org/officeDocument/2006/relationships/hyperlink" Target="http://www.harvardfilmfestival.org/" TargetMode="External"/><Relationship Id="rId936" Type="http://schemas.openxmlformats.org/officeDocument/2006/relationships/hyperlink" Target="https://hayti.org/" TargetMode="External"/><Relationship Id="rId935" Type="http://schemas.openxmlformats.org/officeDocument/2006/relationships/hyperlink" Target="https://maps.google.com/?q=804+Old+Fayetteville+Street+Durham%2C+NC+27701+United+States" TargetMode="External"/><Relationship Id="rId934" Type="http://schemas.openxmlformats.org/officeDocument/2006/relationships/hyperlink" Target="https://filmfreeway.com/HIFF" TargetMode="External"/><Relationship Id="rId933" Type="http://schemas.openxmlformats.org/officeDocument/2006/relationships/hyperlink" Target="https://www.hiff.org/" TargetMode="External"/><Relationship Id="rId1520" Type="http://schemas.openxmlformats.org/officeDocument/2006/relationships/hyperlink" Target="http://www.iaac.us/" TargetMode="External"/><Relationship Id="rId1554" Type="http://schemas.openxmlformats.org/officeDocument/2006/relationships/hyperlink" Target="http://www.nhdocs.com/" TargetMode="External"/><Relationship Id="rId2401" Type="http://schemas.openxmlformats.org/officeDocument/2006/relationships/hyperlink" Target="http://njfilmfest.com" TargetMode="External"/><Relationship Id="rId1555" Type="http://schemas.openxmlformats.org/officeDocument/2006/relationships/hyperlink" Target="https://filmfreeway.com/NHdocs" TargetMode="External"/><Relationship Id="rId2402" Type="http://schemas.openxmlformats.org/officeDocument/2006/relationships/hyperlink" Target="http://www.umfilms.org" TargetMode="External"/><Relationship Id="rId1556" Type="http://schemas.openxmlformats.org/officeDocument/2006/relationships/hyperlink" Target="http://www.niffhouston.org" TargetMode="External"/><Relationship Id="rId2403" Type="http://schemas.openxmlformats.org/officeDocument/2006/relationships/hyperlink" Target="https://unofilmfest.wixsite.com/2018" TargetMode="External"/><Relationship Id="rId1557" Type="http://schemas.openxmlformats.org/officeDocument/2006/relationships/hyperlink" Target="https://filmfreeway.com/NIFFHOUSTON" TargetMode="External"/><Relationship Id="rId2404" Type="http://schemas.openxmlformats.org/officeDocument/2006/relationships/hyperlink" Target="https://maps.google.com/?q=819+NW+2nd+Ave+Miami%2C+FL+33136+United+States" TargetMode="External"/><Relationship Id="rId1558" Type="http://schemas.openxmlformats.org/officeDocument/2006/relationships/hyperlink" Target="https://maps.google.com/?q=1550+N.+High+St.+Columbus%2C+OH+43201+United+States" TargetMode="External"/><Relationship Id="rId2405" Type="http://schemas.openxmlformats.org/officeDocument/2006/relationships/hyperlink" Target="http://urbanfilmfestivals.com/" TargetMode="External"/><Relationship Id="rId1559" Type="http://schemas.openxmlformats.org/officeDocument/2006/relationships/hyperlink" Target="http://www.nightmaresfest.com/" TargetMode="External"/><Relationship Id="rId2406" Type="http://schemas.openxmlformats.org/officeDocument/2006/relationships/hyperlink" Target="https://filmfreeway.com/UrbanFilmFestival" TargetMode="External"/><Relationship Id="rId2407" Type="http://schemas.openxmlformats.org/officeDocument/2006/relationships/hyperlink" Target="http://www.umff.com/" TargetMode="External"/><Relationship Id="rId2408" Type="http://schemas.openxmlformats.org/officeDocument/2006/relationships/hyperlink" Target="https://filmfreeway.com/UMFF" TargetMode="External"/><Relationship Id="rId2409" Type="http://schemas.openxmlformats.org/officeDocument/2006/relationships/hyperlink" Target="https://www.urbanworld.org/" TargetMode="External"/><Relationship Id="rId965" Type="http://schemas.openxmlformats.org/officeDocument/2006/relationships/hyperlink" Target="https://maps.google.com/?q=5820+Hazeltine+Ave+%2325+Van+Nuys%2C+CA+91401+United+States" TargetMode="External"/><Relationship Id="rId964" Type="http://schemas.openxmlformats.org/officeDocument/2006/relationships/hyperlink" Target="https://filmfreeway.com/HollywoodComedyShorts" TargetMode="External"/><Relationship Id="rId963" Type="http://schemas.openxmlformats.org/officeDocument/2006/relationships/hyperlink" Target="http://www.hollywoodcomedyshortsfilmfest.com/" TargetMode="External"/><Relationship Id="rId962" Type="http://schemas.openxmlformats.org/officeDocument/2006/relationships/hyperlink" Target="https://maps.google.com/?q=14622+Ventura+Blvd+Suite+102+%23722+Sherman+Oaks%2C+California+91403+United+States" TargetMode="External"/><Relationship Id="rId969" Type="http://schemas.openxmlformats.org/officeDocument/2006/relationships/hyperlink" Target="http://blog.hollywoodhorrorfest.com/" TargetMode="External"/><Relationship Id="rId968" Type="http://schemas.openxmlformats.org/officeDocument/2006/relationships/hyperlink" Target="https://filmfreeway.com/HollywoodFilmFestival" TargetMode="External"/><Relationship Id="rId967" Type="http://schemas.openxmlformats.org/officeDocument/2006/relationships/hyperlink" Target="https://www.hollywoodfilmfestival.com/" TargetMode="External"/><Relationship Id="rId966" Type="http://schemas.openxmlformats.org/officeDocument/2006/relationships/hyperlink" Target="http://www.hollywoodfilmfestival.com/" TargetMode="External"/><Relationship Id="rId961" Type="http://schemas.openxmlformats.org/officeDocument/2006/relationships/hyperlink" Target="https://filmfreeway.com/HollywoodBlackFilmFestival" TargetMode="External"/><Relationship Id="rId1550" Type="http://schemas.openxmlformats.org/officeDocument/2006/relationships/hyperlink" Target="http://www.newportbeachfilmfest.com/" TargetMode="External"/><Relationship Id="rId960" Type="http://schemas.openxmlformats.org/officeDocument/2006/relationships/hyperlink" Target="https://filmfreeway.com/HollyShortsFilmFestival" TargetMode="External"/><Relationship Id="rId1551" Type="http://schemas.openxmlformats.org/officeDocument/2006/relationships/hyperlink" Target="https://newportbeachfilmfest.com/" TargetMode="External"/><Relationship Id="rId1552" Type="http://schemas.openxmlformats.org/officeDocument/2006/relationships/hyperlink" Target="https://filmfreeway.com/NewportBeachFilmFestival" TargetMode="External"/><Relationship Id="rId1553" Type="http://schemas.openxmlformats.org/officeDocument/2006/relationships/hyperlink" Target="https://www.nffty.org" TargetMode="External"/><Relationship Id="rId2400" Type="http://schemas.openxmlformats.org/officeDocument/2006/relationships/hyperlink" Target="https://filmfreeway.com/UNAFF" TargetMode="External"/><Relationship Id="rId1543" Type="http://schemas.openxmlformats.org/officeDocument/2006/relationships/hyperlink" Target="https://filmfreeway.com/NewYorkWILDFilmFestival" TargetMode="External"/><Relationship Id="rId1544" Type="http://schemas.openxmlformats.org/officeDocument/2006/relationships/hyperlink" Target="http://www.newarkmuseum.org/NBFF.html" TargetMode="External"/><Relationship Id="rId1545" Type="http://schemas.openxmlformats.org/officeDocument/2006/relationships/hyperlink" Target="https://www.newarkmuseum.org/nbff" TargetMode="External"/><Relationship Id="rId1546" Type="http://schemas.openxmlformats.org/officeDocument/2006/relationships/hyperlink" Target="https://www.nbptdocufest.org" TargetMode="External"/><Relationship Id="rId1547" Type="http://schemas.openxmlformats.org/officeDocument/2006/relationships/hyperlink" Target="https://newfest.org/" TargetMode="External"/><Relationship Id="rId1548" Type="http://schemas.openxmlformats.org/officeDocument/2006/relationships/hyperlink" Target="https://filmfreeway.com/newfest" TargetMode="External"/><Relationship Id="rId1549" Type="http://schemas.openxmlformats.org/officeDocument/2006/relationships/hyperlink" Target="https://maps.google.com/?q=2000+Quail+Street+Newport+Beach%2C+CA+92660-1815+United+States" TargetMode="External"/><Relationship Id="rId959" Type="http://schemas.openxmlformats.org/officeDocument/2006/relationships/hyperlink" Target="http://www.hollyshorts.com/" TargetMode="External"/><Relationship Id="rId954" Type="http://schemas.openxmlformats.org/officeDocument/2006/relationships/hyperlink" Target="https://filmfreeway.com/HobnobbenFilmFestival" TargetMode="External"/><Relationship Id="rId953" Type="http://schemas.openxmlformats.org/officeDocument/2006/relationships/hyperlink" Target="http://hobnobben.org" TargetMode="External"/><Relationship Id="rId952" Type="http://schemas.openxmlformats.org/officeDocument/2006/relationships/hyperlink" Target="https://filmfreeway.com/HillCountryFilmFestival" TargetMode="External"/><Relationship Id="rId951" Type="http://schemas.openxmlformats.org/officeDocument/2006/relationships/hyperlink" Target="http://www.hillcountryff.com/" TargetMode="External"/><Relationship Id="rId958" Type="http://schemas.openxmlformats.org/officeDocument/2006/relationships/hyperlink" Target="https://maps.google.com/?q=14622+Ventura+Blvd+Suite+102+%23722+Sherman+Oaks%2C+California+91403+United+States" TargetMode="External"/><Relationship Id="rId957" Type="http://schemas.openxmlformats.org/officeDocument/2006/relationships/hyperlink" Target="https://filmfreeway.com/HobokenInternationalFilmFestival" TargetMode="External"/><Relationship Id="rId956" Type="http://schemas.openxmlformats.org/officeDocument/2006/relationships/hyperlink" Target="http://www.hobokeninternationalfilmfestival.com/" TargetMode="External"/><Relationship Id="rId955" Type="http://schemas.openxmlformats.org/officeDocument/2006/relationships/hyperlink" Target="https://maps.google.com/?q=886+Belmont+Avenue+Suite+C+North+Haledon%2C+NJ+07508+United+States" TargetMode="External"/><Relationship Id="rId950" Type="http://schemas.openxmlformats.org/officeDocument/2006/relationships/hyperlink" Target="https://maps.google.com/?q=2254+HWY+87+South+Fredericksburg%2C+Texas+78624+United+States" TargetMode="External"/><Relationship Id="rId1540" Type="http://schemas.openxmlformats.org/officeDocument/2006/relationships/hyperlink" Target="http://www.nysiff.com/" TargetMode="External"/><Relationship Id="rId1541" Type="http://schemas.openxmlformats.org/officeDocument/2006/relationships/hyperlink" Target="https://filmfreeway.com/NYSIFF" TargetMode="External"/><Relationship Id="rId1542" Type="http://schemas.openxmlformats.org/officeDocument/2006/relationships/hyperlink" Target="http://www.nywildfilmfestival.com/" TargetMode="External"/><Relationship Id="rId2027" Type="http://schemas.openxmlformats.org/officeDocument/2006/relationships/hyperlink" Target="http://www.sftff.org/" TargetMode="External"/><Relationship Id="rId2028" Type="http://schemas.openxmlformats.org/officeDocument/2006/relationships/hyperlink" Target="http://sftff.org/" TargetMode="External"/><Relationship Id="rId2029" Type="http://schemas.openxmlformats.org/officeDocument/2006/relationships/hyperlink" Target="https://filmfreeway.com/SanFranciscoTransgenderFilmFestival" TargetMode="External"/><Relationship Id="rId590" Type="http://schemas.openxmlformats.org/officeDocument/2006/relationships/hyperlink" Target="https://filmfreeway.com/dcshorts" TargetMode="External"/><Relationship Id="rId107" Type="http://schemas.openxmlformats.org/officeDocument/2006/relationships/hyperlink" Target="https://maps.google.com/?q=2633+Lincoln+Blvd.+%23254+Santa+Monica%2C+CA+90405+United+States" TargetMode="External"/><Relationship Id="rId106" Type="http://schemas.openxmlformats.org/officeDocument/2006/relationships/hyperlink" Target="https://filmfreeway.com/ArtofBrooklynFilmFestival" TargetMode="External"/><Relationship Id="rId105" Type="http://schemas.openxmlformats.org/officeDocument/2006/relationships/hyperlink" Target="https://www.theartofbrooklyn.org/" TargetMode="External"/><Relationship Id="rId589" Type="http://schemas.openxmlformats.org/officeDocument/2006/relationships/hyperlink" Target="https://dcshorts.com/" TargetMode="External"/><Relationship Id="rId104" Type="http://schemas.openxmlformats.org/officeDocument/2006/relationships/hyperlink" Target="https://filmfreeway.com/ArpaFilmFestival" TargetMode="External"/><Relationship Id="rId588" Type="http://schemas.openxmlformats.org/officeDocument/2006/relationships/hyperlink" Target="http://dcshorts.com/" TargetMode="External"/><Relationship Id="rId109" Type="http://schemas.openxmlformats.org/officeDocument/2006/relationships/hyperlink" Target="https://filmfreeway.com/ArtemisWomenInActionFilmFestival" TargetMode="External"/><Relationship Id="rId1170" Type="http://schemas.openxmlformats.org/officeDocument/2006/relationships/hyperlink" Target="http://www.lafemme.org/" TargetMode="External"/><Relationship Id="rId108" Type="http://schemas.openxmlformats.org/officeDocument/2006/relationships/hyperlink" Target="http://www.artemisfilmfestival.com/" TargetMode="External"/><Relationship Id="rId1171" Type="http://schemas.openxmlformats.org/officeDocument/2006/relationships/hyperlink" Target="http://www.lafemme.org/" TargetMode="External"/><Relationship Id="rId583" Type="http://schemas.openxmlformats.org/officeDocument/2006/relationships/hyperlink" Target="https://maps.google.com/?q=1435+Holly+Street+NW+Washington%2C+DC+20012+United+States" TargetMode="External"/><Relationship Id="rId1172" Type="http://schemas.openxmlformats.org/officeDocument/2006/relationships/hyperlink" Target="https://filmfreeway.com/LaFemmeInternationalFilmFestival" TargetMode="External"/><Relationship Id="rId582" Type="http://schemas.openxmlformats.org/officeDocument/2006/relationships/hyperlink" Target="http://dcbff.org" TargetMode="External"/><Relationship Id="rId1173" Type="http://schemas.openxmlformats.org/officeDocument/2006/relationships/hyperlink" Target="https://laindiefilmfest.com/" TargetMode="External"/><Relationship Id="rId2020" Type="http://schemas.openxmlformats.org/officeDocument/2006/relationships/hyperlink" Target="https://jfi.org/film-festival" TargetMode="External"/><Relationship Id="rId581" Type="http://schemas.openxmlformats.org/officeDocument/2006/relationships/hyperlink" Target="https://filmfreeway.com/APAFILM2020" TargetMode="External"/><Relationship Id="rId1174" Type="http://schemas.openxmlformats.org/officeDocument/2006/relationships/hyperlink" Target="https://filmfreeway.com/LAINDIEFILMFESTIVAL" TargetMode="External"/><Relationship Id="rId2021" Type="http://schemas.openxmlformats.org/officeDocument/2006/relationships/hyperlink" Target="https://filmfreeway.com/SanFranciscoJewishFilmFestival" TargetMode="External"/><Relationship Id="rId580" Type="http://schemas.openxmlformats.org/officeDocument/2006/relationships/hyperlink" Target="https://www.apafilm.org/" TargetMode="External"/><Relationship Id="rId1175" Type="http://schemas.openxmlformats.org/officeDocument/2006/relationships/hyperlink" Target="https://maps.google.com/?q=438+Camino+Del+Rio+S.+%23116+San+Diego%2C+California+92108+United+States" TargetMode="External"/><Relationship Id="rId2022" Type="http://schemas.openxmlformats.org/officeDocument/2006/relationships/hyperlink" Target="https://maps.google.com/?q=2309+Noriega+St.+%2345+SAN+FRANCISCO%2C+CA+94132+United+States" TargetMode="External"/><Relationship Id="rId103" Type="http://schemas.openxmlformats.org/officeDocument/2006/relationships/hyperlink" Target="http://www.arpafilmfestival.com/" TargetMode="External"/><Relationship Id="rId587" Type="http://schemas.openxmlformats.org/officeDocument/2006/relationships/hyperlink" Target="https://maps.google.com/?q=1317+F+Street+NW+Suite+920+Washington%2C+DC+20004+United+States" TargetMode="External"/><Relationship Id="rId1176" Type="http://schemas.openxmlformats.org/officeDocument/2006/relationships/hyperlink" Target="http://www.ljfff.com/" TargetMode="External"/><Relationship Id="rId2023" Type="http://schemas.openxmlformats.org/officeDocument/2006/relationships/hyperlink" Target="http://www.bayswan.org/swfest.html" TargetMode="External"/><Relationship Id="rId102" Type="http://schemas.openxmlformats.org/officeDocument/2006/relationships/hyperlink" Target="https://filmfreeway.com/arlingtoninternationalfilmfestival" TargetMode="External"/><Relationship Id="rId586" Type="http://schemas.openxmlformats.org/officeDocument/2006/relationships/hyperlink" Target="https://filmfreeway.com/DCIndependentFilmFestival" TargetMode="External"/><Relationship Id="rId1177" Type="http://schemas.openxmlformats.org/officeDocument/2006/relationships/hyperlink" Target="https://filmfreeway.com/LaJollaInternationalFashionFilmFestival" TargetMode="External"/><Relationship Id="rId2024" Type="http://schemas.openxmlformats.org/officeDocument/2006/relationships/hyperlink" Target="http://www.sexworkerfest.com/" TargetMode="External"/><Relationship Id="rId101" Type="http://schemas.openxmlformats.org/officeDocument/2006/relationships/hyperlink" Target="https://www.aiffest.org/" TargetMode="External"/><Relationship Id="rId585" Type="http://schemas.openxmlformats.org/officeDocument/2006/relationships/hyperlink" Target="https://dciff-indie.org/" TargetMode="External"/><Relationship Id="rId1178" Type="http://schemas.openxmlformats.org/officeDocument/2006/relationships/hyperlink" Target="http://lashortsfest.com/content.asp?PageID=2" TargetMode="External"/><Relationship Id="rId2025" Type="http://schemas.openxmlformats.org/officeDocument/2006/relationships/hyperlink" Target="https://filmfreeway.com/SanFranciscoSexWorkerFilmandArtsFestival" TargetMode="External"/><Relationship Id="rId100" Type="http://schemas.openxmlformats.org/officeDocument/2006/relationships/hyperlink" Target="http://www.lowkeyarts.org" TargetMode="External"/><Relationship Id="rId584" Type="http://schemas.openxmlformats.org/officeDocument/2006/relationships/hyperlink" Target="http://dciff-indie.org/" TargetMode="External"/><Relationship Id="rId1179" Type="http://schemas.openxmlformats.org/officeDocument/2006/relationships/hyperlink" Target="https://filmfreeway.com/LAShortsFest" TargetMode="External"/><Relationship Id="rId2026" Type="http://schemas.openxmlformats.org/officeDocument/2006/relationships/hyperlink" Target="https://maps.google.com/?q=PO+Box+460670+San+Francisco%2C+CA+04146-0670+United+States" TargetMode="External"/><Relationship Id="rId1169" Type="http://schemas.openxmlformats.org/officeDocument/2006/relationships/hyperlink" Target="https://maps.google.com/?q=324+S.+Beverly+Dr.+%23436+Beverly+Hills%2C+CA+90212+United+States" TargetMode="External"/><Relationship Id="rId2016" Type="http://schemas.openxmlformats.org/officeDocument/2006/relationships/hyperlink" Target="https://maps.google.com/?q=561+San+Mateo+Ave.%2C+San+Bruno%2C+California+94066+United+States" TargetMode="External"/><Relationship Id="rId2017" Type="http://schemas.openxmlformats.org/officeDocument/2006/relationships/hyperlink" Target="http://www.sfnewfilm.org/" TargetMode="External"/><Relationship Id="rId2018" Type="http://schemas.openxmlformats.org/officeDocument/2006/relationships/hyperlink" Target="https://filmfreeway.com/SanFranciscoInternationalNewConceptFilmFestival" TargetMode="External"/><Relationship Id="rId2019" Type="http://schemas.openxmlformats.org/officeDocument/2006/relationships/hyperlink" Target="http://www.sfjff.org/" TargetMode="External"/><Relationship Id="rId579" Type="http://schemas.openxmlformats.org/officeDocument/2006/relationships/hyperlink" Target="https://maps.google.com/?q=1629+K+St+NW+Suite+300+Washington%2C+DC+20006+United+States" TargetMode="External"/><Relationship Id="rId578" Type="http://schemas.openxmlformats.org/officeDocument/2006/relationships/hyperlink" Target="https://jewishdayton.org/program/dayton-jewish-film-festival/" TargetMode="External"/><Relationship Id="rId577" Type="http://schemas.openxmlformats.org/officeDocument/2006/relationships/hyperlink" Target="https://davisfilmfestival.business.site" TargetMode="External"/><Relationship Id="rId2490" Type="http://schemas.openxmlformats.org/officeDocument/2006/relationships/hyperlink" Target="http://womensfilmfestival.org" TargetMode="External"/><Relationship Id="rId1160" Type="http://schemas.openxmlformats.org/officeDocument/2006/relationships/hyperlink" Target="http://kidsvideoconnection.org/" TargetMode="External"/><Relationship Id="rId2491" Type="http://schemas.openxmlformats.org/officeDocument/2006/relationships/hyperlink" Target="https://maps.google.com/?q=3801+Conshohocken+Ave.+Suite+307+Philadelphia%2C+PA+19131+United+States" TargetMode="External"/><Relationship Id="rId572" Type="http://schemas.openxmlformats.org/officeDocument/2006/relationships/hyperlink" Target="https://maps.google.com/?q=The+Lot+%7C+1041+North+Formosa+Ave.+Formosa+Bldg.%2C+2nd+Floor+West+Hollywood%2C+CA+90046+United+States" TargetMode="External"/><Relationship Id="rId1161" Type="http://schemas.openxmlformats.org/officeDocument/2006/relationships/hyperlink" Target="https://filmfreeway.com/KidsVideoConnectionsFamilyFilmFestival" TargetMode="External"/><Relationship Id="rId2492" Type="http://schemas.openxmlformats.org/officeDocument/2006/relationships/hyperlink" Target="https://thewomensfilmfestival.org/" TargetMode="External"/><Relationship Id="rId571" Type="http://schemas.openxmlformats.org/officeDocument/2006/relationships/hyperlink" Target="https://www.dancefilms.org" TargetMode="External"/><Relationship Id="rId1162" Type="http://schemas.openxmlformats.org/officeDocument/2006/relationships/hyperlink" Target="https://maps.google.com/?q=180+S.+4+Street+Suite+2+s+Brooklyn%2C+NY+11211+United+States" TargetMode="External"/><Relationship Id="rId2493" Type="http://schemas.openxmlformats.org/officeDocument/2006/relationships/hyperlink" Target="https://filmfreeway.com/TheWomensFilmFestival" TargetMode="External"/><Relationship Id="rId570" Type="http://schemas.openxmlformats.org/officeDocument/2006/relationships/hyperlink" Target="https://filmfreeway.com/DanceCameraWest" TargetMode="External"/><Relationship Id="rId1163" Type="http://schemas.openxmlformats.org/officeDocument/2006/relationships/hyperlink" Target="http://www.kidsfilmfest.org/" TargetMode="External"/><Relationship Id="rId2010" Type="http://schemas.openxmlformats.org/officeDocument/2006/relationships/hyperlink" Target="https://sfindie.com" TargetMode="External"/><Relationship Id="rId2494" Type="http://schemas.openxmlformats.org/officeDocument/2006/relationships/hyperlink" Target="http://www.womensfilmfest.com/" TargetMode="External"/><Relationship Id="rId1164" Type="http://schemas.openxmlformats.org/officeDocument/2006/relationships/hyperlink" Target="https://filmfreeway.com/kidsfilmfest" TargetMode="External"/><Relationship Id="rId2011" Type="http://schemas.openxmlformats.org/officeDocument/2006/relationships/hyperlink" Target="http://www.sffs.org/festival-home" TargetMode="External"/><Relationship Id="rId2495" Type="http://schemas.openxmlformats.org/officeDocument/2006/relationships/hyperlink" Target="http://www.womensfilmfest.com/" TargetMode="External"/><Relationship Id="rId576" Type="http://schemas.openxmlformats.org/officeDocument/2006/relationships/hyperlink" Target="https://filmfreeway.com/DavisFeministFilmFestival" TargetMode="External"/><Relationship Id="rId1165" Type="http://schemas.openxmlformats.org/officeDocument/2006/relationships/hyperlink" Target="https://kinetoscopefilmfestival.org/" TargetMode="External"/><Relationship Id="rId2012" Type="http://schemas.openxmlformats.org/officeDocument/2006/relationships/hyperlink" Target="https://www.sffilm.org" TargetMode="External"/><Relationship Id="rId2496" Type="http://schemas.openxmlformats.org/officeDocument/2006/relationships/hyperlink" Target="https://filmfreeway.com/womensfilmfest" TargetMode="External"/><Relationship Id="rId575" Type="http://schemas.openxmlformats.org/officeDocument/2006/relationships/hyperlink" Target="https://wrrc.ucdavis.edu/programs/community/davis-feminist-film-festival" TargetMode="External"/><Relationship Id="rId1166" Type="http://schemas.openxmlformats.org/officeDocument/2006/relationships/hyperlink" Target="https://filmfreeway.com/KinetoscopeScreendanceFestival" TargetMode="External"/><Relationship Id="rId2013" Type="http://schemas.openxmlformats.org/officeDocument/2006/relationships/hyperlink" Target="https://filmfreeway.com/SFFILMFestival" TargetMode="External"/><Relationship Id="rId2497" Type="http://schemas.openxmlformats.org/officeDocument/2006/relationships/hyperlink" Target="https://maps.google.com/?q=PO+Box+624+Woods+Hole%2C+MA+02543+United+States" TargetMode="External"/><Relationship Id="rId574" Type="http://schemas.openxmlformats.org/officeDocument/2006/relationships/hyperlink" Target="https://filmfreeway.com/DancesWithFilms" TargetMode="External"/><Relationship Id="rId1167" Type="http://schemas.openxmlformats.org/officeDocument/2006/relationships/hyperlink" Target="http://ladancefilmfest.org/" TargetMode="External"/><Relationship Id="rId2014" Type="http://schemas.openxmlformats.org/officeDocument/2006/relationships/hyperlink" Target="https://www.frameline.org/" TargetMode="External"/><Relationship Id="rId2498" Type="http://schemas.openxmlformats.org/officeDocument/2006/relationships/hyperlink" Target="http://www.woodsholefilmfestival.org/" TargetMode="External"/><Relationship Id="rId573" Type="http://schemas.openxmlformats.org/officeDocument/2006/relationships/hyperlink" Target="http://danceswithfilms.com/" TargetMode="External"/><Relationship Id="rId1168" Type="http://schemas.openxmlformats.org/officeDocument/2006/relationships/hyperlink" Target="https://filmfreeway.com/LADanceFilmFestival" TargetMode="External"/><Relationship Id="rId2015" Type="http://schemas.openxmlformats.org/officeDocument/2006/relationships/hyperlink" Target="https://filmfreeway.com/Frameline" TargetMode="External"/><Relationship Id="rId2499" Type="http://schemas.openxmlformats.org/officeDocument/2006/relationships/hyperlink" Target="http://www.woodsholefilmfestival.org/" TargetMode="External"/><Relationship Id="rId2049" Type="http://schemas.openxmlformats.org/officeDocument/2006/relationships/hyperlink" Target="https://filmfreeway.com/SBJFF" TargetMode="External"/><Relationship Id="rId129" Type="http://schemas.openxmlformats.org/officeDocument/2006/relationships/hyperlink" Target="http://athensfilmfest.org/" TargetMode="External"/><Relationship Id="rId128" Type="http://schemas.openxmlformats.org/officeDocument/2006/relationships/hyperlink" Target="https://filmfreeway.com/AthenaFilmFestival" TargetMode="External"/><Relationship Id="rId127" Type="http://schemas.openxmlformats.org/officeDocument/2006/relationships/hyperlink" Target="https://athenafilmfestival.com/" TargetMode="External"/><Relationship Id="rId126" Type="http://schemas.openxmlformats.org/officeDocument/2006/relationships/hyperlink" Target="https://maps.google.com/?q=Barnard+College+3009+Broadway+New+York%2C+NY+10027+United+States" TargetMode="External"/><Relationship Id="rId1190" Type="http://schemas.openxmlformats.org/officeDocument/2006/relationships/hyperlink" Target="https://lakeplacidfilmfestival.org" TargetMode="External"/><Relationship Id="rId1191" Type="http://schemas.openxmlformats.org/officeDocument/2006/relationships/hyperlink" Target="http://laketravisfilmfestival.com" TargetMode="External"/><Relationship Id="rId1192" Type="http://schemas.openxmlformats.org/officeDocument/2006/relationships/hyperlink" Target="https://maps.google.com/?q=237+North+Prince+Street+Suite+304+Lancaster%2C+PA+17603+United+States" TargetMode="External"/><Relationship Id="rId1193" Type="http://schemas.openxmlformats.org/officeDocument/2006/relationships/hyperlink" Target="http://lancastershortfilmfest.com/" TargetMode="External"/><Relationship Id="rId2040" Type="http://schemas.openxmlformats.org/officeDocument/2006/relationships/hyperlink" Target="http://sandpointfilmfestival.com/" TargetMode="External"/><Relationship Id="rId121" Type="http://schemas.openxmlformats.org/officeDocument/2006/relationships/hyperlink" Target="http://www.asifa-south.com" TargetMode="External"/><Relationship Id="rId1194" Type="http://schemas.openxmlformats.org/officeDocument/2006/relationships/hyperlink" Target="https://filmfreeway.com/LancasterInternationalShortFilmFestival" TargetMode="External"/><Relationship Id="rId2041" Type="http://schemas.openxmlformats.org/officeDocument/2006/relationships/hyperlink" Target="https://filmfreeway.com/SandpointFilmFestival" TargetMode="External"/><Relationship Id="rId120" Type="http://schemas.openxmlformats.org/officeDocument/2006/relationships/hyperlink" Target="https://filmfreeway.com/affd" TargetMode="External"/><Relationship Id="rId1195" Type="http://schemas.openxmlformats.org/officeDocument/2006/relationships/hyperlink" Target="http://lascrucesfilmfest.com/" TargetMode="External"/><Relationship Id="rId2042" Type="http://schemas.openxmlformats.org/officeDocument/2006/relationships/hyperlink" Target="https://sanssoucifest.org" TargetMode="External"/><Relationship Id="rId1196" Type="http://schemas.openxmlformats.org/officeDocument/2006/relationships/hyperlink" Target="https://filmfreeway.com/LasCrucesInternationalFilmFestival" TargetMode="External"/><Relationship Id="rId2043" Type="http://schemas.openxmlformats.org/officeDocument/2006/relationships/hyperlink" Target="https://maps.google.com/?q=1528+Chapala+Street+Suite+203+Santa+Barbara%2C+CA+93101+United+States" TargetMode="External"/><Relationship Id="rId1197" Type="http://schemas.openxmlformats.org/officeDocument/2006/relationships/hyperlink" Target="http://www.lasvegasblackfilmfestival.com/" TargetMode="External"/><Relationship Id="rId2044" Type="http://schemas.openxmlformats.org/officeDocument/2006/relationships/hyperlink" Target="http://sbiff.org/" TargetMode="External"/><Relationship Id="rId125" Type="http://schemas.openxmlformats.org/officeDocument/2006/relationships/hyperlink" Target="https://filmfreeway.com/AspenShortsfest" TargetMode="External"/><Relationship Id="rId1198" Type="http://schemas.openxmlformats.org/officeDocument/2006/relationships/hyperlink" Target="https://filmfreeway.com/LasVegasBlackFilmFestival" TargetMode="External"/><Relationship Id="rId2045" Type="http://schemas.openxmlformats.org/officeDocument/2006/relationships/hyperlink" Target="http://sbiff.org/" TargetMode="External"/><Relationship Id="rId124" Type="http://schemas.openxmlformats.org/officeDocument/2006/relationships/hyperlink" Target="http://www.aspenfilm.org/" TargetMode="External"/><Relationship Id="rId1199" Type="http://schemas.openxmlformats.org/officeDocument/2006/relationships/hyperlink" Target="http://www.lvff.com/" TargetMode="External"/><Relationship Id="rId2046" Type="http://schemas.openxmlformats.org/officeDocument/2006/relationships/hyperlink" Target="https://filmfreeway.com/SBIFF" TargetMode="External"/><Relationship Id="rId123" Type="http://schemas.openxmlformats.org/officeDocument/2006/relationships/hyperlink" Target="http://www.aspenfilm.org/" TargetMode="External"/><Relationship Id="rId2047" Type="http://schemas.openxmlformats.org/officeDocument/2006/relationships/hyperlink" Target="https://maps.google.com/?q=524+Chapala+St.+Santa+Barbara%2C+CA+93101+United+States" TargetMode="External"/><Relationship Id="rId122" Type="http://schemas.openxmlformats.org/officeDocument/2006/relationships/hyperlink" Target="http://www.aspenfilm.org/" TargetMode="External"/><Relationship Id="rId2048" Type="http://schemas.openxmlformats.org/officeDocument/2006/relationships/hyperlink" Target="https://www.sbjewishfilmfestival.org/" TargetMode="External"/><Relationship Id="rId2038" Type="http://schemas.openxmlformats.org/officeDocument/2006/relationships/hyperlink" Target="http://spiffest.org/" TargetMode="External"/><Relationship Id="rId2039" Type="http://schemas.openxmlformats.org/officeDocument/2006/relationships/hyperlink" Target="https://filmfreeway.com/SPIFFest" TargetMode="External"/><Relationship Id="rId118" Type="http://schemas.openxmlformats.org/officeDocument/2006/relationships/hyperlink" Target="http://www.faaim.org" TargetMode="External"/><Relationship Id="rId117" Type="http://schemas.openxmlformats.org/officeDocument/2006/relationships/hyperlink" Target="http://www.asiancinevision.org/" TargetMode="External"/><Relationship Id="rId116" Type="http://schemas.openxmlformats.org/officeDocument/2006/relationships/hyperlink" Target="https://maps.google.com/?q=Made+In+NY+Media+Center+30+John+Street+Brooklyn%2C+NY+11201+United+States" TargetMode="External"/><Relationship Id="rId115" Type="http://schemas.openxmlformats.org/officeDocument/2006/relationships/hyperlink" Target="https://filmfreeway.com/ashlandfilm" TargetMode="External"/><Relationship Id="rId599" Type="http://schemas.openxmlformats.org/officeDocument/2006/relationships/hyperlink" Target="https://filmfreeway.com/DefyFilmFestival" TargetMode="External"/><Relationship Id="rId1180" Type="http://schemas.openxmlformats.org/officeDocument/2006/relationships/hyperlink" Target="https://maps.google.com/?q=311+N+Robertson+Blvd+Suite+%23902+Beverly+Hills%2C+CA+90211+United+States" TargetMode="External"/><Relationship Id="rId1181" Type="http://schemas.openxmlformats.org/officeDocument/2006/relationships/hyperlink" Target="http://www.ladyfilmmakers.com/" TargetMode="External"/><Relationship Id="rId119" Type="http://schemas.openxmlformats.org/officeDocument/2006/relationships/hyperlink" Target="http://asianfilmdallas.com/" TargetMode="External"/><Relationship Id="rId1182" Type="http://schemas.openxmlformats.org/officeDocument/2006/relationships/hyperlink" Target="https://filmfreeway.com/LadyFilmmakersFestival" TargetMode="External"/><Relationship Id="rId110" Type="http://schemas.openxmlformats.org/officeDocument/2006/relationships/hyperlink" Target="http://theartistsforum.org/" TargetMode="External"/><Relationship Id="rId594" Type="http://schemas.openxmlformats.org/officeDocument/2006/relationships/hyperlink" Target="https://filmfreeway.com/deadCenter" TargetMode="External"/><Relationship Id="rId1183" Type="http://schemas.openxmlformats.org/officeDocument/2006/relationships/hyperlink" Target="https://maps.google.com/?q=2314+Washington+Blvd.+Ogden%2C+UT+84401+United+States" TargetMode="External"/><Relationship Id="rId2030" Type="http://schemas.openxmlformats.org/officeDocument/2006/relationships/hyperlink" Target="https://www.sfveteransfilmfestival.org/" TargetMode="External"/><Relationship Id="rId593" Type="http://schemas.openxmlformats.org/officeDocument/2006/relationships/hyperlink" Target="http://www.deadcenterfilm.org" TargetMode="External"/><Relationship Id="rId1184" Type="http://schemas.openxmlformats.org/officeDocument/2006/relationships/hyperlink" Target="https://andshesdopetoo.com/pages/lady-wild-film-fest" TargetMode="External"/><Relationship Id="rId2031" Type="http://schemas.openxmlformats.org/officeDocument/2006/relationships/hyperlink" Target="https://filmfreeway.com/SanFranciscoVeteransFilmFestival" TargetMode="External"/><Relationship Id="rId592" Type="http://schemas.openxmlformats.org/officeDocument/2006/relationships/hyperlink" Target="http://www.deadcenterfilm.org/" TargetMode="External"/><Relationship Id="rId1185" Type="http://schemas.openxmlformats.org/officeDocument/2006/relationships/hyperlink" Target="https://filmfreeway.com/LadyWildFilmFest" TargetMode="External"/><Relationship Id="rId2032" Type="http://schemas.openxmlformats.org/officeDocument/2006/relationships/hyperlink" Target="https://www.sjsff.com/" TargetMode="External"/><Relationship Id="rId591" Type="http://schemas.openxmlformats.org/officeDocument/2006/relationships/hyperlink" Target="https://maps.google.com/?q=701+W.+Sheridan+Suite+110+Oklahoma+City%2C+OK+73102+United+States" TargetMode="External"/><Relationship Id="rId1186" Type="http://schemas.openxmlformats.org/officeDocument/2006/relationships/hyperlink" Target="https://lakearrowheadfilmfest.com" TargetMode="External"/><Relationship Id="rId2033" Type="http://schemas.openxmlformats.org/officeDocument/2006/relationships/hyperlink" Target="https://filmfreeway.com/sjsff" TargetMode="External"/><Relationship Id="rId114" Type="http://schemas.openxmlformats.org/officeDocument/2006/relationships/hyperlink" Target="http://www.ashlandfilm.org/" TargetMode="External"/><Relationship Id="rId598" Type="http://schemas.openxmlformats.org/officeDocument/2006/relationships/hyperlink" Target="https://www.defyfilmfestival.com/" TargetMode="External"/><Relationship Id="rId1187" Type="http://schemas.openxmlformats.org/officeDocument/2006/relationships/hyperlink" Target="http://www.lakecharlesfilmfestival.com/index.html" TargetMode="External"/><Relationship Id="rId2034" Type="http://schemas.openxmlformats.org/officeDocument/2006/relationships/hyperlink" Target="https://slofilmfest.org/" TargetMode="External"/><Relationship Id="rId113" Type="http://schemas.openxmlformats.org/officeDocument/2006/relationships/hyperlink" Target="http://www.ashlandfilm.org/" TargetMode="External"/><Relationship Id="rId597" Type="http://schemas.openxmlformats.org/officeDocument/2006/relationships/hyperlink" Target="https://filmfreeway.com/DeepintheHeartFilmFestival" TargetMode="External"/><Relationship Id="rId1188" Type="http://schemas.openxmlformats.org/officeDocument/2006/relationships/hyperlink" Target="https://filmfreeway.com/LakeCharlesFilmFestival" TargetMode="External"/><Relationship Id="rId2035" Type="http://schemas.openxmlformats.org/officeDocument/2006/relationships/hyperlink" Target="https://filmfreeway.com/slofilmfest" TargetMode="External"/><Relationship Id="rId112" Type="http://schemas.openxmlformats.org/officeDocument/2006/relationships/hyperlink" Target="http://ajff.fineartstheatre.com/" TargetMode="External"/><Relationship Id="rId596" Type="http://schemas.openxmlformats.org/officeDocument/2006/relationships/hyperlink" Target="http://www.deepintheheartff.com/" TargetMode="External"/><Relationship Id="rId1189" Type="http://schemas.openxmlformats.org/officeDocument/2006/relationships/hyperlink" Target="https://www.lakecountyfilmfestival.org" TargetMode="External"/><Relationship Id="rId2036" Type="http://schemas.openxmlformats.org/officeDocument/2006/relationships/hyperlink" Target="http://www.jccslo.com/slojff.html" TargetMode="External"/><Relationship Id="rId111" Type="http://schemas.openxmlformats.org/officeDocument/2006/relationships/hyperlink" Target="https://filmfreeway.com/affestnyc" TargetMode="External"/><Relationship Id="rId595" Type="http://schemas.openxmlformats.org/officeDocument/2006/relationships/hyperlink" Target="http://deafrocfilmfest.com" TargetMode="External"/><Relationship Id="rId2037" Type="http://schemas.openxmlformats.org/officeDocument/2006/relationships/hyperlink" Target="https://maps.google.com/?q=303++S.+Pacific+Ave+%23102+San+Pedro%2C+CA+90731+United+States" TargetMode="External"/><Relationship Id="rId1136" Type="http://schemas.openxmlformats.org/officeDocument/2006/relationships/hyperlink" Target="https://www.juggernautfilmfestival.com/" TargetMode="External"/><Relationship Id="rId2467" Type="http://schemas.openxmlformats.org/officeDocument/2006/relationships/hyperlink" Target="http://www.bostonlgbtfilmfest.net/" TargetMode="External"/><Relationship Id="rId1137" Type="http://schemas.openxmlformats.org/officeDocument/2006/relationships/hyperlink" Target="https://filmfreeway.com/JuggernautFilmFestival" TargetMode="External"/><Relationship Id="rId2468" Type="http://schemas.openxmlformats.org/officeDocument/2006/relationships/hyperlink" Target="https://filmfreeway.com/WickedQueer" TargetMode="External"/><Relationship Id="rId1138" Type="http://schemas.openxmlformats.org/officeDocument/2006/relationships/hyperlink" Target="http://julienfilmfest.com/" TargetMode="External"/><Relationship Id="rId2469" Type="http://schemas.openxmlformats.org/officeDocument/2006/relationships/hyperlink" Target="https://maps.google.com/?q=313+Railroad+Ave.+%23101+Nevada+City%2C+CA+95959+United+States" TargetMode="External"/><Relationship Id="rId1139" Type="http://schemas.openxmlformats.org/officeDocument/2006/relationships/hyperlink" Target="https://filmfreeway.com/JulienDubuqueInternationalFilmFestival" TargetMode="External"/><Relationship Id="rId547" Type="http://schemas.openxmlformats.org/officeDocument/2006/relationships/hyperlink" Target="https://maps.google.com/?q=815+Princess+Street+Wilmington%2C+NC+28401+United+States" TargetMode="External"/><Relationship Id="rId546" Type="http://schemas.openxmlformats.org/officeDocument/2006/relationships/hyperlink" Target="https://filmfreeway.com/CrypticonSeattleHorrorFilmFestival" TargetMode="External"/><Relationship Id="rId545" Type="http://schemas.openxmlformats.org/officeDocument/2006/relationships/hyperlink" Target="https://www.crypticonseattle.com/" TargetMode="External"/><Relationship Id="rId544" Type="http://schemas.openxmlformats.org/officeDocument/2006/relationships/hyperlink" Target="https://filmfreeway.com/CrownHeightsFilmFestival" TargetMode="External"/><Relationship Id="rId549" Type="http://schemas.openxmlformats.org/officeDocument/2006/relationships/hyperlink" Target="http://www.cucalorus.org/" TargetMode="External"/><Relationship Id="rId548" Type="http://schemas.openxmlformats.org/officeDocument/2006/relationships/hyperlink" Target="http://www.cucalorus.org/" TargetMode="External"/><Relationship Id="rId2460" Type="http://schemas.openxmlformats.org/officeDocument/2006/relationships/hyperlink" Target="https://www.westfieldfilmfest.com/" TargetMode="External"/><Relationship Id="rId1130" Type="http://schemas.openxmlformats.org/officeDocument/2006/relationships/hyperlink" Target="https://maps.google.com/?q=2500+S.+Presa+San+Antonio%2C+TX+78210+United+States" TargetMode="External"/><Relationship Id="rId2461" Type="http://schemas.openxmlformats.org/officeDocument/2006/relationships/hyperlink" Target="https://filmfreeway.com/WestfieldFilmFestival" TargetMode="External"/><Relationship Id="rId1131" Type="http://schemas.openxmlformats.org/officeDocument/2006/relationships/hyperlink" Target="https://urban15.org/josiah-media-festival/" TargetMode="External"/><Relationship Id="rId2462" Type="http://schemas.openxmlformats.org/officeDocument/2006/relationships/hyperlink" Target="http://wegafilm.com/" TargetMode="External"/><Relationship Id="rId543" Type="http://schemas.openxmlformats.org/officeDocument/2006/relationships/hyperlink" Target="https://www.crownheightsfilmfestival.com/" TargetMode="External"/><Relationship Id="rId1132" Type="http://schemas.openxmlformats.org/officeDocument/2006/relationships/hyperlink" Target="https://urban15.org/josiah-media-festival/" TargetMode="External"/><Relationship Id="rId2463" Type="http://schemas.openxmlformats.org/officeDocument/2006/relationships/hyperlink" Target="https://filmfreeway.com/WeyauwegaInternationalFilmFestival" TargetMode="External"/><Relationship Id="rId542" Type="http://schemas.openxmlformats.org/officeDocument/2006/relationships/hyperlink" Target="https://maps.google.com/?q=558+St+Johns+Pl.+Brooklyn%2C+NY+11238+United+States" TargetMode="External"/><Relationship Id="rId1133" Type="http://schemas.openxmlformats.org/officeDocument/2006/relationships/hyperlink" Target="https://filmfreeway.com/JosiahMediaFestival" TargetMode="External"/><Relationship Id="rId2464" Type="http://schemas.openxmlformats.org/officeDocument/2006/relationships/hyperlink" Target="https://whitelightcityfilmfestival.com/" TargetMode="External"/><Relationship Id="rId541" Type="http://schemas.openxmlformats.org/officeDocument/2006/relationships/hyperlink" Target="https://filmfreeway.com/CrossroadsFilmFestival" TargetMode="External"/><Relationship Id="rId1134" Type="http://schemas.openxmlformats.org/officeDocument/2006/relationships/hyperlink" Target="https://maps.google.com/?q=3914+N.+Clark+Street+Chicago%2C+IL+60613+United+States" TargetMode="External"/><Relationship Id="rId2465" Type="http://schemas.openxmlformats.org/officeDocument/2006/relationships/hyperlink" Target="https://filmfreeway.com/TheWhiteLightCityFilmFestival" TargetMode="External"/><Relationship Id="rId540" Type="http://schemas.openxmlformats.org/officeDocument/2006/relationships/hyperlink" Target="http://www.crossroadsfilmfestival.com/" TargetMode="External"/><Relationship Id="rId1135" Type="http://schemas.openxmlformats.org/officeDocument/2006/relationships/hyperlink" Target="http://www.otherworldtheatre.org/juggernaut-film-festival" TargetMode="External"/><Relationship Id="rId2466" Type="http://schemas.openxmlformats.org/officeDocument/2006/relationships/hyperlink" Target="https://maps.google.com/?q=955+Massachusetts+Ave+%23361+Cambridge%2C+ma+02139+United+States" TargetMode="External"/><Relationship Id="rId1125" Type="http://schemas.openxmlformats.org/officeDocument/2006/relationships/hyperlink" Target="https://www.jerseyshorefilmfestival.com/" TargetMode="External"/><Relationship Id="rId2456" Type="http://schemas.openxmlformats.org/officeDocument/2006/relationships/hyperlink" Target="https://westchesterfilmfestival.com/" TargetMode="External"/><Relationship Id="rId1126" Type="http://schemas.openxmlformats.org/officeDocument/2006/relationships/hyperlink" Target="https://filmfreeway.com/JerseyShoreFilmFestival2020" TargetMode="External"/><Relationship Id="rId2457" Type="http://schemas.openxmlformats.org/officeDocument/2006/relationships/hyperlink" Target="https://filmfreeway.com/WestChesterShortFilmFestival" TargetMode="External"/><Relationship Id="rId1127" Type="http://schemas.openxmlformats.org/officeDocument/2006/relationships/hyperlink" Target="https://maps.google.com/?q=1789+South+Braddock+Avenue+Suite+565+Pittsburgh%2C+PA+15218+United+States" TargetMode="External"/><Relationship Id="rId2458" Type="http://schemas.openxmlformats.org/officeDocument/2006/relationships/hyperlink" Target="http://www.wviff.org" TargetMode="External"/><Relationship Id="rId1128" Type="http://schemas.openxmlformats.org/officeDocument/2006/relationships/hyperlink" Target="https://filmpittsburgh.org/pages/jfilm" TargetMode="External"/><Relationship Id="rId2459" Type="http://schemas.openxmlformats.org/officeDocument/2006/relationships/hyperlink" Target="https://www.mountaineershortfilmfest.org" TargetMode="External"/><Relationship Id="rId1129" Type="http://schemas.openxmlformats.org/officeDocument/2006/relationships/hyperlink" Target="https://filmfreeway.com/JFilmFestival" TargetMode="External"/><Relationship Id="rId536" Type="http://schemas.openxmlformats.org/officeDocument/2006/relationships/hyperlink" Target="https://filmfreeway.com/CrimsonScreenHorrorFilmFest" TargetMode="External"/><Relationship Id="rId535" Type="http://schemas.openxmlformats.org/officeDocument/2006/relationships/hyperlink" Target="http://www.crimsonscreenfilmfest.org/" TargetMode="External"/><Relationship Id="rId534" Type="http://schemas.openxmlformats.org/officeDocument/2006/relationships/hyperlink" Target="https://filmfreeway.com/CrestedButteFilmFestival" TargetMode="External"/><Relationship Id="rId533" Type="http://schemas.openxmlformats.org/officeDocument/2006/relationships/hyperlink" Target="http://cbfilmfest.org/" TargetMode="External"/><Relationship Id="rId539" Type="http://schemas.openxmlformats.org/officeDocument/2006/relationships/hyperlink" Target="http://www.crossroadsfilmfestival.com/" TargetMode="External"/><Relationship Id="rId538" Type="http://schemas.openxmlformats.org/officeDocument/2006/relationships/hyperlink" Target="http://www.sfcinematheque.org/festival/crossroads/" TargetMode="External"/><Relationship Id="rId537" Type="http://schemas.openxmlformats.org/officeDocument/2006/relationships/hyperlink" Target="http://www.sfcinematheque.org/festival/crossroads/" TargetMode="External"/><Relationship Id="rId2450" Type="http://schemas.openxmlformats.org/officeDocument/2006/relationships/hyperlink" Target="https://filmfreeway.com/WWFilmFestival" TargetMode="External"/><Relationship Id="rId1120" Type="http://schemas.openxmlformats.org/officeDocument/2006/relationships/hyperlink" Target="https://jacksonvillefilmfestival.com" TargetMode="External"/><Relationship Id="rId2451" Type="http://schemas.openxmlformats.org/officeDocument/2006/relationships/hyperlink" Target="http://watsonvillefilmfest.org" TargetMode="External"/><Relationship Id="rId532" Type="http://schemas.openxmlformats.org/officeDocument/2006/relationships/hyperlink" Target="http://cbfilmfest.org/" TargetMode="External"/><Relationship Id="rId1121" Type="http://schemas.openxmlformats.org/officeDocument/2006/relationships/hyperlink" Target="http://jamesriverfilm.org/programs/james-river-film-festival-2/" TargetMode="External"/><Relationship Id="rId2452" Type="http://schemas.openxmlformats.org/officeDocument/2006/relationships/hyperlink" Target="https://www.wayoutwestfilmfest.com/" TargetMode="External"/><Relationship Id="rId531" Type="http://schemas.openxmlformats.org/officeDocument/2006/relationships/hyperlink" Target="https://www.covenfilmfest.com" TargetMode="External"/><Relationship Id="rId1122" Type="http://schemas.openxmlformats.org/officeDocument/2006/relationships/hyperlink" Target="http://www.jamesriverfilm.org/" TargetMode="External"/><Relationship Id="rId2453" Type="http://schemas.openxmlformats.org/officeDocument/2006/relationships/hyperlink" Target="https://filmfreeway.com/WayOUTWestFilmFest" TargetMode="External"/><Relationship Id="rId530" Type="http://schemas.openxmlformats.org/officeDocument/2006/relationships/hyperlink" Target="https://filmfreeway.com/CovelliteInternationalFilmFestival" TargetMode="External"/><Relationship Id="rId1123" Type="http://schemas.openxmlformats.org/officeDocument/2006/relationships/hyperlink" Target="https://filmfreeway.com/JamesRiverShortFilms" TargetMode="External"/><Relationship Id="rId2454" Type="http://schemas.openxmlformats.org/officeDocument/2006/relationships/hyperlink" Target="http://www.welikeemshort.com/" TargetMode="External"/><Relationship Id="rId1124" Type="http://schemas.openxmlformats.org/officeDocument/2006/relationships/hyperlink" Target="https://www.jffla.org" TargetMode="External"/><Relationship Id="rId2455" Type="http://schemas.openxmlformats.org/officeDocument/2006/relationships/hyperlink" Target="https://filmfreeway.com/WeLikeEmShort" TargetMode="External"/><Relationship Id="rId1158" Type="http://schemas.openxmlformats.org/officeDocument/2006/relationships/hyperlink" Target="https://filmfreeway.com/KidFilmFestival" TargetMode="External"/><Relationship Id="rId2005" Type="http://schemas.openxmlformats.org/officeDocument/2006/relationships/hyperlink" Target="https://filmfreeway.com/SanFranciscoGreekFilmFestival" TargetMode="External"/><Relationship Id="rId2489" Type="http://schemas.openxmlformats.org/officeDocument/2006/relationships/hyperlink" Target="https://womensportsfilm.com" TargetMode="External"/><Relationship Id="rId1159" Type="http://schemas.openxmlformats.org/officeDocument/2006/relationships/hyperlink" Target="https://maps.google.com/?q=2989+Patty+Hollow+Court+Decatur%2C+GA+30034+United+States" TargetMode="External"/><Relationship Id="rId2006" Type="http://schemas.openxmlformats.org/officeDocument/2006/relationships/hyperlink" Target="https://www.greenfilmfest.org" TargetMode="External"/><Relationship Id="rId2007" Type="http://schemas.openxmlformats.org/officeDocument/2006/relationships/hyperlink" Target="http://sfindie.com/festivals/sf-indiefest/" TargetMode="External"/><Relationship Id="rId2008" Type="http://schemas.openxmlformats.org/officeDocument/2006/relationships/hyperlink" Target="http://sfindie.com/festivals/sf-indiefest/" TargetMode="External"/><Relationship Id="rId2009" Type="http://schemas.openxmlformats.org/officeDocument/2006/relationships/hyperlink" Target="https://filmfreeway.com/SFIndieFest" TargetMode="External"/><Relationship Id="rId569" Type="http://schemas.openxmlformats.org/officeDocument/2006/relationships/hyperlink" Target="http://www.dancecamerawest.org/" TargetMode="External"/><Relationship Id="rId568" Type="http://schemas.openxmlformats.org/officeDocument/2006/relationships/hyperlink" Target="https://maps.google.com/?q=4396+Scandia+Way+Los+Angeles%2C+California+90065+United+States" TargetMode="External"/><Relationship Id="rId567" Type="http://schemas.openxmlformats.org/officeDocument/2006/relationships/hyperlink" Target="https://filmfreeway.com/DamnTheseHeels" TargetMode="External"/><Relationship Id="rId566" Type="http://schemas.openxmlformats.org/officeDocument/2006/relationships/hyperlink" Target="https://www.utahfilmcenter.org/" TargetMode="External"/><Relationship Id="rId2480" Type="http://schemas.openxmlformats.org/officeDocument/2006/relationships/hyperlink" Target="http://www.willfilm.org/" TargetMode="External"/><Relationship Id="rId561" Type="http://schemas.openxmlformats.org/officeDocument/2006/relationships/hyperlink" Target="http://www.spdemo.co/videofest/docufest" TargetMode="External"/><Relationship Id="rId1150" Type="http://schemas.openxmlformats.org/officeDocument/2006/relationships/hyperlink" Target="https://filmfreeway.com/KansasInternationalFilmFestival" TargetMode="External"/><Relationship Id="rId2481" Type="http://schemas.openxmlformats.org/officeDocument/2006/relationships/hyperlink" Target="https://wimberleylibrary.org/" TargetMode="External"/><Relationship Id="rId560" Type="http://schemas.openxmlformats.org/officeDocument/2006/relationships/hyperlink" Target="http://www.spdemo.co/videofest/docufest" TargetMode="External"/><Relationship Id="rId1151" Type="http://schemas.openxmlformats.org/officeDocument/2006/relationships/hyperlink" Target="http://www.festivalofcinemanyc.com" TargetMode="External"/><Relationship Id="rId2482" Type="http://schemas.openxmlformats.org/officeDocument/2006/relationships/hyperlink" Target="https://filmfreeway.com/WimberleyFilmFestival" TargetMode="External"/><Relationship Id="rId1152" Type="http://schemas.openxmlformats.org/officeDocument/2006/relationships/hyperlink" Target="https://kwfilmfest.com/" TargetMode="External"/><Relationship Id="rId2483" Type="http://schemas.openxmlformats.org/officeDocument/2006/relationships/hyperlink" Target="https://filmfreeway.com/WFA" TargetMode="External"/><Relationship Id="rId1153" Type="http://schemas.openxmlformats.org/officeDocument/2006/relationships/hyperlink" Target="https://filmfreeway.com/KeyWestFilmFestival" TargetMode="External"/><Relationship Id="rId2000" Type="http://schemas.openxmlformats.org/officeDocument/2006/relationships/hyperlink" Target="http://www.frozenfilmfestival.com/" TargetMode="External"/><Relationship Id="rId2484" Type="http://schemas.openxmlformats.org/officeDocument/2006/relationships/hyperlink" Target="https://maps.google.com/?q=1050+University+Ave+Madison%2C+WI+53706+United+States" TargetMode="External"/><Relationship Id="rId565" Type="http://schemas.openxmlformats.org/officeDocument/2006/relationships/hyperlink" Target="https://filmfreeway.com/DamShortFilm" TargetMode="External"/><Relationship Id="rId1154" Type="http://schemas.openxmlformats.org/officeDocument/2006/relationships/hyperlink" Target="http://www.kickingandscreening.com/" TargetMode="External"/><Relationship Id="rId2001" Type="http://schemas.openxmlformats.org/officeDocument/2006/relationships/hyperlink" Target="https://www.frozenfilmfestival.com/" TargetMode="External"/><Relationship Id="rId2485" Type="http://schemas.openxmlformats.org/officeDocument/2006/relationships/hyperlink" Target="http://www.wifilmfest.org/" TargetMode="External"/><Relationship Id="rId564" Type="http://schemas.openxmlformats.org/officeDocument/2006/relationships/hyperlink" Target="http://damshortfilm.org/" TargetMode="External"/><Relationship Id="rId1155" Type="http://schemas.openxmlformats.org/officeDocument/2006/relationships/hyperlink" Target="https://filmfreeway.com/KickingScreeningSoccerFilmFestival" TargetMode="External"/><Relationship Id="rId2002" Type="http://schemas.openxmlformats.org/officeDocument/2006/relationships/hyperlink" Target="https://filmfreeway.com/FrozenFilmFestival" TargetMode="External"/><Relationship Id="rId2486" Type="http://schemas.openxmlformats.org/officeDocument/2006/relationships/hyperlink" Target="http://www.wifilmfest.org/" TargetMode="External"/><Relationship Id="rId563" Type="http://schemas.openxmlformats.org/officeDocument/2006/relationships/hyperlink" Target="http://www.damshortfilm.org/" TargetMode="External"/><Relationship Id="rId1156" Type="http://schemas.openxmlformats.org/officeDocument/2006/relationships/hyperlink" Target="https://maps.google.com/?q=6116+N.+Central+Expressway%2C+Suite+105+Dallas%2C+Texas+75206+United+States" TargetMode="External"/><Relationship Id="rId2003" Type="http://schemas.openxmlformats.org/officeDocument/2006/relationships/hyperlink" Target="https://maps.google.com/?q=Delancey+Street+Screening+Room+600+Embarcadero+St+San+Francisco%2C%2C+CA+94107+United+States" TargetMode="External"/><Relationship Id="rId2487" Type="http://schemas.openxmlformats.org/officeDocument/2006/relationships/hyperlink" Target="https://filmfreeway.com/WisconsinFilmFestival" TargetMode="External"/><Relationship Id="rId562" Type="http://schemas.openxmlformats.org/officeDocument/2006/relationships/hyperlink" Target="https://maps.google.com/?q=1022+Nevada+Highway+%23204+Boulder+City%2C+NV+89005+United+States" TargetMode="External"/><Relationship Id="rId1157" Type="http://schemas.openxmlformats.org/officeDocument/2006/relationships/hyperlink" Target="http://www.usafilmfestival.com/" TargetMode="External"/><Relationship Id="rId2004" Type="http://schemas.openxmlformats.org/officeDocument/2006/relationships/hyperlink" Target="http://grfilm.com/" TargetMode="External"/><Relationship Id="rId2488" Type="http://schemas.openxmlformats.org/officeDocument/2006/relationships/hyperlink" Target="http://www.brooklynartscouncil.org/forum/4994" TargetMode="External"/><Relationship Id="rId1147" Type="http://schemas.openxmlformats.org/officeDocument/2006/relationships/hyperlink" Target="https://maps.google.com/?q=3859+W.+95th+St+Overland+Park%2C+KS+66206+United+States" TargetMode="External"/><Relationship Id="rId2478" Type="http://schemas.openxmlformats.org/officeDocument/2006/relationships/hyperlink" Target="https://filmfreeway.com/WildwoodFilmFestival" TargetMode="External"/><Relationship Id="rId1148" Type="http://schemas.openxmlformats.org/officeDocument/2006/relationships/hyperlink" Target="http://www.kansasfilm.com/" TargetMode="External"/><Relationship Id="rId2479" Type="http://schemas.openxmlformats.org/officeDocument/2006/relationships/hyperlink" Target="http://www.willfilm.org/" TargetMode="External"/><Relationship Id="rId1149" Type="http://schemas.openxmlformats.org/officeDocument/2006/relationships/hyperlink" Target="http://www.kansasfilm.com/" TargetMode="External"/><Relationship Id="rId558" Type="http://schemas.openxmlformats.org/officeDocument/2006/relationships/hyperlink" Target="http://videofest.org/" TargetMode="External"/><Relationship Id="rId557" Type="http://schemas.openxmlformats.org/officeDocument/2006/relationships/hyperlink" Target="https://maps.google.com/?q=Video+Association+of+Dallas+1405+Woodlawn+Dallas%2C+TX+75208+United+States" TargetMode="External"/><Relationship Id="rId556" Type="http://schemas.openxmlformats.org/officeDocument/2006/relationships/hyperlink" Target="https://filmfreeway.com/DallasInternationalFilmFestival" TargetMode="External"/><Relationship Id="rId555" Type="http://schemas.openxmlformats.org/officeDocument/2006/relationships/hyperlink" Target="https://www.dallasfilm.org" TargetMode="External"/><Relationship Id="rId559" Type="http://schemas.openxmlformats.org/officeDocument/2006/relationships/hyperlink" Target="https://filmfreeway.com/DallasVideoFest" TargetMode="External"/><Relationship Id="rId550" Type="http://schemas.openxmlformats.org/officeDocument/2006/relationships/hyperlink" Target="https://filmfreeway.com/CucalorusFilmFestival" TargetMode="External"/><Relationship Id="rId2470" Type="http://schemas.openxmlformats.org/officeDocument/2006/relationships/hyperlink" Target="https://www.wildandscenicfilmfestival.org/" TargetMode="External"/><Relationship Id="rId1140" Type="http://schemas.openxmlformats.org/officeDocument/2006/relationships/hyperlink" Target="https://maps.google.com/?q=c%2Fo+AAARI-CUNY+25+West+43rd+St.+New+York%2C+NY+10036+United+States" TargetMode="External"/><Relationship Id="rId2471" Type="http://schemas.openxmlformats.org/officeDocument/2006/relationships/hyperlink" Target="https://filmfreeway.com/WildScenicFilmFestival" TargetMode="External"/><Relationship Id="rId1141" Type="http://schemas.openxmlformats.org/officeDocument/2006/relationships/hyperlink" Target="http://www.kaffny.org" TargetMode="External"/><Relationship Id="rId2472" Type="http://schemas.openxmlformats.org/officeDocument/2006/relationships/hyperlink" Target="https://www.thewildbunchfilmfestival.com/" TargetMode="External"/><Relationship Id="rId1142" Type="http://schemas.openxmlformats.org/officeDocument/2006/relationships/hyperlink" Target="https://filmfreeway.com/kaffny" TargetMode="External"/><Relationship Id="rId2473" Type="http://schemas.openxmlformats.org/officeDocument/2006/relationships/hyperlink" Target="https://filmfreeway.com/TheWildBunchFilmFestival" TargetMode="External"/><Relationship Id="rId554" Type="http://schemas.openxmlformats.org/officeDocument/2006/relationships/hyperlink" Target="http://www.dallasfilm.org/" TargetMode="External"/><Relationship Id="rId1143" Type="http://schemas.openxmlformats.org/officeDocument/2006/relationships/hyperlink" Target="https://maps.google.com/?q=4741+Central+%23306+Kansas+City%2C+MO+64112+United+States" TargetMode="External"/><Relationship Id="rId2474" Type="http://schemas.openxmlformats.org/officeDocument/2006/relationships/hyperlink" Target="http://www.wcff.org/" TargetMode="External"/><Relationship Id="rId553" Type="http://schemas.openxmlformats.org/officeDocument/2006/relationships/hyperlink" Target="https://maps.google.com/?q=110+Leslie+Street+Suite+200+Dallas%2C+TX+75207+United+States" TargetMode="External"/><Relationship Id="rId1144" Type="http://schemas.openxmlformats.org/officeDocument/2006/relationships/hyperlink" Target="http://kcfilmfest.org/" TargetMode="External"/><Relationship Id="rId2475" Type="http://schemas.openxmlformats.org/officeDocument/2006/relationships/hyperlink" Target="https://filmfreeway.com/WildlifeConservationFilmFestival" TargetMode="External"/><Relationship Id="rId552" Type="http://schemas.openxmlformats.org/officeDocument/2006/relationships/hyperlink" Target="https://filmfreeway.com/DakotaFilmFestival" TargetMode="External"/><Relationship Id="rId1145" Type="http://schemas.openxmlformats.org/officeDocument/2006/relationships/hyperlink" Target="https://kcfilmfest.org/" TargetMode="External"/><Relationship Id="rId2476" Type="http://schemas.openxmlformats.org/officeDocument/2006/relationships/hyperlink" Target="http://www.wildwoodfilmfest.com/" TargetMode="External"/><Relationship Id="rId551" Type="http://schemas.openxmlformats.org/officeDocument/2006/relationships/hyperlink" Target="http://dakotafilmfestival.org/" TargetMode="External"/><Relationship Id="rId1146" Type="http://schemas.openxmlformats.org/officeDocument/2006/relationships/hyperlink" Target="https://filmfreeway.com/KansasCityFilmFest" TargetMode="External"/><Relationship Id="rId2477" Type="http://schemas.openxmlformats.org/officeDocument/2006/relationships/hyperlink" Target="https://www.wildwoodfilmfestival.com/" TargetMode="External"/><Relationship Id="rId2090" Type="http://schemas.openxmlformats.org/officeDocument/2006/relationships/hyperlink" Target="https://filmfreeway.com/ScreamfestHorrorFilmFestival" TargetMode="External"/><Relationship Id="rId2091" Type="http://schemas.openxmlformats.org/officeDocument/2006/relationships/hyperlink" Target="http://seattleaaff.org/2018/" TargetMode="External"/><Relationship Id="rId2092" Type="http://schemas.openxmlformats.org/officeDocument/2006/relationships/hyperlink" Target="https://filmfreeway.com/SeattleAsianAmericanFilmFestival" TargetMode="External"/><Relationship Id="rId2093" Type="http://schemas.openxmlformats.org/officeDocument/2006/relationships/hyperlink" Target="https://maps.google.com/?q=104+17th+Ave+S+Seattle%2C+WA+98144+United+States" TargetMode="External"/><Relationship Id="rId2094" Type="http://schemas.openxmlformats.org/officeDocument/2006/relationships/hyperlink" Target="https://www.langstonseattle.org/lhaaff/" TargetMode="External"/><Relationship Id="rId2095" Type="http://schemas.openxmlformats.org/officeDocument/2006/relationships/hyperlink" Target="https://filmfreeway.com/SeattleBlackFilmFestival" TargetMode="External"/><Relationship Id="rId2096" Type="http://schemas.openxmlformats.org/officeDocument/2006/relationships/hyperlink" Target="https://maps.google.com/?q=SIFF+Film+Center+305+Harrison+Street%2C+WA+98109+United+States" TargetMode="External"/><Relationship Id="rId2097" Type="http://schemas.openxmlformats.org/officeDocument/2006/relationships/hyperlink" Target="http://www.siff.net/" TargetMode="External"/><Relationship Id="rId2098" Type="http://schemas.openxmlformats.org/officeDocument/2006/relationships/hyperlink" Target="https://www.siff.net/" TargetMode="External"/><Relationship Id="rId2099" Type="http://schemas.openxmlformats.org/officeDocument/2006/relationships/hyperlink" Target="https://filmfreeway.com/SIFF" TargetMode="External"/><Relationship Id="rId2060" Type="http://schemas.openxmlformats.org/officeDocument/2006/relationships/hyperlink" Target="https://filmfreeway.com/SantaFeIndependentFilmFestival" TargetMode="External"/><Relationship Id="rId2061" Type="http://schemas.openxmlformats.org/officeDocument/2006/relationships/hyperlink" Target="https://www.smff.org/" TargetMode="External"/><Relationship Id="rId2062" Type="http://schemas.openxmlformats.org/officeDocument/2006/relationships/hyperlink" Target="https://filmfreeway.com/santamonica" TargetMode="External"/><Relationship Id="rId2063" Type="http://schemas.openxmlformats.org/officeDocument/2006/relationships/hyperlink" Target="https://maps.google.com/?q=1130+Lincoln+Blvd.+Santa+Monica%2C+CA+90403+United+States" TargetMode="External"/><Relationship Id="rId2064" Type="http://schemas.openxmlformats.org/officeDocument/2006/relationships/hyperlink" Target="https://www.smgov.net/teenfilmfest/" TargetMode="External"/><Relationship Id="rId2065" Type="http://schemas.openxmlformats.org/officeDocument/2006/relationships/hyperlink" Target="https://filmfreeway.com/SAMOTeenFilmFest" TargetMode="External"/><Relationship Id="rId2066" Type="http://schemas.openxmlformats.org/officeDocument/2006/relationships/hyperlink" Target="https://maps.google.com/?q=332+Cocoanut+Avenue+Sarasota%2C+Florida+34236+United+States" TargetMode="External"/><Relationship Id="rId2067" Type="http://schemas.openxmlformats.org/officeDocument/2006/relationships/hyperlink" Target="http://www.sarasotafilmfestival.com/" TargetMode="External"/><Relationship Id="rId2068" Type="http://schemas.openxmlformats.org/officeDocument/2006/relationships/hyperlink" Target="https://www.sarasotafilmfestival.com/" TargetMode="External"/><Relationship Id="rId2069" Type="http://schemas.openxmlformats.org/officeDocument/2006/relationships/hyperlink" Target="https://filmfreeway.com/SarasotaFilmFestival" TargetMode="External"/><Relationship Id="rId2050" Type="http://schemas.openxmlformats.org/officeDocument/2006/relationships/hyperlink" Target="https://maps.google.com/?q=1050+River+St.%2C+Studio+118+Santa+Cruz%2C+CA+95060+United+States" TargetMode="External"/><Relationship Id="rId2051" Type="http://schemas.openxmlformats.org/officeDocument/2006/relationships/hyperlink" Target="http://santacruzfilmfestival.org/" TargetMode="External"/><Relationship Id="rId495" Type="http://schemas.openxmlformats.org/officeDocument/2006/relationships/hyperlink" Target="http://www.clexacon.com" TargetMode="External"/><Relationship Id="rId2052" Type="http://schemas.openxmlformats.org/officeDocument/2006/relationships/hyperlink" Target="https://www.santacruzfilmfestival.org/" TargetMode="External"/><Relationship Id="rId494" Type="http://schemas.openxmlformats.org/officeDocument/2006/relationships/hyperlink" Target="https://filmfreeway.com/ClevelandInternationalFilmFestival" TargetMode="External"/><Relationship Id="rId2053" Type="http://schemas.openxmlformats.org/officeDocument/2006/relationships/hyperlink" Target="https://filmfreeway.com/SantaCruzFilmFestival" TargetMode="External"/><Relationship Id="rId493" Type="http://schemas.openxmlformats.org/officeDocument/2006/relationships/hyperlink" Target="https://www.clevelandfilm.org/" TargetMode="External"/><Relationship Id="rId2054" Type="http://schemas.openxmlformats.org/officeDocument/2006/relationships/hyperlink" Target="https://maps.google.com/?q=60+E.+San+Francisco+Street%2C+Suite+307+Santa+Fe%2C+NM+87501+United+States" TargetMode="External"/><Relationship Id="rId492" Type="http://schemas.openxmlformats.org/officeDocument/2006/relationships/hyperlink" Target="https://maps.google.com/?q=2510+Market+Ave+Cleveland%2C+Ohio+44113-3434+United+States" TargetMode="External"/><Relationship Id="rId2055" Type="http://schemas.openxmlformats.org/officeDocument/2006/relationships/hyperlink" Target="http://www.santafefilmfestival.com/" TargetMode="External"/><Relationship Id="rId499" Type="http://schemas.openxmlformats.org/officeDocument/2006/relationships/hyperlink" Target="https://filmfreeway.com/ColonyShortFilmFestival" TargetMode="External"/><Relationship Id="rId2056" Type="http://schemas.openxmlformats.org/officeDocument/2006/relationships/hyperlink" Target="http://www.santafefilmfestival.com/" TargetMode="External"/><Relationship Id="rId498" Type="http://schemas.openxmlformats.org/officeDocument/2006/relationships/hyperlink" Target="http://colonyfilmfestival.com/" TargetMode="External"/><Relationship Id="rId2057" Type="http://schemas.openxmlformats.org/officeDocument/2006/relationships/hyperlink" Target="https://filmfreeway.com/TheSantaFeFilmFestival" TargetMode="External"/><Relationship Id="rId497" Type="http://schemas.openxmlformats.org/officeDocument/2006/relationships/hyperlink" Target="https://maps.google.com/?q=222+Putnam+St.+Marietta%2C+Ohio+45750+United+States" TargetMode="External"/><Relationship Id="rId2058" Type="http://schemas.openxmlformats.org/officeDocument/2006/relationships/hyperlink" Target="https://maps.google.com/?q=418+Montezuma+Suite+22+Santa+Fe%2C+NM+87501+United+States" TargetMode="External"/><Relationship Id="rId496" Type="http://schemas.openxmlformats.org/officeDocument/2006/relationships/hyperlink" Target="https://filmfreeway.com/ClexaConFilmFestival" TargetMode="External"/><Relationship Id="rId2059" Type="http://schemas.openxmlformats.org/officeDocument/2006/relationships/hyperlink" Target="http://santafeindependentfilmfestival.com/" TargetMode="External"/><Relationship Id="rId2080" Type="http://schemas.openxmlformats.org/officeDocument/2006/relationships/hyperlink" Target="http://scareacon.com/" TargetMode="External"/><Relationship Id="rId2081" Type="http://schemas.openxmlformats.org/officeDocument/2006/relationships/hyperlink" Target="https://filmfreeway.com/ScareAConFilmFestival" TargetMode="External"/><Relationship Id="rId2082" Type="http://schemas.openxmlformats.org/officeDocument/2006/relationships/hyperlink" Target="https://www.mopop.org/sffsff" TargetMode="External"/><Relationship Id="rId2083" Type="http://schemas.openxmlformats.org/officeDocument/2006/relationships/hyperlink" Target="https://maps.google.com/?q=2101+N+69th+Pl+Scottsdale%2C+Arizona+85257+United+States" TargetMode="External"/><Relationship Id="rId2084" Type="http://schemas.openxmlformats.org/officeDocument/2006/relationships/hyperlink" Target="http://www.scottsdalefilmfestival.com/" TargetMode="External"/><Relationship Id="rId2085" Type="http://schemas.openxmlformats.org/officeDocument/2006/relationships/hyperlink" Target="https://www.scottsdalefilmfestival.com/" TargetMode="External"/><Relationship Id="rId2086" Type="http://schemas.openxmlformats.org/officeDocument/2006/relationships/hyperlink" Target="https://filmfreeway.com/ScottsdaleInternationalFilmFestival" TargetMode="External"/><Relationship Id="rId2087" Type="http://schemas.openxmlformats.org/officeDocument/2006/relationships/hyperlink" Target="http://scoutfilmfestival.org" TargetMode="External"/><Relationship Id="rId2088" Type="http://schemas.openxmlformats.org/officeDocument/2006/relationships/hyperlink" Target="https://filmfreeway.com/ScoutFilmFestival/" TargetMode="External"/><Relationship Id="rId2089" Type="http://schemas.openxmlformats.org/officeDocument/2006/relationships/hyperlink" Target="https://screamfestla.com/" TargetMode="External"/><Relationship Id="rId2070" Type="http://schemas.openxmlformats.org/officeDocument/2006/relationships/hyperlink" Target="http://filmfest.scad.edu/" TargetMode="External"/><Relationship Id="rId2071" Type="http://schemas.openxmlformats.org/officeDocument/2006/relationships/hyperlink" Target="http://filmfest.scad.edu/" TargetMode="External"/><Relationship Id="rId2072" Type="http://schemas.openxmlformats.org/officeDocument/2006/relationships/hyperlink" Target="https://filmfreeway.com/SCADSavannahFilmFestival" TargetMode="External"/><Relationship Id="rId2073" Type="http://schemas.openxmlformats.org/officeDocument/2006/relationships/hyperlink" Target="https://maps.google.com/?q=5111+Abercorn+Street+Savannah%2C+GA+31405+United+States" TargetMode="External"/><Relationship Id="rId2074" Type="http://schemas.openxmlformats.org/officeDocument/2006/relationships/hyperlink" Target="https://www.savannahjea.org/sample/home-1a/community-programs" TargetMode="External"/><Relationship Id="rId2075" Type="http://schemas.openxmlformats.org/officeDocument/2006/relationships/hyperlink" Target="https://filmfreeway.com/SavannahJewishFilmFestival" TargetMode="External"/><Relationship Id="rId2076" Type="http://schemas.openxmlformats.org/officeDocument/2006/relationships/hyperlink" Target="https://maps.google.com/?q=1700+N.+Charles+st.+Baltimore%2C+MD+21201+United+States" TargetMode="External"/><Relationship Id="rId2077" Type="http://schemas.openxmlformats.org/officeDocument/2006/relationships/hyperlink" Target="https://sayitloudfilmfestival.com/" TargetMode="External"/><Relationship Id="rId2078" Type="http://schemas.openxmlformats.org/officeDocument/2006/relationships/hyperlink" Target="https://filmfreeway.com/SayItLoudFilmFestival" TargetMode="External"/><Relationship Id="rId2079" Type="http://schemas.openxmlformats.org/officeDocument/2006/relationships/hyperlink" Target="https://maps.google.com/?q=104+MEADOW+RIVER+DR+Liverpool%2C+NY+13090+United+States" TargetMode="External"/><Relationship Id="rId1610" Type="http://schemas.openxmlformats.org/officeDocument/2006/relationships/hyperlink" Target="https://maps.google.com/?q=10942+Encino+Drive+Oak+View%2C+CALIFORNIA+93023+United+States" TargetMode="External"/><Relationship Id="rId1611" Type="http://schemas.openxmlformats.org/officeDocument/2006/relationships/hyperlink" Target="http://www.ojaifilmfestival.com/" TargetMode="External"/><Relationship Id="rId1612" Type="http://schemas.openxmlformats.org/officeDocument/2006/relationships/hyperlink" Target="http://www.ojaifilmfestival.com/" TargetMode="External"/><Relationship Id="rId1613" Type="http://schemas.openxmlformats.org/officeDocument/2006/relationships/hyperlink" Target="https://filmfreeway.com/OjaiFilmFestival" TargetMode="External"/><Relationship Id="rId1614" Type="http://schemas.openxmlformats.org/officeDocument/2006/relationships/hyperlink" Target="https://maps.google.com/?q=319+SW+25th+St.+Oklahoma+City%2C+Oklahoma+73109+United+States" TargetMode="External"/><Relationship Id="rId1615" Type="http://schemas.openxmlformats.org/officeDocument/2006/relationships/hyperlink" Target="http://historiccapitolhill.com/okcine-latino" TargetMode="External"/><Relationship Id="rId1616" Type="http://schemas.openxmlformats.org/officeDocument/2006/relationships/hyperlink" Target="https://filmfreeway.com/OklahomaCineLatinoFilmFestival" TargetMode="External"/><Relationship Id="rId907" Type="http://schemas.openxmlformats.org/officeDocument/2006/relationships/hyperlink" Target="http://www.haitiinternationalfilmfestival.org/" TargetMode="External"/><Relationship Id="rId1617" Type="http://schemas.openxmlformats.org/officeDocument/2006/relationships/hyperlink" Target="https://www.olaofeasternlongisland.org" TargetMode="External"/><Relationship Id="rId906" Type="http://schemas.openxmlformats.org/officeDocument/2006/relationships/hyperlink" Target="https://maps.google.com/?q=4800+Hollywood+Blvd+Hollywood%2C+CA+90027+United+States" TargetMode="External"/><Relationship Id="rId1618" Type="http://schemas.openxmlformats.org/officeDocument/2006/relationships/hyperlink" Target="https://maps.google.com/?q=416+Washington+Street+SE+%23208+Olympia%2C+WA+98501+United+States" TargetMode="External"/><Relationship Id="rId905" Type="http://schemas.openxmlformats.org/officeDocument/2006/relationships/hyperlink" Target="https://filmfreeway.com/HPLovecraftFilmFestival" TargetMode="External"/><Relationship Id="rId1619" Type="http://schemas.openxmlformats.org/officeDocument/2006/relationships/hyperlink" Target="http://olympiafilmsociety.org/olympia-film-festival/" TargetMode="External"/><Relationship Id="rId904" Type="http://schemas.openxmlformats.org/officeDocument/2006/relationships/hyperlink" Target="https://hplfilmfestival.com/" TargetMode="External"/><Relationship Id="rId909" Type="http://schemas.openxmlformats.org/officeDocument/2006/relationships/hyperlink" Target="http://thehalloweenhorrorpictureshow.com" TargetMode="External"/><Relationship Id="rId908" Type="http://schemas.openxmlformats.org/officeDocument/2006/relationships/hyperlink" Target="https://filmfreeway.com/HaitiInternationalFilmFestival" TargetMode="External"/><Relationship Id="rId903" Type="http://schemas.openxmlformats.org/officeDocument/2006/relationships/hyperlink" Target="http://www.grenadaafterglow.com" TargetMode="External"/><Relationship Id="rId902" Type="http://schemas.openxmlformats.org/officeDocument/2006/relationships/hyperlink" Target="https://filmfreeway.com/GreenwichVillageFilmFestival" TargetMode="External"/><Relationship Id="rId901" Type="http://schemas.openxmlformats.org/officeDocument/2006/relationships/hyperlink" Target="https://www.greenwichvillagefilmfestival.com/" TargetMode="External"/><Relationship Id="rId900" Type="http://schemas.openxmlformats.org/officeDocument/2006/relationships/hyperlink" Target="https://filmfreeway.com/GreenwichInternationalFilmFestival" TargetMode="External"/><Relationship Id="rId1600" Type="http://schemas.openxmlformats.org/officeDocument/2006/relationships/hyperlink" Target="https://filmfreeway.com/OceansideInternationalFilmFestival" TargetMode="External"/><Relationship Id="rId1601" Type="http://schemas.openxmlformats.org/officeDocument/2006/relationships/hyperlink" Target="https://ogeecheefilmfestival.org/" TargetMode="External"/><Relationship Id="rId1602" Type="http://schemas.openxmlformats.org/officeDocument/2006/relationships/hyperlink" Target="https://filmfreeway.com/OIHFF" TargetMode="External"/><Relationship Id="rId1603" Type="http://schemas.openxmlformats.org/officeDocument/2006/relationships/hyperlink" Target="https://maps.google.com/?q=P.O.+Box+21300+South+Euclid%2C+OH+44121+United+States" TargetMode="External"/><Relationship Id="rId1604" Type="http://schemas.openxmlformats.org/officeDocument/2006/relationships/hyperlink" Target="http://www.ohiofilms.com/" TargetMode="External"/><Relationship Id="rId1605" Type="http://schemas.openxmlformats.org/officeDocument/2006/relationships/hyperlink" Target="https://www.ohiofilms.com/" TargetMode="External"/><Relationship Id="rId1606" Type="http://schemas.openxmlformats.org/officeDocument/2006/relationships/hyperlink" Target="https://filmfreeway.com/oiff" TargetMode="External"/><Relationship Id="rId1607" Type="http://schemas.openxmlformats.org/officeDocument/2006/relationships/hyperlink" Target="https://maps.google.com/?q=308+West+Third+Street+Oil+City%2C+PA+16301+United+States" TargetMode="External"/><Relationship Id="rId1608" Type="http://schemas.openxmlformats.org/officeDocument/2006/relationships/hyperlink" Target="http://oilvalleyfilmfestival.weebly.com/" TargetMode="External"/><Relationship Id="rId1609" Type="http://schemas.openxmlformats.org/officeDocument/2006/relationships/hyperlink" Target="https://filmfreeway.com/OilValleyFilmFestival" TargetMode="External"/><Relationship Id="rId1631" Type="http://schemas.openxmlformats.org/officeDocument/2006/relationships/hyperlink" Target="https://filmfreeway.com/OneotaFilmFestival" TargetMode="External"/><Relationship Id="rId1632" Type="http://schemas.openxmlformats.org/officeDocument/2006/relationships/hyperlink" Target="https://maps.google.com/?q=Chicago+Filmmakers+5720+N.+Ridge+Avenue+Chicago%2C+IL+60660+United+States" TargetMode="External"/><Relationship Id="rId1633" Type="http://schemas.openxmlformats.org/officeDocument/2006/relationships/hyperlink" Target="http://www.onioncityfilmfest.org/" TargetMode="External"/><Relationship Id="rId1634" Type="http://schemas.openxmlformats.org/officeDocument/2006/relationships/hyperlink" Target="https://filmfreeway.com/OnionCityFF" TargetMode="External"/><Relationship Id="rId1635" Type="http://schemas.openxmlformats.org/officeDocument/2006/relationships/hyperlink" Target="http://www.orcasfilmfest.com/" TargetMode="External"/><Relationship Id="rId1636" Type="http://schemas.openxmlformats.org/officeDocument/2006/relationships/hyperlink" Target="https://maps.google.com/?q=25030+SW+Parkway+Ave+%231044+Wilsonville%2C+OR+97070+United+States" TargetMode="External"/><Relationship Id="rId1637" Type="http://schemas.openxmlformats.org/officeDocument/2006/relationships/hyperlink" Target="https://info.filmfestivalcircuit.com/oregon-documentary-film-festival" TargetMode="External"/><Relationship Id="rId1638" Type="http://schemas.openxmlformats.org/officeDocument/2006/relationships/hyperlink" Target="https://filmfreeway.com/OregonDocumentaryFilmFestival" TargetMode="External"/><Relationship Id="rId929" Type="http://schemas.openxmlformats.org/officeDocument/2006/relationships/hyperlink" Target="https://maps.google.com/?q=59+Shepard+Street+Soch+Box+423+Cambridge%2C+MA+02138+United+States" TargetMode="External"/><Relationship Id="rId1639" Type="http://schemas.openxmlformats.org/officeDocument/2006/relationships/hyperlink" Target="http://www.oregonindependentfilmfest.com/" TargetMode="External"/><Relationship Id="rId928" Type="http://schemas.openxmlformats.org/officeDocument/2006/relationships/hyperlink" Target="https://filmfreeway.com/GreaterHartfordJewishFilmFestival" TargetMode="External"/><Relationship Id="rId927" Type="http://schemas.openxmlformats.org/officeDocument/2006/relationships/hyperlink" Target="https://hjff2019.eventive.org/welcome" TargetMode="External"/><Relationship Id="rId926" Type="http://schemas.openxmlformats.org/officeDocument/2006/relationships/hyperlink" Target="https://maps.google.com/?q=335+Bloomfiled+Avenue+West+Hartford%2C+CT+06117+United+States" TargetMode="External"/><Relationship Id="rId921" Type="http://schemas.openxmlformats.org/officeDocument/2006/relationships/hyperlink" Target="https://filmfreeway.com/hangontoyourshorts" TargetMode="External"/><Relationship Id="rId920" Type="http://schemas.openxmlformats.org/officeDocument/2006/relationships/hyperlink" Target="http://hangontoyourshortsfilmfestival.com/" TargetMode="External"/><Relationship Id="rId925" Type="http://schemas.openxmlformats.org/officeDocument/2006/relationships/hyperlink" Target="https://filmfreeway.com/HarlemInternationalFilmFestival" TargetMode="External"/><Relationship Id="rId924" Type="http://schemas.openxmlformats.org/officeDocument/2006/relationships/hyperlink" Target="http://harlemfilmfestival.org/" TargetMode="External"/><Relationship Id="rId923" Type="http://schemas.openxmlformats.org/officeDocument/2006/relationships/hyperlink" Target="http://harlemfilmfestival.org/" TargetMode="External"/><Relationship Id="rId922" Type="http://schemas.openxmlformats.org/officeDocument/2006/relationships/hyperlink" Target="https://maps.google.com/?q=2214+Frederick+Douglass+Boulevard+%23333+New+York%2C+NY+10026+United+States" TargetMode="External"/><Relationship Id="rId1630" Type="http://schemas.openxmlformats.org/officeDocument/2006/relationships/hyperlink" Target="http://www.oneotafilmfestival.org/" TargetMode="External"/><Relationship Id="rId1620" Type="http://schemas.openxmlformats.org/officeDocument/2006/relationships/hyperlink" Target="https://filmfreeway.com/OlympiaFilmFestival" TargetMode="External"/><Relationship Id="rId1621" Type="http://schemas.openxmlformats.org/officeDocument/2006/relationships/hyperlink" Target="https://maps.google.com/?q=2626+Harney+Street+Omaha%2C+NE+68131+United+States" TargetMode="External"/><Relationship Id="rId1622" Type="http://schemas.openxmlformats.org/officeDocument/2006/relationships/hyperlink" Target="http://www.omahafilmfestival.org/" TargetMode="External"/><Relationship Id="rId1623" Type="http://schemas.openxmlformats.org/officeDocument/2006/relationships/hyperlink" Target="http://www.omahafilmfestival.org/" TargetMode="External"/><Relationship Id="rId1624" Type="http://schemas.openxmlformats.org/officeDocument/2006/relationships/hyperlink" Target="https://filmfreeway.com/OmahaFilmFestival" TargetMode="External"/><Relationship Id="rId1625" Type="http://schemas.openxmlformats.org/officeDocument/2006/relationships/hyperlink" Target="http://www.oneminutestoryfilmfestival.com/" TargetMode="External"/><Relationship Id="rId1626" Type="http://schemas.openxmlformats.org/officeDocument/2006/relationships/hyperlink" Target="https://filmfreeway.com/OneMinuteStoryFilmFestival" TargetMode="External"/><Relationship Id="rId1627" Type="http://schemas.openxmlformats.org/officeDocument/2006/relationships/hyperlink" Target="https://maps.google.com/?q=450+W+31st+6th+floor+New+York%2C+New+York+10001+United+States" TargetMode="External"/><Relationship Id="rId918" Type="http://schemas.openxmlformats.org/officeDocument/2006/relationships/hyperlink" Target="https://filmfreeway.com/HamptonsFilm" TargetMode="External"/><Relationship Id="rId1628" Type="http://schemas.openxmlformats.org/officeDocument/2006/relationships/hyperlink" Target="https://www.onescreen.org/" TargetMode="External"/><Relationship Id="rId917" Type="http://schemas.openxmlformats.org/officeDocument/2006/relationships/hyperlink" Target="http://hamptonsfilmfest.org/" TargetMode="External"/><Relationship Id="rId1629" Type="http://schemas.openxmlformats.org/officeDocument/2006/relationships/hyperlink" Target="https://filmfreeway.com/OneScreen" TargetMode="External"/><Relationship Id="rId916" Type="http://schemas.openxmlformats.org/officeDocument/2006/relationships/hyperlink" Target="http://hamptonsfilmfest.org/" TargetMode="External"/><Relationship Id="rId915" Type="http://schemas.openxmlformats.org/officeDocument/2006/relationships/hyperlink" Target="https://filmfreeway.com/Hamptonsdocfest" TargetMode="External"/><Relationship Id="rId919" Type="http://schemas.openxmlformats.org/officeDocument/2006/relationships/hyperlink" Target="https://maps.google.com/?q=81a+White+St+Eatontown%2C+NJ+07724+United+States" TargetMode="External"/><Relationship Id="rId910" Type="http://schemas.openxmlformats.org/officeDocument/2006/relationships/hyperlink" Target="https://maps.google.com/?q=Hamilton%2C+New+York+13346+United+States" TargetMode="External"/><Relationship Id="rId914" Type="http://schemas.openxmlformats.org/officeDocument/2006/relationships/hyperlink" Target="https://www.hamptonsdocfest.com/" TargetMode="External"/><Relationship Id="rId913" Type="http://schemas.openxmlformats.org/officeDocument/2006/relationships/hyperlink" Target="https://maps.google.com/?q=Box+915+Bridgehampton%2C+New+York+11932+United+States" TargetMode="External"/><Relationship Id="rId912" Type="http://schemas.openxmlformats.org/officeDocument/2006/relationships/hyperlink" Target="https://filmfreeway.com/sbehiff" TargetMode="External"/><Relationship Id="rId911" Type="http://schemas.openxmlformats.org/officeDocument/2006/relationships/hyperlink" Target="https://www.sbehiff.com/" TargetMode="External"/><Relationship Id="rId1213" Type="http://schemas.openxmlformats.org/officeDocument/2006/relationships/hyperlink" Target="https://www.lifeartdance.org/film-festival" TargetMode="External"/><Relationship Id="rId1697" Type="http://schemas.openxmlformats.org/officeDocument/2006/relationships/hyperlink" Target="https://filmfreeway.com/PalmSpringsInternationalShortFest" TargetMode="External"/><Relationship Id="rId1214" Type="http://schemas.openxmlformats.org/officeDocument/2006/relationships/hyperlink" Target="https://filmfreeway.com/LifeinMotion" TargetMode="External"/><Relationship Id="rId1698" Type="http://schemas.openxmlformats.org/officeDocument/2006/relationships/hyperlink" Target="https://maps.google.com/?q=64460+Via+Amante+Palm+Springs%2C+California+92264+United+States" TargetMode="External"/><Relationship Id="rId1215" Type="http://schemas.openxmlformats.org/officeDocument/2006/relationships/hyperlink" Target="http://www.lightfieldfilm.org/" TargetMode="External"/><Relationship Id="rId1699" Type="http://schemas.openxmlformats.org/officeDocument/2006/relationships/hyperlink" Target="http://psjff.com/" TargetMode="External"/><Relationship Id="rId1216" Type="http://schemas.openxmlformats.org/officeDocument/2006/relationships/hyperlink" Target="http://www.lightfieldfilm.org/2020-call-for-submissions" TargetMode="External"/><Relationship Id="rId1217" Type="http://schemas.openxmlformats.org/officeDocument/2006/relationships/hyperlink" Target="http://lighthousefilmfestival.org/" TargetMode="External"/><Relationship Id="rId1218" Type="http://schemas.openxmlformats.org/officeDocument/2006/relationships/hyperlink" Target="https://filmfreeway.com/LighthouseInternationalFilmFestival" TargetMode="External"/><Relationship Id="rId1219" Type="http://schemas.openxmlformats.org/officeDocument/2006/relationships/hyperlink" Target="https://maps.google.com/?q=5425+Renwick+Dr.+Houston%2C+TX+77081+United+States" TargetMode="External"/><Relationship Id="rId866" Type="http://schemas.openxmlformats.org/officeDocument/2006/relationships/hyperlink" Target="https://maps.google.com/?q=999+9th+St+NW+Washington%2C+DC+20001+United+States" TargetMode="External"/><Relationship Id="rId865" Type="http://schemas.openxmlformats.org/officeDocument/2006/relationships/hyperlink" Target="https://filmfreeway.com/GlobalCinemaFilmFestivalofBoston" TargetMode="External"/><Relationship Id="rId864" Type="http://schemas.openxmlformats.org/officeDocument/2006/relationships/hyperlink" Target="https://www.worldwidecinemaframes.com/global-cinema-film-festival" TargetMode="External"/><Relationship Id="rId863" Type="http://schemas.openxmlformats.org/officeDocument/2006/relationships/hyperlink" Target="https://filmfreeway.com/GlendaleInternationalFilmFestival" TargetMode="External"/><Relationship Id="rId869" Type="http://schemas.openxmlformats.org/officeDocument/2006/relationships/hyperlink" Target="https://maps.google.com/?q=P.O.+Box+3310+Winter+Park%2C+FL+32790-3310+United+States" TargetMode="External"/><Relationship Id="rId868" Type="http://schemas.openxmlformats.org/officeDocument/2006/relationships/hyperlink" Target="https://filmfreeway.com/GlobalImpactDC" TargetMode="External"/><Relationship Id="rId867" Type="http://schemas.openxmlformats.org/officeDocument/2006/relationships/hyperlink" Target="https://globalimpactdc.org/" TargetMode="External"/><Relationship Id="rId1690" Type="http://schemas.openxmlformats.org/officeDocument/2006/relationships/hyperlink" Target="https://filmfreeway.com/DonaldMEphraimPalmBeachJewishFilmFestival" TargetMode="External"/><Relationship Id="rId1691" Type="http://schemas.openxmlformats.org/officeDocument/2006/relationships/hyperlink" Target="https://maps.google.com/?q=1700+East+Tahquitz+Canyon+Way+Suite+%233+Palm+Springs%2C+California+92262+United+States" TargetMode="External"/><Relationship Id="rId1692" Type="http://schemas.openxmlformats.org/officeDocument/2006/relationships/hyperlink" Target="https://www.psfilmfest.org/" TargetMode="External"/><Relationship Id="rId862" Type="http://schemas.openxmlformats.org/officeDocument/2006/relationships/hyperlink" Target="https://www.glendaleinternationalfilmfestival.com/" TargetMode="External"/><Relationship Id="rId1693" Type="http://schemas.openxmlformats.org/officeDocument/2006/relationships/hyperlink" Target="https://www.psfilmfest.org/2019-ps-film-festival" TargetMode="External"/><Relationship Id="rId861" Type="http://schemas.openxmlformats.org/officeDocument/2006/relationships/hyperlink" Target="https://maps.google.com/?q=1061+North+Central+Avenue+Glendale%2C+CA+91202+United+States" TargetMode="External"/><Relationship Id="rId1210" Type="http://schemas.openxmlformats.org/officeDocument/2006/relationships/hyperlink" Target="https://filmfreeway.com/LesFemmesUndergroundFilmFestival" TargetMode="External"/><Relationship Id="rId1694" Type="http://schemas.openxmlformats.org/officeDocument/2006/relationships/hyperlink" Target="https://filmfreeway.com/PalmSpringsInternationalFilmFestival" TargetMode="External"/><Relationship Id="rId860" Type="http://schemas.openxmlformats.org/officeDocument/2006/relationships/hyperlink" Target="https://filmfreeway.com/GLASAnimationFestival" TargetMode="External"/><Relationship Id="rId1211" Type="http://schemas.openxmlformats.org/officeDocument/2006/relationships/hyperlink" Target="http://lifefilmfest.com/" TargetMode="External"/><Relationship Id="rId1695" Type="http://schemas.openxmlformats.org/officeDocument/2006/relationships/hyperlink" Target="https://maps.google.com/?q=1700+E.+Tahquitz+Canyon+Way%2C+Suite+3+Palm+Springs%2C+California+92262+United+States" TargetMode="External"/><Relationship Id="rId1212" Type="http://schemas.openxmlformats.org/officeDocument/2006/relationships/hyperlink" Target="https://filmfreeway.com/LifeFestFilmFestival" TargetMode="External"/><Relationship Id="rId1696" Type="http://schemas.openxmlformats.org/officeDocument/2006/relationships/hyperlink" Target="https://www.psfilmfest.org/" TargetMode="External"/><Relationship Id="rId1202" Type="http://schemas.openxmlformats.org/officeDocument/2006/relationships/hyperlink" Target="https://filmfreeway.com/LaughorDieComedyFest" TargetMode="External"/><Relationship Id="rId1686" Type="http://schemas.openxmlformats.org/officeDocument/2006/relationships/hyperlink" Target="http://www.ozarkfoothillsfilmfest.org/" TargetMode="External"/><Relationship Id="rId1203" Type="http://schemas.openxmlformats.org/officeDocument/2006/relationships/hyperlink" Target="http://ldsfilmfest.com/" TargetMode="External"/><Relationship Id="rId1687" Type="http://schemas.openxmlformats.org/officeDocument/2006/relationships/hyperlink" Target="https://filmfreeway.com/OzarkFoothillsFilmFest" TargetMode="External"/><Relationship Id="rId1204" Type="http://schemas.openxmlformats.org/officeDocument/2006/relationships/hyperlink" Target="https://filmfreeway.com/LDSFilmFestival" TargetMode="External"/><Relationship Id="rId1688" Type="http://schemas.openxmlformats.org/officeDocument/2006/relationships/hyperlink" Target="https://maps.google.com/?q=Mandel+JCC+of+the+Palm+Beaches+8500+Jog+Road+Boynton+Beach%2C+Florida+33472+United+States" TargetMode="External"/><Relationship Id="rId1205" Type="http://schemas.openxmlformats.org/officeDocument/2006/relationships/hyperlink" Target="http://www.deltasofcharlotte.org" TargetMode="External"/><Relationship Id="rId1689" Type="http://schemas.openxmlformats.org/officeDocument/2006/relationships/hyperlink" Target="http://palmbeachjewishfilm.org/index.html" TargetMode="External"/><Relationship Id="rId1206" Type="http://schemas.openxmlformats.org/officeDocument/2006/relationships/hyperlink" Target="https://maps.google.com/?q=708+W+Franklin+St+Boise%2C+ID+83702+United+States" TargetMode="External"/><Relationship Id="rId1207" Type="http://schemas.openxmlformats.org/officeDocument/2006/relationships/hyperlink" Target="https://www.lttv.org/les-bois-film-festival/" TargetMode="External"/><Relationship Id="rId1208" Type="http://schemas.openxmlformats.org/officeDocument/2006/relationships/hyperlink" Target="https://filmfreeway.com/LesBoisFilmFestival" TargetMode="External"/><Relationship Id="rId1209" Type="http://schemas.openxmlformats.org/officeDocument/2006/relationships/hyperlink" Target="https://www.lesfemmesinternational.org/" TargetMode="External"/><Relationship Id="rId855" Type="http://schemas.openxmlformats.org/officeDocument/2006/relationships/hyperlink" Target="https://filmfreeway.com/GIFilmFestivalSanDiego" TargetMode="External"/><Relationship Id="rId854" Type="http://schemas.openxmlformats.org/officeDocument/2006/relationships/hyperlink" Target="http://gifilmfestivalsd.org" TargetMode="External"/><Relationship Id="rId853" Type="http://schemas.openxmlformats.org/officeDocument/2006/relationships/hyperlink" Target="http://www.lindseyfilmfest.com" TargetMode="External"/><Relationship Id="rId852" Type="http://schemas.openxmlformats.org/officeDocument/2006/relationships/hyperlink" Target="https://filmfreeway.com/GasparillaInternationalFilmFestival" TargetMode="External"/><Relationship Id="rId859" Type="http://schemas.openxmlformats.org/officeDocument/2006/relationships/hyperlink" Target="http://www.glasanimation.com/" TargetMode="External"/><Relationship Id="rId858" Type="http://schemas.openxmlformats.org/officeDocument/2006/relationships/hyperlink" Target="https://filmfreeway.com/GigHarborFilmFestival" TargetMode="External"/><Relationship Id="rId857" Type="http://schemas.openxmlformats.org/officeDocument/2006/relationships/hyperlink" Target="https://gigharborfilm.org/" TargetMode="External"/><Relationship Id="rId856" Type="http://schemas.openxmlformats.org/officeDocument/2006/relationships/hyperlink" Target="https://maps.google.com/?q=3006+Judson+St.%2C+Suite+102+Gig+Harbor%2C+Washington+98335+United+States" TargetMode="External"/><Relationship Id="rId1680" Type="http://schemas.openxmlformats.org/officeDocument/2006/relationships/hyperlink" Target="https://otrfilmfest.org/" TargetMode="External"/><Relationship Id="rId1681" Type="http://schemas.openxmlformats.org/officeDocument/2006/relationships/hyperlink" Target="https://filmfreeway.com/otrfilmfest" TargetMode="External"/><Relationship Id="rId851" Type="http://schemas.openxmlformats.org/officeDocument/2006/relationships/hyperlink" Target="http://www.gasparillafilmfestival.com/" TargetMode="External"/><Relationship Id="rId1682" Type="http://schemas.openxmlformats.org/officeDocument/2006/relationships/hyperlink" Target="https://overmountainanimation.com/overmountain-animation-1" TargetMode="External"/><Relationship Id="rId850" Type="http://schemas.openxmlformats.org/officeDocument/2006/relationships/hyperlink" Target="http://gasparillafilmfestival.com/" TargetMode="External"/><Relationship Id="rId1683" Type="http://schemas.openxmlformats.org/officeDocument/2006/relationships/hyperlink" Target="http://oxfordfilmfest.com/" TargetMode="External"/><Relationship Id="rId1200" Type="http://schemas.openxmlformats.org/officeDocument/2006/relationships/hyperlink" Target="https://filmfreeway.com/lvff" TargetMode="External"/><Relationship Id="rId1684" Type="http://schemas.openxmlformats.org/officeDocument/2006/relationships/hyperlink" Target="https://filmfreeway.com/OxfordFilmFestival" TargetMode="External"/><Relationship Id="rId1201" Type="http://schemas.openxmlformats.org/officeDocument/2006/relationships/hyperlink" Target="http://www.laughordiecomedyfest.com/" TargetMode="External"/><Relationship Id="rId1685" Type="http://schemas.openxmlformats.org/officeDocument/2006/relationships/hyperlink" Target="https://maps.google.com/?q=195+Peel+Road+Locust+Grove%2C+AR+72550+United+States" TargetMode="External"/><Relationship Id="rId1235" Type="http://schemas.openxmlformats.org/officeDocument/2006/relationships/hyperlink" Target="https://filmfreeway.com/LongBeachQFilmFestival" TargetMode="External"/><Relationship Id="rId1236" Type="http://schemas.openxmlformats.org/officeDocument/2006/relationships/hyperlink" Target="https://maps.google.com/?q=Bellmore+Movies+222+Pettit+Avenue+Bellmore%2C+NY+11710+United+States" TargetMode="External"/><Relationship Id="rId1237" Type="http://schemas.openxmlformats.org/officeDocument/2006/relationships/hyperlink" Target="http://longislandfilm.com/" TargetMode="External"/><Relationship Id="rId1238" Type="http://schemas.openxmlformats.org/officeDocument/2006/relationships/hyperlink" Target="https://filmfreeway.com/LIIFETheLongIslandInternationalFilmExpo" TargetMode="External"/><Relationship Id="rId1239" Type="http://schemas.openxmlformats.org/officeDocument/2006/relationships/hyperlink" Target="https://maps.google.com/?q=North+Carolina+Museum+of+History+5+East+Edenton+Street+Raleigh%2C+NC+27601+United+States" TargetMode="External"/><Relationship Id="rId409" Type="http://schemas.openxmlformats.org/officeDocument/2006/relationships/hyperlink" Target="https://charlottejewishfilm.com/" TargetMode="External"/><Relationship Id="rId404" Type="http://schemas.openxmlformats.org/officeDocument/2006/relationships/hyperlink" Target="http://charlotteblackfilmfestival.com/" TargetMode="External"/><Relationship Id="rId888" Type="http://schemas.openxmlformats.org/officeDocument/2006/relationships/hyperlink" Target="https://maps.google.com/?q=1001+State+Street+Suite+1400+Erie%2C+PA+16501+United+States" TargetMode="External"/><Relationship Id="rId403" Type="http://schemas.openxmlformats.org/officeDocument/2006/relationships/hyperlink" Target="https://filmfreeway.com/ChandlerFilmFestival" TargetMode="External"/><Relationship Id="rId887" Type="http://schemas.openxmlformats.org/officeDocument/2006/relationships/hyperlink" Target="https://filmfreeway.com/GLEFF" TargetMode="External"/><Relationship Id="rId402" Type="http://schemas.openxmlformats.org/officeDocument/2006/relationships/hyperlink" Target="https://www.chandlerfilmfestival.com/" TargetMode="External"/><Relationship Id="rId886" Type="http://schemas.openxmlformats.org/officeDocument/2006/relationships/hyperlink" Target="http://www.gleff.org/" TargetMode="External"/><Relationship Id="rId401" Type="http://schemas.openxmlformats.org/officeDocument/2006/relationships/hyperlink" Target="https://maps.google.com/?q=3185+S+Price+Rd%2C+Chandler%2C+AZ+85248+United+States" TargetMode="External"/><Relationship Id="rId885" Type="http://schemas.openxmlformats.org/officeDocument/2006/relationships/hyperlink" Target="https://filmfreeway.com/GreatLakesChristianFilmFestival" TargetMode="External"/><Relationship Id="rId408" Type="http://schemas.openxmlformats.org/officeDocument/2006/relationships/hyperlink" Target="https://filmfreeway.com/CharlotteFilmFestival" TargetMode="External"/><Relationship Id="rId407" Type="http://schemas.openxmlformats.org/officeDocument/2006/relationships/hyperlink" Target="http://www.charlottefilmfestival.org/" TargetMode="External"/><Relationship Id="rId406" Type="http://schemas.openxmlformats.org/officeDocument/2006/relationships/hyperlink" Target="https://maps.google.com/?q=921+N.+Wendover+Rd+Unit+221982+Charlotte%2C+NC+28211-9798+United+States" TargetMode="External"/><Relationship Id="rId405" Type="http://schemas.openxmlformats.org/officeDocument/2006/relationships/hyperlink" Target="https://filmfreeway.com/CharlotteBlackFilmFestival" TargetMode="External"/><Relationship Id="rId889" Type="http://schemas.openxmlformats.org/officeDocument/2006/relationships/hyperlink" Target="http://greatlakesfilmfest.com/" TargetMode="External"/><Relationship Id="rId880" Type="http://schemas.openxmlformats.org/officeDocument/2006/relationships/hyperlink" Target="https://maps.google.com/?q=1440+Koll+Circle%2C+Suite+110+San+Jose%2C+CA+95112+United+States" TargetMode="External"/><Relationship Id="rId1230" Type="http://schemas.openxmlformats.org/officeDocument/2006/relationships/hyperlink" Target="http://www.longbeachfilm.com/" TargetMode="External"/><Relationship Id="rId400" Type="http://schemas.openxmlformats.org/officeDocument/2006/relationships/hyperlink" Target="https://filmfreeway.com/ChainFilmFestival" TargetMode="External"/><Relationship Id="rId884" Type="http://schemas.openxmlformats.org/officeDocument/2006/relationships/hyperlink" Target="https://glcff.com/" TargetMode="External"/><Relationship Id="rId1231" Type="http://schemas.openxmlformats.org/officeDocument/2006/relationships/hyperlink" Target="http://www.longbeachfilm.com/" TargetMode="External"/><Relationship Id="rId883" Type="http://schemas.openxmlformats.org/officeDocument/2006/relationships/hyperlink" Target="https://maps.google.com/?q=1638+South+Park+Ave+Buffalo%2C+NY+14220+United+States" TargetMode="External"/><Relationship Id="rId1232" Type="http://schemas.openxmlformats.org/officeDocument/2006/relationships/hyperlink" Target="https://filmfreeway.com/LBIFF" TargetMode="External"/><Relationship Id="rId882" Type="http://schemas.openxmlformats.org/officeDocument/2006/relationships/hyperlink" Target="https://filmfreeway.com/GoldenGateInternationalFilmFestival" TargetMode="External"/><Relationship Id="rId1233" Type="http://schemas.openxmlformats.org/officeDocument/2006/relationships/hyperlink" Target="http://qfilmslongbeach.com/" TargetMode="External"/><Relationship Id="rId881" Type="http://schemas.openxmlformats.org/officeDocument/2006/relationships/hyperlink" Target="http://goldengateinternationalfilmfestival.com/" TargetMode="External"/><Relationship Id="rId1234" Type="http://schemas.openxmlformats.org/officeDocument/2006/relationships/hyperlink" Target="http://qfilmslongbeach.com/" TargetMode="External"/><Relationship Id="rId1224" Type="http://schemas.openxmlformats.org/officeDocument/2006/relationships/hyperlink" Target="https://loftfilmfest.org/" TargetMode="External"/><Relationship Id="rId1225" Type="http://schemas.openxmlformats.org/officeDocument/2006/relationships/hyperlink" Target="https://filmfreeway.com/LoftFilmFest" TargetMode="External"/><Relationship Id="rId1226" Type="http://schemas.openxmlformats.org/officeDocument/2006/relationships/hyperlink" Target="https://maps.google.com/?q=209+W.+2nd+Street+Suite+248+Fort+Worth%2C+Texas+76102+United+States" TargetMode="External"/><Relationship Id="rId1227" Type="http://schemas.openxmlformats.org/officeDocument/2006/relationships/hyperlink" Target="https://www.lonestarfilmfestival.com/" TargetMode="External"/><Relationship Id="rId1228" Type="http://schemas.openxmlformats.org/officeDocument/2006/relationships/hyperlink" Target="https://filmfreeway.com/LoneStarFilmFestival" TargetMode="External"/><Relationship Id="rId1229" Type="http://schemas.openxmlformats.org/officeDocument/2006/relationships/hyperlink" Target="https://maps.google.com/?q=Long+Beach%2C+New+York+11561+United+States" TargetMode="External"/><Relationship Id="rId877" Type="http://schemas.openxmlformats.org/officeDocument/2006/relationships/hyperlink" Target="http://goldendoorfilmfestival.org/" TargetMode="External"/><Relationship Id="rId876" Type="http://schemas.openxmlformats.org/officeDocument/2006/relationships/hyperlink" Target="https://maps.google.com/?q=PMB+288+344+Grove+St+Jersey+City%2C+New+Jersey-New+York+07302+United+States" TargetMode="External"/><Relationship Id="rId875" Type="http://schemas.openxmlformats.org/officeDocument/2006/relationships/hyperlink" Target="https://filmfreeway.com/GCIFF" TargetMode="External"/><Relationship Id="rId874" Type="http://schemas.openxmlformats.org/officeDocument/2006/relationships/hyperlink" Target="http://goldcoastfilmfestival.org/" TargetMode="External"/><Relationship Id="rId879" Type="http://schemas.openxmlformats.org/officeDocument/2006/relationships/hyperlink" Target="https://filmfreeway.com/GoldenDoorFilmFestival" TargetMode="External"/><Relationship Id="rId878" Type="http://schemas.openxmlformats.org/officeDocument/2006/relationships/hyperlink" Target="http://goldendoorfilmfestival.org/" TargetMode="External"/><Relationship Id="rId873" Type="http://schemas.openxmlformats.org/officeDocument/2006/relationships/hyperlink" Target="https://maps.google.com/?q=113+Middle+Neck+Road+Great+Neck%2C+NY+11021+United+States" TargetMode="External"/><Relationship Id="rId1220" Type="http://schemas.openxmlformats.org/officeDocument/2006/relationships/hyperlink" Target="https://www.literallyshort.com/" TargetMode="External"/><Relationship Id="rId872" Type="http://schemas.openxmlformats.org/officeDocument/2006/relationships/hyperlink" Target="https://filmfreeway.com/GlobalPeaceFilmFestival" TargetMode="External"/><Relationship Id="rId1221" Type="http://schemas.openxmlformats.org/officeDocument/2006/relationships/hyperlink" Target="https://filmfreeway.com/LiterallyShortFilmFestival" TargetMode="External"/><Relationship Id="rId871" Type="http://schemas.openxmlformats.org/officeDocument/2006/relationships/hyperlink" Target="https://peacefilmfest.org/" TargetMode="External"/><Relationship Id="rId1222" Type="http://schemas.openxmlformats.org/officeDocument/2006/relationships/hyperlink" Target="https://nwfilmforum.org/festivals/local-sightings-film-festival-pacific-nw/" TargetMode="External"/><Relationship Id="rId870" Type="http://schemas.openxmlformats.org/officeDocument/2006/relationships/hyperlink" Target="http://peacefilmfest.org/" TargetMode="External"/><Relationship Id="rId1223" Type="http://schemas.openxmlformats.org/officeDocument/2006/relationships/hyperlink" Target="https://filmfreeway.com/LocalSightingsFilmFestival" TargetMode="External"/><Relationship Id="rId1653" Type="http://schemas.openxmlformats.org/officeDocument/2006/relationships/hyperlink" Target="https://filmfreeway.com/OrlandoUrbanFilmFestivalOUFF" TargetMode="External"/><Relationship Id="rId2500" Type="http://schemas.openxmlformats.org/officeDocument/2006/relationships/hyperlink" Target="https://filmfreeway.com/WoodsHoleFilmFestival" TargetMode="External"/><Relationship Id="rId1654" Type="http://schemas.openxmlformats.org/officeDocument/2006/relationships/hyperlink" Target="http://othervenicefilmfestival.com/" TargetMode="External"/><Relationship Id="rId2501" Type="http://schemas.openxmlformats.org/officeDocument/2006/relationships/hyperlink" Target="http://www.woodstockfilmfestival.com/" TargetMode="External"/><Relationship Id="rId1655" Type="http://schemas.openxmlformats.org/officeDocument/2006/relationships/hyperlink" Target="https://filmfreeway.com/OtherVeniceFilmFestival" TargetMode="External"/><Relationship Id="rId2502" Type="http://schemas.openxmlformats.org/officeDocument/2006/relationships/hyperlink" Target="http://woodstockfilmfestival.org/" TargetMode="External"/><Relationship Id="rId1656" Type="http://schemas.openxmlformats.org/officeDocument/2006/relationships/hyperlink" Target="http://www.otherworldsaustin.com/" TargetMode="External"/><Relationship Id="rId2503" Type="http://schemas.openxmlformats.org/officeDocument/2006/relationships/hyperlink" Target="https://filmfreeway.com/WoodstockFilmFestival" TargetMode="External"/><Relationship Id="rId1657" Type="http://schemas.openxmlformats.org/officeDocument/2006/relationships/hyperlink" Target="https://filmfreeway.com/OtherWorldsAustin" TargetMode="External"/><Relationship Id="rId2504" Type="http://schemas.openxmlformats.org/officeDocument/2006/relationships/hyperlink" Target="https://maps.google.com/?q=13+Charles+Bach+Road+Saugerties%2C+New+York+12477+United+States" TargetMode="External"/><Relationship Id="rId1658" Type="http://schemas.openxmlformats.org/officeDocument/2006/relationships/hyperlink" Target="https://maps.google.com/?q=4330+Holly+Kansas+City%2C+MO+64111+United+States" TargetMode="External"/><Relationship Id="rId2505" Type="http://schemas.openxmlformats.org/officeDocument/2006/relationships/hyperlink" Target="http://woodstockmuseum.com/" TargetMode="External"/><Relationship Id="rId1659" Type="http://schemas.openxmlformats.org/officeDocument/2006/relationships/hyperlink" Target="https://www.outherenow.com/" TargetMode="External"/><Relationship Id="rId2506" Type="http://schemas.openxmlformats.org/officeDocument/2006/relationships/hyperlink" Target="https://filmfreeway.com/WoodstockMuseumFilmFestival" TargetMode="External"/><Relationship Id="rId2507" Type="http://schemas.openxmlformats.org/officeDocument/2006/relationships/hyperlink" Target="https://www.workersunitefilmfestival.org/" TargetMode="External"/><Relationship Id="rId2508" Type="http://schemas.openxmlformats.org/officeDocument/2006/relationships/hyperlink" Target="https://filmfreeway.com/TheWorkersUniteFilmFestival" TargetMode="External"/><Relationship Id="rId829" Type="http://schemas.openxmlformats.org/officeDocument/2006/relationships/hyperlink" Target="http://frontrangefilmfest.com/" TargetMode="External"/><Relationship Id="rId2509" Type="http://schemas.openxmlformats.org/officeDocument/2006/relationships/hyperlink" Target="http://www.twiff.org/" TargetMode="External"/><Relationship Id="rId828" Type="http://schemas.openxmlformats.org/officeDocument/2006/relationships/hyperlink" Target="https://maps.google.com/?q=1509+Pratt+Street+Longmont%2C+Co+80501+United+States" TargetMode="External"/><Relationship Id="rId827" Type="http://schemas.openxmlformats.org/officeDocument/2006/relationships/hyperlink" Target="https://filmfreeway.com/FHFF" TargetMode="External"/><Relationship Id="rId822" Type="http://schemas.openxmlformats.org/officeDocument/2006/relationships/hyperlink" Target="https://filmfreeway.com/FreepFilmFestival" TargetMode="External"/><Relationship Id="rId821" Type="http://schemas.openxmlformats.org/officeDocument/2006/relationships/hyperlink" Target="https://freepfilmfestival.com/" TargetMode="External"/><Relationship Id="rId820" Type="http://schemas.openxmlformats.org/officeDocument/2006/relationships/hyperlink" Target="https://maps.google.com/?q=160+W.+Fort+Street+Detroit%2C+MI+48826+United+States" TargetMode="External"/><Relationship Id="rId826" Type="http://schemas.openxmlformats.org/officeDocument/2006/relationships/hyperlink" Target="https://www.fhff.org/" TargetMode="External"/><Relationship Id="rId825" Type="http://schemas.openxmlformats.org/officeDocument/2006/relationships/hyperlink" Target="https://maps.google.com/?q=P.+O.+Box+2627+%28Mail%29+10+First+St.++%28shipping%29+physical+office+Friday+Harbor%2C+WA+98250+United+States" TargetMode="External"/><Relationship Id="rId824" Type="http://schemas.openxmlformats.org/officeDocument/2006/relationships/hyperlink" Target="http://fresnofilmworks.org/" TargetMode="External"/><Relationship Id="rId823" Type="http://schemas.openxmlformats.org/officeDocument/2006/relationships/hyperlink" Target="http://fresnofilmworks.org/" TargetMode="External"/><Relationship Id="rId1650" Type="http://schemas.openxmlformats.org/officeDocument/2006/relationships/hyperlink" Target="https://orlandointernationalfilmfestival.org" TargetMode="External"/><Relationship Id="rId1651" Type="http://schemas.openxmlformats.org/officeDocument/2006/relationships/hyperlink" Target="https://maps.google.com/?q=3956+Town+Center+Blvd.%2C+%23499+Orlando%2C%2C+Florida+32837+United+States" TargetMode="External"/><Relationship Id="rId1652" Type="http://schemas.openxmlformats.org/officeDocument/2006/relationships/hyperlink" Target="http://www.orlandouff.com/" TargetMode="External"/><Relationship Id="rId1642" Type="http://schemas.openxmlformats.org/officeDocument/2006/relationships/hyperlink" Target="https://info.filmfestivalcircuit.com/oregon-short-film-festival" TargetMode="External"/><Relationship Id="rId1643" Type="http://schemas.openxmlformats.org/officeDocument/2006/relationships/hyperlink" Target="https://filmfreeway.com/OregonShortFilmFestival" TargetMode="External"/><Relationship Id="rId1644" Type="http://schemas.openxmlformats.org/officeDocument/2006/relationships/hyperlink" Target="http://www.originsfilmfestival.com/" TargetMode="External"/><Relationship Id="rId1645" Type="http://schemas.openxmlformats.org/officeDocument/2006/relationships/hyperlink" Target="https://filmfreeway.com/OriginsFF" TargetMode="External"/><Relationship Id="rId1646" Type="http://schemas.openxmlformats.org/officeDocument/2006/relationships/hyperlink" Target="https://maps.google.com/?q=5131+Gramont+Ave+Orlando%2C+FL+32812+United+States" TargetMode="External"/><Relationship Id="rId1647" Type="http://schemas.openxmlformats.org/officeDocument/2006/relationships/hyperlink" Target="http://www.orlandofilmfestival.com/" TargetMode="External"/><Relationship Id="rId1648" Type="http://schemas.openxmlformats.org/officeDocument/2006/relationships/hyperlink" Target="http://www.orlandofilmfestival.com/" TargetMode="External"/><Relationship Id="rId1649" Type="http://schemas.openxmlformats.org/officeDocument/2006/relationships/hyperlink" Target="https://filmfreeway.com/OrlandoFilmFestival" TargetMode="External"/><Relationship Id="rId819" Type="http://schemas.openxmlformats.org/officeDocument/2006/relationships/hyperlink" Target="http://freestatefestival.org" TargetMode="External"/><Relationship Id="rId818" Type="http://schemas.openxmlformats.org/officeDocument/2006/relationships/hyperlink" Target="https://filmfreeway.com/FreeRangeFilmFestival" TargetMode="External"/><Relationship Id="rId817" Type="http://schemas.openxmlformats.org/officeDocument/2006/relationships/hyperlink" Target="http://freerangefilm.com/" TargetMode="External"/><Relationship Id="rId816" Type="http://schemas.openxmlformats.org/officeDocument/2006/relationships/hyperlink" Target="http://freerangefilm.com/" TargetMode="External"/><Relationship Id="rId811" Type="http://schemas.openxmlformats.org/officeDocument/2006/relationships/hyperlink" Target="http://www.freakshowfilmfest.com" TargetMode="External"/><Relationship Id="rId810" Type="http://schemas.openxmlformats.org/officeDocument/2006/relationships/hyperlink" Target="https://filmfreeway.com/TheForwardianFilmFestival" TargetMode="External"/><Relationship Id="rId815" Type="http://schemas.openxmlformats.org/officeDocument/2006/relationships/hyperlink" Target="https://maps.google.com/?q=2612+County+Road+1+Wrenshall%2C+MN+55797+United+States" TargetMode="External"/><Relationship Id="rId814" Type="http://schemas.openxmlformats.org/officeDocument/2006/relationships/hyperlink" Target="https://filmfreeway.com/FREAKSHOWHorrorFilmFestival" TargetMode="External"/><Relationship Id="rId813" Type="http://schemas.openxmlformats.org/officeDocument/2006/relationships/hyperlink" Target="http://freakshowfilmfest.com/" TargetMode="External"/><Relationship Id="rId812" Type="http://schemas.openxmlformats.org/officeDocument/2006/relationships/hyperlink" Target="https://maps.google.com/?q=5901+Hazeltine+National+Dr.+Orlando%2C+Florida+32822+United+States" TargetMode="External"/><Relationship Id="rId1640" Type="http://schemas.openxmlformats.org/officeDocument/2006/relationships/hyperlink" Target="https://filmfreeway.com/OregonIndependentFilmFestival" TargetMode="External"/><Relationship Id="rId1641" Type="http://schemas.openxmlformats.org/officeDocument/2006/relationships/hyperlink" Target="https://maps.google.com/?q=25030+SW+Parkway+Ave+%231044+Wilsonville%2C+OR+97070+United+States" TargetMode="External"/><Relationship Id="rId1675" Type="http://schemas.openxmlformats.org/officeDocument/2006/relationships/hyperlink" Target="https://filmfreeway.com/OUTshineLGBTFortLauderdale" TargetMode="External"/><Relationship Id="rId2522" Type="http://schemas.openxmlformats.org/officeDocument/2006/relationships/hyperlink" Target="https://filmfreeway.com/YoFiFest" TargetMode="External"/><Relationship Id="rId1676" Type="http://schemas.openxmlformats.org/officeDocument/2006/relationships/hyperlink" Target="https://maps.google.com/?q=6360+NE+4th+Ct.+Miami%2C+FL+33138+United+States" TargetMode="External"/><Relationship Id="rId2523" Type="http://schemas.openxmlformats.org/officeDocument/2006/relationships/hyperlink" Target="https://maps.google.com/?q=Wendy+Medrano%2FZED+FEST+P.O.Box+11293+Burbank%2C+CA+91510+United+States" TargetMode="External"/><Relationship Id="rId1677" Type="http://schemas.openxmlformats.org/officeDocument/2006/relationships/hyperlink" Target="https://mifofilm.com/" TargetMode="External"/><Relationship Id="rId2524" Type="http://schemas.openxmlformats.org/officeDocument/2006/relationships/hyperlink" Target="http://www.zedfest.org/" TargetMode="External"/><Relationship Id="rId1678" Type="http://schemas.openxmlformats.org/officeDocument/2006/relationships/hyperlink" Target="https://filmfreeway.com/OUTshine-Miami" TargetMode="External"/><Relationship Id="rId2525" Type="http://schemas.openxmlformats.org/officeDocument/2006/relationships/hyperlink" Target="https://filmfreeway.com/ZedFestFilmFestival" TargetMode="External"/><Relationship Id="rId1679" Type="http://schemas.openxmlformats.org/officeDocument/2006/relationships/hyperlink" Target="https://maps.google.com/?q=LADD%2C+Inc.+3603+Victory+Parkway+Cincinnati%2C+OH+45229+United+States" TargetMode="External"/><Relationship Id="rId2526" Type="http://schemas.openxmlformats.org/officeDocument/2006/relationships/drawing" Target="../drawings/drawing1.xml"/><Relationship Id="rId849" Type="http://schemas.openxmlformats.org/officeDocument/2006/relationships/hyperlink" Target="https://maps.google.com/?q=Tampa%2C+FL+United+States" TargetMode="External"/><Relationship Id="rId844" Type="http://schemas.openxmlformats.org/officeDocument/2006/relationships/hyperlink" Target="http://www.gsff.org/" TargetMode="External"/><Relationship Id="rId843" Type="http://schemas.openxmlformats.org/officeDocument/2006/relationships/hyperlink" Target="http://www.gsff.org/" TargetMode="External"/><Relationship Id="rId842" Type="http://schemas.openxmlformats.org/officeDocument/2006/relationships/hyperlink" Target="https://maps.google.com/?q=Asbury+Park%2C+NJ+07712+United+States" TargetMode="External"/><Relationship Id="rId841" Type="http://schemas.openxmlformats.org/officeDocument/2006/relationships/hyperlink" Target="http://www.gangreneproductions.com/home/index.php" TargetMode="External"/><Relationship Id="rId848" Type="http://schemas.openxmlformats.org/officeDocument/2006/relationships/hyperlink" Target="https://filmfreeway.com/GarifunaInternationalIndigenousFilmFestival" TargetMode="External"/><Relationship Id="rId847" Type="http://schemas.openxmlformats.org/officeDocument/2006/relationships/hyperlink" Target="http://garifunafilmfestival.com/" TargetMode="External"/><Relationship Id="rId846" Type="http://schemas.openxmlformats.org/officeDocument/2006/relationships/hyperlink" Target="https://maps.google.com/?q=1245+16th+street+Suite+210+Santa+Monica%2C+California+90404+United+States" TargetMode="External"/><Relationship Id="rId845" Type="http://schemas.openxmlformats.org/officeDocument/2006/relationships/hyperlink" Target="https://filmfreeway.com/GardenStateFilmFestival" TargetMode="External"/><Relationship Id="rId1670" Type="http://schemas.openxmlformats.org/officeDocument/2006/relationships/hyperlink" Target="http://outflixfestival.org/" TargetMode="External"/><Relationship Id="rId840" Type="http://schemas.openxmlformats.org/officeDocument/2006/relationships/hyperlink" Target="http://gainesvillelatinofilmfestival.com" TargetMode="External"/><Relationship Id="rId1671" Type="http://schemas.openxmlformats.org/officeDocument/2006/relationships/hyperlink" Target="http://outflixfestival.org/" TargetMode="External"/><Relationship Id="rId1672" Type="http://schemas.openxmlformats.org/officeDocument/2006/relationships/hyperlink" Target="https://filmfreeway.com/OutflixFilmFestival" TargetMode="External"/><Relationship Id="rId1673" Type="http://schemas.openxmlformats.org/officeDocument/2006/relationships/hyperlink" Target="https://www.theoutletdanceproject.com" TargetMode="External"/><Relationship Id="rId2520" Type="http://schemas.openxmlformats.org/officeDocument/2006/relationships/hyperlink" Target="https://maps.google.com/?q=540+Nepperhan+Avenue+Suite+556+Yonkers%2C+New+York+10704+United+States" TargetMode="External"/><Relationship Id="rId1674" Type="http://schemas.openxmlformats.org/officeDocument/2006/relationships/hyperlink" Target="https://mifofilm.com/" TargetMode="External"/><Relationship Id="rId2521" Type="http://schemas.openxmlformats.org/officeDocument/2006/relationships/hyperlink" Target="https://www.yofifest.com/" TargetMode="External"/><Relationship Id="rId1664" Type="http://schemas.openxmlformats.org/officeDocument/2006/relationships/hyperlink" Target="https://filmfreeway.com/OutOnFilm" TargetMode="External"/><Relationship Id="rId2511" Type="http://schemas.openxmlformats.org/officeDocument/2006/relationships/hyperlink" Target="https://maps.google.com/?q=9898+Bissonnet+Ste+%23650+Houston%2C+TX+77036+United+States" TargetMode="External"/><Relationship Id="rId1665" Type="http://schemas.openxmlformats.org/officeDocument/2006/relationships/hyperlink" Target="https://www.outfest.org//" TargetMode="External"/><Relationship Id="rId2512" Type="http://schemas.openxmlformats.org/officeDocument/2006/relationships/hyperlink" Target="https://worldfest.org/" TargetMode="External"/><Relationship Id="rId1666" Type="http://schemas.openxmlformats.org/officeDocument/2006/relationships/hyperlink" Target="https://filmfreeway.com/OutfestFusion" TargetMode="External"/><Relationship Id="rId2513" Type="http://schemas.openxmlformats.org/officeDocument/2006/relationships/hyperlink" Target="https://filmfreeway.com/worldfest" TargetMode="External"/><Relationship Id="rId1667" Type="http://schemas.openxmlformats.org/officeDocument/2006/relationships/hyperlink" Target="https://maps.google.com/?q=3470+Wilshire+Boulevard+Suite+%23935+Los+Angeles%2C+CA+90010+United+States" TargetMode="External"/><Relationship Id="rId2514" Type="http://schemas.openxmlformats.org/officeDocument/2006/relationships/hyperlink" Target="http://wvfilmmakersfestival.org" TargetMode="External"/><Relationship Id="rId1668" Type="http://schemas.openxmlformats.org/officeDocument/2006/relationships/hyperlink" Target="https://www.outfest.org//" TargetMode="External"/><Relationship Id="rId2515" Type="http://schemas.openxmlformats.org/officeDocument/2006/relationships/hyperlink" Target="https://maps.google.com/?q=Yale+University+New+Haven%2C+CT+06520+United+States" TargetMode="External"/><Relationship Id="rId1669" Type="http://schemas.openxmlformats.org/officeDocument/2006/relationships/hyperlink" Target="https://filmfreeway.com/OutfestLosAngeles" TargetMode="External"/><Relationship Id="rId2516" Type="http://schemas.openxmlformats.org/officeDocument/2006/relationships/hyperlink" Target="http://www.yalestudentfilmfest.com/" TargetMode="External"/><Relationship Id="rId2517" Type="http://schemas.openxmlformats.org/officeDocument/2006/relationships/hyperlink" Target="https://filmfreeway.com/YSFF" TargetMode="External"/><Relationship Id="rId2518" Type="http://schemas.openxmlformats.org/officeDocument/2006/relationships/hyperlink" Target="https://www.yesfilmfestival.com/" TargetMode="External"/><Relationship Id="rId2519" Type="http://schemas.openxmlformats.org/officeDocument/2006/relationships/hyperlink" Target="https://filmfreeway.com/YESFilmFestival" TargetMode="External"/><Relationship Id="rId839" Type="http://schemas.openxmlformats.org/officeDocument/2006/relationships/hyperlink" Target="https://filmfreeway.com/GadaboutFilmFest" TargetMode="External"/><Relationship Id="rId838" Type="http://schemas.openxmlformats.org/officeDocument/2006/relationships/hyperlink" Target="http://gadaboutfilmfest.com/" TargetMode="External"/><Relationship Id="rId833" Type="http://schemas.openxmlformats.org/officeDocument/2006/relationships/hyperlink" Target="https://filmfreeway.com/FrozenRiverFilmFestival" TargetMode="External"/><Relationship Id="rId832" Type="http://schemas.openxmlformats.org/officeDocument/2006/relationships/hyperlink" Target="https://www.frff.org/" TargetMode="External"/><Relationship Id="rId831" Type="http://schemas.openxmlformats.org/officeDocument/2006/relationships/hyperlink" Target="https://maps.google.com/?q=160+Johnson+St+Winona%2C+MN+55987+United+States" TargetMode="External"/><Relationship Id="rId830" Type="http://schemas.openxmlformats.org/officeDocument/2006/relationships/hyperlink" Target="https://filmfreeway.com/FrontRangeFilmFestival" TargetMode="External"/><Relationship Id="rId837" Type="http://schemas.openxmlformats.org/officeDocument/2006/relationships/hyperlink" Target="https://maps.google.com/?q=804+N+oolitic+Dr+Bloomington%2C+IN+47404+United+States" TargetMode="External"/><Relationship Id="rId836" Type="http://schemas.openxmlformats.org/officeDocument/2006/relationships/hyperlink" Target="https://filmfreeway.com/FullFrameDocumentaryFilmFestival" TargetMode="External"/><Relationship Id="rId835" Type="http://schemas.openxmlformats.org/officeDocument/2006/relationships/hyperlink" Target="https://www.fullframefest.org/" TargetMode="External"/><Relationship Id="rId834" Type="http://schemas.openxmlformats.org/officeDocument/2006/relationships/hyperlink" Target="https://fullbloomfilmfestival.org" TargetMode="External"/><Relationship Id="rId1660" Type="http://schemas.openxmlformats.org/officeDocument/2006/relationships/hyperlink" Target="https://filmfreeway.com/OUTHERENOWKansasCityLGBTFilmFestival" TargetMode="External"/><Relationship Id="rId1661" Type="http://schemas.openxmlformats.org/officeDocument/2006/relationships/hyperlink" Target="https://maps.google.com/?q=456+Kensington+Parc+Drive+Avondale+Estates%2C+GA+30002+United+States" TargetMode="External"/><Relationship Id="rId1662" Type="http://schemas.openxmlformats.org/officeDocument/2006/relationships/hyperlink" Target="http://www.outonfilm.org/" TargetMode="External"/><Relationship Id="rId1663" Type="http://schemas.openxmlformats.org/officeDocument/2006/relationships/hyperlink" Target="http://www.outonfilm.org/" TargetMode="External"/><Relationship Id="rId2510" Type="http://schemas.openxmlformats.org/officeDocument/2006/relationships/hyperlink" Target="https://filmfreeway.com/TheWorldIndieFilmFestival" TargetMode="External"/><Relationship Id="rId2148" Type="http://schemas.openxmlformats.org/officeDocument/2006/relationships/hyperlink" Target="https://www.sidewalkfest.com/" TargetMode="External"/><Relationship Id="rId2149" Type="http://schemas.openxmlformats.org/officeDocument/2006/relationships/hyperlink" Target="https://filmfreeway.com/Sidewalkfilm" TargetMode="External"/><Relationship Id="rId469" Type="http://schemas.openxmlformats.org/officeDocument/2006/relationships/hyperlink" Target="https://maps.google.com/?q=1716+San+Antonio+St.+Austin%2C+Texas+78701+United+States" TargetMode="External"/><Relationship Id="rId468" Type="http://schemas.openxmlformats.org/officeDocument/2006/relationships/hyperlink" Target="https://filmfreeway.com/CinemaSystersFilmFestival" TargetMode="External"/><Relationship Id="rId467" Type="http://schemas.openxmlformats.org/officeDocument/2006/relationships/hyperlink" Target="https://www.cinemasysters.com/" TargetMode="External"/><Relationship Id="rId1290" Type="http://schemas.openxmlformats.org/officeDocument/2006/relationships/hyperlink" Target="https://maps.google.com/?q=608+S+Elm+Ave+Sanford%2C+FL+32771+United+States" TargetMode="External"/><Relationship Id="rId1291" Type="http://schemas.openxmlformats.org/officeDocument/2006/relationships/hyperlink" Target="http://www.loveyourshorts.com/" TargetMode="External"/><Relationship Id="rId1292" Type="http://schemas.openxmlformats.org/officeDocument/2006/relationships/hyperlink" Target="https://filmfreeway.com/LoveYourShortsFilmFestival" TargetMode="External"/><Relationship Id="rId462" Type="http://schemas.openxmlformats.org/officeDocument/2006/relationships/hyperlink" Target="https://filmfreeway.com/CinemaDiverseThePalmSpringsLGBTQFilmFestival" TargetMode="External"/><Relationship Id="rId1293" Type="http://schemas.openxmlformats.org/officeDocument/2006/relationships/hyperlink" Target="https://maps.google.com/?q=181+North+11th+Street+%23401+Brooklyn%2C+NY+11211+United+States" TargetMode="External"/><Relationship Id="rId2140" Type="http://schemas.openxmlformats.org/officeDocument/2006/relationships/hyperlink" Target="http://www.shriekfest.com/" TargetMode="External"/><Relationship Id="rId461" Type="http://schemas.openxmlformats.org/officeDocument/2006/relationships/hyperlink" Target="https://palmspringsculturalcenter.org/programs/the-palm-springs-cinema-diverse-lgbtq-film-festival/" TargetMode="External"/><Relationship Id="rId1294" Type="http://schemas.openxmlformats.org/officeDocument/2006/relationships/hyperlink" Target="http://www.lesfilmfestival.com/" TargetMode="External"/><Relationship Id="rId2141" Type="http://schemas.openxmlformats.org/officeDocument/2006/relationships/hyperlink" Target="https://filmfreeway.com/ShriekfestFilmFestival" TargetMode="External"/><Relationship Id="rId460" Type="http://schemas.openxmlformats.org/officeDocument/2006/relationships/hyperlink" Target="https://filmfreeway.com/CinemaattheEdge" TargetMode="External"/><Relationship Id="rId1295" Type="http://schemas.openxmlformats.org/officeDocument/2006/relationships/hyperlink" Target="https://filmfreeway.com/lesfilmfestival" TargetMode="External"/><Relationship Id="rId2142" Type="http://schemas.openxmlformats.org/officeDocument/2006/relationships/hyperlink" Target="http://www.sicknwrongfilm.com" TargetMode="External"/><Relationship Id="rId1296" Type="http://schemas.openxmlformats.org/officeDocument/2006/relationships/hyperlink" Target="https://maps.google.com/?q=105+-+North+Forrest+Drive+Milford%2C+PA+18337+United+States" TargetMode="External"/><Relationship Id="rId2143" Type="http://schemas.openxmlformats.org/officeDocument/2006/relationships/hyperlink" Target="https://filmfreeway.com/SicknWrong" TargetMode="External"/><Relationship Id="rId466" Type="http://schemas.openxmlformats.org/officeDocument/2006/relationships/hyperlink" Target="https://maps.google.com/?q=515+Fisher+Road+Paducah%2C+Kentucky+42001-9434+United+States" TargetMode="External"/><Relationship Id="rId1297" Type="http://schemas.openxmlformats.org/officeDocument/2006/relationships/hyperlink" Target="http://www.macabrefairefilmfest.com/" TargetMode="External"/><Relationship Id="rId2144" Type="http://schemas.openxmlformats.org/officeDocument/2006/relationships/hyperlink" Target="https://www.sickchickflicksfilmfestival.com/" TargetMode="External"/><Relationship Id="rId465" Type="http://schemas.openxmlformats.org/officeDocument/2006/relationships/hyperlink" Target="https://filmfreeway.com/CinemaontheBayouFilmFestival" TargetMode="External"/><Relationship Id="rId1298" Type="http://schemas.openxmlformats.org/officeDocument/2006/relationships/hyperlink" Target="https://filmfreeway.com/MacabreFaireFilmFestival" TargetMode="External"/><Relationship Id="rId2145" Type="http://schemas.openxmlformats.org/officeDocument/2006/relationships/hyperlink" Target="https://filmfreeway.com/sickchickflicks" TargetMode="External"/><Relationship Id="rId464" Type="http://schemas.openxmlformats.org/officeDocument/2006/relationships/hyperlink" Target="http://cinemaonthebayou.com/" TargetMode="External"/><Relationship Id="rId1299" Type="http://schemas.openxmlformats.org/officeDocument/2006/relationships/hyperlink" Target="http://www.maconfilmfestival.com/" TargetMode="External"/><Relationship Id="rId2146" Type="http://schemas.openxmlformats.org/officeDocument/2006/relationships/hyperlink" Target="https://maps.google.com/?q=310+18th+St.+N.+Suite+404+Birmingham%2C+Alabama+35203+United+States" TargetMode="External"/><Relationship Id="rId463" Type="http://schemas.openxmlformats.org/officeDocument/2006/relationships/hyperlink" Target="http://www.cinemaonthebayou.com/" TargetMode="External"/><Relationship Id="rId2147" Type="http://schemas.openxmlformats.org/officeDocument/2006/relationships/hyperlink" Target="http://sidewalkfest.com/" TargetMode="External"/><Relationship Id="rId2137" Type="http://schemas.openxmlformats.org/officeDocument/2006/relationships/hyperlink" Target="https://maps.google.com/?q=136+Martin+University+of+Central+Missouri+Warrensburg%2C+MO+64093+United+States" TargetMode="External"/><Relationship Id="rId2138" Type="http://schemas.openxmlformats.org/officeDocument/2006/relationships/hyperlink" Target="http://www.showmejusticefilmfestival.com/" TargetMode="External"/><Relationship Id="rId2139" Type="http://schemas.openxmlformats.org/officeDocument/2006/relationships/hyperlink" Target="https://filmfreeway.com/SMJFF" TargetMode="External"/><Relationship Id="rId459" Type="http://schemas.openxmlformats.org/officeDocument/2006/relationships/hyperlink" Target="http://www.cinemaattheedge.com/" TargetMode="External"/><Relationship Id="rId458" Type="http://schemas.openxmlformats.org/officeDocument/2006/relationships/hyperlink" Target="http://www.cinemaattheedge.com/" TargetMode="External"/><Relationship Id="rId457" Type="http://schemas.openxmlformats.org/officeDocument/2006/relationships/hyperlink" Target="https://maps.google.com/?q=Edgemar+Center+for+the+Arts+2437+Main+Street+Santa+Monica%2C+California+90405+United+States" TargetMode="External"/><Relationship Id="rId456" Type="http://schemas.openxmlformats.org/officeDocument/2006/relationships/hyperlink" Target="https://filmfreeway.com/CineKink" TargetMode="External"/><Relationship Id="rId1280" Type="http://schemas.openxmlformats.org/officeDocument/2006/relationships/hyperlink" Target="https://jewishlouisville.org/the-j/j-arts-ideas/film-festival/" TargetMode="External"/><Relationship Id="rId1281" Type="http://schemas.openxmlformats.org/officeDocument/2006/relationships/hyperlink" Target="https://maps.google.com/?q=Louisvilles+International+Festival+of+Film+117+East+Kentucky+Street+Louisville%2C+KY+40203+United+States" TargetMode="External"/><Relationship Id="rId451" Type="http://schemas.openxmlformats.org/officeDocument/2006/relationships/hyperlink" Target="https://filmsociety.org/events/event.cfm?eveID=2" TargetMode="External"/><Relationship Id="rId1282" Type="http://schemas.openxmlformats.org/officeDocument/2006/relationships/hyperlink" Target="http://louisvillefilmfestival.org/" TargetMode="External"/><Relationship Id="rId450" Type="http://schemas.openxmlformats.org/officeDocument/2006/relationships/hyperlink" Target="http://www.cinelasamericas.org" TargetMode="External"/><Relationship Id="rId1283" Type="http://schemas.openxmlformats.org/officeDocument/2006/relationships/hyperlink" Target="https://filmfreeway.com/LouisvilleInternationalFestivalofFilm" TargetMode="External"/><Relationship Id="rId2130" Type="http://schemas.openxmlformats.org/officeDocument/2006/relationships/hyperlink" Target="https://duluthplayhouse.org/" TargetMode="External"/><Relationship Id="rId1284" Type="http://schemas.openxmlformats.org/officeDocument/2006/relationships/hyperlink" Target="https://maps.google.com/?q=7+caruso+island+court+sacramento%2C+ca+95823+United+States" TargetMode="External"/><Relationship Id="rId2131" Type="http://schemas.openxmlformats.org/officeDocument/2006/relationships/hyperlink" Target="https://filmfreeway.com/15thAnnualShortShortsFilmFestival" TargetMode="External"/><Relationship Id="rId1285" Type="http://schemas.openxmlformats.org/officeDocument/2006/relationships/hyperlink" Target="https://www.sachorrorfilmfest.com/" TargetMode="External"/><Relationship Id="rId2132" Type="http://schemas.openxmlformats.org/officeDocument/2006/relationships/hyperlink" Target="https://maps.google.com/?q=11459+Mayfield+Rd.+%23408+Cleveland%2C+Ohio+44106+United+States" TargetMode="External"/><Relationship Id="rId455" Type="http://schemas.openxmlformats.org/officeDocument/2006/relationships/hyperlink" Target="http://www.cinekink.com/" TargetMode="External"/><Relationship Id="rId1286" Type="http://schemas.openxmlformats.org/officeDocument/2006/relationships/hyperlink" Target="https://filmfreeway.com/LoveHorrorShortFilmFestival" TargetMode="External"/><Relationship Id="rId2133" Type="http://schemas.openxmlformats.org/officeDocument/2006/relationships/hyperlink" Target="http://shortsweetfilmfest.com/" TargetMode="External"/><Relationship Id="rId454" Type="http://schemas.openxmlformats.org/officeDocument/2006/relationships/hyperlink" Target="http://cinekink.com/" TargetMode="External"/><Relationship Id="rId1287" Type="http://schemas.openxmlformats.org/officeDocument/2006/relationships/hyperlink" Target="https://maps.google.com/?q=11041+Santa+Monica+Blvd.+Suite+715+Los+Angeles%2C+CA+90025+United+States" TargetMode="External"/><Relationship Id="rId2134" Type="http://schemas.openxmlformats.org/officeDocument/2006/relationships/hyperlink" Target="https://filmfreeway.com/ShortSweetFilmFest" TargetMode="External"/><Relationship Id="rId453" Type="http://schemas.openxmlformats.org/officeDocument/2006/relationships/hyperlink" Target="https://maps.google.com/?q=1092+St.+Georges+Ave.%2C+%23190+Rahway%2C+NJ+07065+United+States" TargetMode="External"/><Relationship Id="rId1288" Type="http://schemas.openxmlformats.org/officeDocument/2006/relationships/hyperlink" Target="http://loveinternationalfilmfestival.com/" TargetMode="External"/><Relationship Id="rId2135" Type="http://schemas.openxmlformats.org/officeDocument/2006/relationships/hyperlink" Target="https://nebulacreatives.com/shortcut-100-2018/" TargetMode="External"/><Relationship Id="rId452" Type="http://schemas.openxmlformats.org/officeDocument/2006/relationships/hyperlink" Target="https://filmsociety.org/events/event.cfm?eveID=2" TargetMode="External"/><Relationship Id="rId1289" Type="http://schemas.openxmlformats.org/officeDocument/2006/relationships/hyperlink" Target="https://filmfreeway.com/LoveInternationalFilmFestival" TargetMode="External"/><Relationship Id="rId2136" Type="http://schemas.openxmlformats.org/officeDocument/2006/relationships/hyperlink" Target="https://filmfreeway.com/Shortcut100" TargetMode="External"/><Relationship Id="rId491" Type="http://schemas.openxmlformats.org/officeDocument/2006/relationships/hyperlink" Target="https://filmfreeway.com/CleanShorts" TargetMode="External"/><Relationship Id="rId490" Type="http://schemas.openxmlformats.org/officeDocument/2006/relationships/hyperlink" Target="http://www.cleanshorts.org/" TargetMode="External"/><Relationship Id="rId489" Type="http://schemas.openxmlformats.org/officeDocument/2006/relationships/hyperlink" Target="https://maps.google.com/?q=4601+N.+Choctaw+Road+Choctaw%2C+Oklahoma+73020+United+States" TargetMode="External"/><Relationship Id="rId2160" Type="http://schemas.openxmlformats.org/officeDocument/2006/relationships/hyperlink" Target="https://filmfreeway.com/SiouxCityFilmFestival" TargetMode="External"/><Relationship Id="rId2161" Type="http://schemas.openxmlformats.org/officeDocument/2006/relationships/hyperlink" Target="http://www.bherc.org" TargetMode="External"/><Relationship Id="rId484" Type="http://schemas.openxmlformats.org/officeDocument/2006/relationships/hyperlink" Target="http://cinesol.com/film-festival/" TargetMode="External"/><Relationship Id="rId2162" Type="http://schemas.openxmlformats.org/officeDocument/2006/relationships/hyperlink" Target="https://maps.google.com/?q=7+N.+Loudoun+Street+Winchester%2C+VA+22601+United+States" TargetMode="External"/><Relationship Id="rId483" Type="http://schemas.openxmlformats.org/officeDocument/2006/relationships/hyperlink" Target="http://www.cinesol.com/" TargetMode="External"/><Relationship Id="rId2163" Type="http://schemas.openxmlformats.org/officeDocument/2006/relationships/hyperlink" Target="https://www.skylineindiefilmfest.org/" TargetMode="External"/><Relationship Id="rId482" Type="http://schemas.openxmlformats.org/officeDocument/2006/relationships/hyperlink" Target="https://maps.google.com/?q=3700+N.+6th+St.+%23A+McAllen%2C+TX+78501+United+States" TargetMode="External"/><Relationship Id="rId2164" Type="http://schemas.openxmlformats.org/officeDocument/2006/relationships/hyperlink" Target="https://filmfreeway.com/skylineindiefilmfest" TargetMode="External"/><Relationship Id="rId481" Type="http://schemas.openxmlformats.org/officeDocument/2006/relationships/hyperlink" Target="https://filmfreeway.com/Cinequest" TargetMode="External"/><Relationship Id="rId2165" Type="http://schemas.openxmlformats.org/officeDocument/2006/relationships/hyperlink" Target="http://www.slamdance.com/" TargetMode="External"/><Relationship Id="rId488" Type="http://schemas.openxmlformats.org/officeDocument/2006/relationships/hyperlink" Target="https://filmfreeway.com/CineYouthFestival" TargetMode="External"/><Relationship Id="rId2166" Type="http://schemas.openxmlformats.org/officeDocument/2006/relationships/hyperlink" Target="https://filmfreeway.com/SlamdanceFilmFestival" TargetMode="External"/><Relationship Id="rId487" Type="http://schemas.openxmlformats.org/officeDocument/2006/relationships/hyperlink" Target="https://www.chicagofilmfestival.com/cineyouth/" TargetMode="External"/><Relationship Id="rId2167" Type="http://schemas.openxmlformats.org/officeDocument/2006/relationships/hyperlink" Target="https://www.facebook.com/TopekaSlashandBash" TargetMode="External"/><Relationship Id="rId486" Type="http://schemas.openxmlformats.org/officeDocument/2006/relationships/hyperlink" Target="https://maps.google.com/?q=212+W.+Van+Buren+Street+Suite+400+Chicago%2C+IL+60607+United+States" TargetMode="External"/><Relationship Id="rId2168" Type="http://schemas.openxmlformats.org/officeDocument/2006/relationships/hyperlink" Target="http://www.sleepinggiantfest.com" TargetMode="External"/><Relationship Id="rId485" Type="http://schemas.openxmlformats.org/officeDocument/2006/relationships/hyperlink" Target="https://filmfreeway.com/CineSolFilmFestival" TargetMode="External"/><Relationship Id="rId2169" Type="http://schemas.openxmlformats.org/officeDocument/2006/relationships/hyperlink" Target="http://www.sleepinggiantfest.com" TargetMode="External"/><Relationship Id="rId2159" Type="http://schemas.openxmlformats.org/officeDocument/2006/relationships/hyperlink" Target="http://www.siouxcityfilmfest.org/" TargetMode="External"/><Relationship Id="rId480" Type="http://schemas.openxmlformats.org/officeDocument/2006/relationships/hyperlink" Target="https://www.cinequest.org/" TargetMode="External"/><Relationship Id="rId479" Type="http://schemas.openxmlformats.org/officeDocument/2006/relationships/hyperlink" Target="https://maps.google.com/?q=410+South+First+St.+San+Jose%2C+CA+95113+United+States" TargetMode="External"/><Relationship Id="rId478" Type="http://schemas.openxmlformats.org/officeDocument/2006/relationships/hyperlink" Target="https://filmfreeway.com/Cinepocalypse" TargetMode="External"/><Relationship Id="rId2150" Type="http://schemas.openxmlformats.org/officeDocument/2006/relationships/hyperlink" Target="https://maps.google.com/?q=5300+Melrose+Avenue+Los+Angeles%2C+CA+90038+United+States" TargetMode="External"/><Relationship Id="rId473" Type="http://schemas.openxmlformats.org/officeDocument/2006/relationships/hyperlink" Target="https://filmfreeway.com/CinemaVerdeEnvironmentalFilmandArtsFestival-556303" TargetMode="External"/><Relationship Id="rId2151" Type="http://schemas.openxmlformats.org/officeDocument/2006/relationships/hyperlink" Target="https://www.sierracanyonschool.org/page/arts/scs-film-festival" TargetMode="External"/><Relationship Id="rId472" Type="http://schemas.openxmlformats.org/officeDocument/2006/relationships/hyperlink" Target="http://www.cinemaverde.org" TargetMode="External"/><Relationship Id="rId2152" Type="http://schemas.openxmlformats.org/officeDocument/2006/relationships/hyperlink" Target="https://filmfreeway.com/SierraCanyonFilmFestival" TargetMode="External"/><Relationship Id="rId471" Type="http://schemas.openxmlformats.org/officeDocument/2006/relationships/hyperlink" Target="https://filmfreeway.com/ctdfilmfest" TargetMode="External"/><Relationship Id="rId2153" Type="http://schemas.openxmlformats.org/officeDocument/2006/relationships/hyperlink" Target="https://maps.google.com/?q=23800+Via+Del+Rio+Yorba+Linda%2C+CA+92887+United+States" TargetMode="External"/><Relationship Id="rId470" Type="http://schemas.openxmlformats.org/officeDocument/2006/relationships/hyperlink" Target="https://www.txdisabilities.org/news-events/film-festival/filmfestival-2018/about6" TargetMode="External"/><Relationship Id="rId2154" Type="http://schemas.openxmlformats.org/officeDocument/2006/relationships/hyperlink" Target="https://sikhlens.com/" TargetMode="External"/><Relationship Id="rId477" Type="http://schemas.openxmlformats.org/officeDocument/2006/relationships/hyperlink" Target="https://www.musicboxtheatre.com/" TargetMode="External"/><Relationship Id="rId2155" Type="http://schemas.openxmlformats.org/officeDocument/2006/relationships/hyperlink" Target="https://filmfreeway.com/Sikhlens" TargetMode="External"/><Relationship Id="rId476" Type="http://schemas.openxmlformats.org/officeDocument/2006/relationships/hyperlink" Target="https://maps.google.com/?q=3733+N+Southport+Ave+Chicago%2C+Illinois+60613+United+States" TargetMode="External"/><Relationship Id="rId2156" Type="http://schemas.openxmlformats.org/officeDocument/2006/relationships/hyperlink" Target="http://siliconvalleyfilm.com" TargetMode="External"/><Relationship Id="rId475" Type="http://schemas.openxmlformats.org/officeDocument/2006/relationships/hyperlink" Target="https://www.cinemarfa.org/" TargetMode="External"/><Relationship Id="rId2157" Type="http://schemas.openxmlformats.org/officeDocument/2006/relationships/hyperlink" Target="https://filmfreeway.com/SiliconValleyInternationalFilmFestival" TargetMode="External"/><Relationship Id="rId474" Type="http://schemas.openxmlformats.org/officeDocument/2006/relationships/hyperlink" Target="https://maps.google.com/?q=PO+Box+817+Marfa%2C+Texas+79843+United+States" TargetMode="External"/><Relationship Id="rId2158" Type="http://schemas.openxmlformats.org/officeDocument/2006/relationships/hyperlink" Target="https://maps.google.com/?q=3715+Cheyenne+Boulevard+Sioux+City%2C+IA+51104+United+States" TargetMode="External"/><Relationship Id="rId1257" Type="http://schemas.openxmlformats.org/officeDocument/2006/relationships/hyperlink" Target="https://filmfreeway.com/LosAngelesGreekFilmFestival" TargetMode="External"/><Relationship Id="rId2104" Type="http://schemas.openxmlformats.org/officeDocument/2006/relationships/hyperlink" Target="http://www.polishfilms.org" TargetMode="External"/><Relationship Id="rId1258" Type="http://schemas.openxmlformats.org/officeDocument/2006/relationships/hyperlink" Target="https://filmfreeway.com/festival/LosAngelesInternationalChildrensFilmFestival" TargetMode="External"/><Relationship Id="rId2105" Type="http://schemas.openxmlformats.org/officeDocument/2006/relationships/hyperlink" Target="https://threedollarbillcinema.org/seaqueerfilmfest" TargetMode="External"/><Relationship Id="rId1259" Type="http://schemas.openxmlformats.org/officeDocument/2006/relationships/hyperlink" Target="https://www.childrensfilmla.org/" TargetMode="External"/><Relationship Id="rId2106" Type="http://schemas.openxmlformats.org/officeDocument/2006/relationships/hyperlink" Target="https://filmfreeway.com/sqff" TargetMode="External"/><Relationship Id="rId2107" Type="http://schemas.openxmlformats.org/officeDocument/2006/relationships/hyperlink" Target="https://maps.google.com/?q=316+S+Maynard+Ave+S+%23107+Seattle%2C+WA+98104+United+States" TargetMode="External"/><Relationship Id="rId2108" Type="http://schemas.openxmlformats.org/officeDocument/2006/relationships/hyperlink" Target="http://trueindependent.org/" TargetMode="External"/><Relationship Id="rId2109" Type="http://schemas.openxmlformats.org/officeDocument/2006/relationships/hyperlink" Target="https://filmfreeway.com/STIFF" TargetMode="External"/><Relationship Id="rId426" Type="http://schemas.openxmlformats.org/officeDocument/2006/relationships/hyperlink" Target="https://www.chicagofilmfestival.com/" TargetMode="External"/><Relationship Id="rId425" Type="http://schemas.openxmlformats.org/officeDocument/2006/relationships/hyperlink" Target="https://maps.google.com/?q=212+W.+Van+Buren+St.+Ste.+400+Chicago%2C+IL+60607+United+States" TargetMode="External"/><Relationship Id="rId424" Type="http://schemas.openxmlformats.org/officeDocument/2006/relationships/hyperlink" Target="https://filmfreeway.com/ChicagoInternationalChildrensFilmFestival" TargetMode="External"/><Relationship Id="rId423" Type="http://schemas.openxmlformats.org/officeDocument/2006/relationships/hyperlink" Target="https://festival.facets.org/" TargetMode="External"/><Relationship Id="rId429" Type="http://schemas.openxmlformats.org/officeDocument/2006/relationships/hyperlink" Target="http://www.projectchicago.com/" TargetMode="External"/><Relationship Id="rId428" Type="http://schemas.openxmlformats.org/officeDocument/2006/relationships/hyperlink" Target="https://maps.google.com/?q=2700+W+Grand+Ave+Chicago%2C+IL+60612+United+States" TargetMode="External"/><Relationship Id="rId427" Type="http://schemas.openxmlformats.org/officeDocument/2006/relationships/hyperlink" Target="https://filmfreeway.com/ChicagoInternationalFilmFestival" TargetMode="External"/><Relationship Id="rId1250" Type="http://schemas.openxmlformats.org/officeDocument/2006/relationships/hyperlink" Target="https://maps.google.com/?q=120+Judge+John+Aiso+Street+Los+Angeles%2C+California+90012+United+States" TargetMode="External"/><Relationship Id="rId1251" Type="http://schemas.openxmlformats.org/officeDocument/2006/relationships/hyperlink" Target="http://festival.vconline.org/2018/" TargetMode="External"/><Relationship Id="rId1252" Type="http://schemas.openxmlformats.org/officeDocument/2006/relationships/hyperlink" Target="https://filmfreeway.com/laapff" TargetMode="External"/><Relationship Id="rId422" Type="http://schemas.openxmlformats.org/officeDocument/2006/relationships/hyperlink" Target="https://maps.google.com/?q=1517+W.+Fullerton+Avenue+Chicago%2C+Illinois+60614+United+States" TargetMode="External"/><Relationship Id="rId1253" Type="http://schemas.openxmlformats.org/officeDocument/2006/relationships/hyperlink" Target="https://www.ladff.com/" TargetMode="External"/><Relationship Id="rId2100" Type="http://schemas.openxmlformats.org/officeDocument/2006/relationships/hyperlink" Target="http://www.seattlejewishfilmfestival.org/" TargetMode="External"/><Relationship Id="rId421" Type="http://schemas.openxmlformats.org/officeDocument/2006/relationships/hyperlink" Target="https://filmfreeway.com/ChicagoHorrorFest" TargetMode="External"/><Relationship Id="rId1254" Type="http://schemas.openxmlformats.org/officeDocument/2006/relationships/hyperlink" Target="https://filmfreeway.com/LADFF" TargetMode="External"/><Relationship Id="rId2101" Type="http://schemas.openxmlformats.org/officeDocument/2006/relationships/hyperlink" Target="https://filmfreeway.com/SeattleJewishFilmFestival" TargetMode="External"/><Relationship Id="rId420" Type="http://schemas.openxmlformats.org/officeDocument/2006/relationships/hyperlink" Target="http://www.chicagohorrorfest.com/" TargetMode="External"/><Relationship Id="rId1255" Type="http://schemas.openxmlformats.org/officeDocument/2006/relationships/hyperlink" Target="https://maps.google.com/?q=13547+Ventura+Blvd+Suite+%23438+Sherman+Oaks%2C+CA+91423+United+States" TargetMode="External"/><Relationship Id="rId2102" Type="http://schemas.openxmlformats.org/officeDocument/2006/relationships/hyperlink" Target="https://www.slatinoff.org/" TargetMode="External"/><Relationship Id="rId1256" Type="http://schemas.openxmlformats.org/officeDocument/2006/relationships/hyperlink" Target="http://lagff.org/" TargetMode="External"/><Relationship Id="rId2103" Type="http://schemas.openxmlformats.org/officeDocument/2006/relationships/hyperlink" Target="https://filmfreeway.com/SeattleLatinoFilmFestival-1480669" TargetMode="External"/><Relationship Id="rId1246" Type="http://schemas.openxmlformats.org/officeDocument/2006/relationships/hyperlink" Target="https://filmfreeway.com/LookoutWildFilmFestival" TargetMode="External"/><Relationship Id="rId1247" Type="http://schemas.openxmlformats.org/officeDocument/2006/relationships/hyperlink" Target="http://www.laafest.com/" TargetMode="External"/><Relationship Id="rId1248" Type="http://schemas.openxmlformats.org/officeDocument/2006/relationships/hyperlink" Target="http://blog.laafest.com/" TargetMode="External"/><Relationship Id="rId1249" Type="http://schemas.openxmlformats.org/officeDocument/2006/relationships/hyperlink" Target="https://filmfreeway.com/LAAF" TargetMode="External"/><Relationship Id="rId415" Type="http://schemas.openxmlformats.org/officeDocument/2006/relationships/hyperlink" Target="https://www.chelseafilm.org/" TargetMode="External"/><Relationship Id="rId899" Type="http://schemas.openxmlformats.org/officeDocument/2006/relationships/hyperlink" Target="http://www.greenwichfilm.org/" TargetMode="External"/><Relationship Id="rId414" Type="http://schemas.openxmlformats.org/officeDocument/2006/relationships/hyperlink" Target="https://filmfreeway.com/ChautauquaInternationalFilmFestivalCIFF" TargetMode="External"/><Relationship Id="rId898" Type="http://schemas.openxmlformats.org/officeDocument/2006/relationships/hyperlink" Target="http://www.greenwichfilm.org/" TargetMode="External"/><Relationship Id="rId413" Type="http://schemas.openxmlformats.org/officeDocument/2006/relationships/hyperlink" Target="http://www.ciff.us/" TargetMode="External"/><Relationship Id="rId897" Type="http://schemas.openxmlformats.org/officeDocument/2006/relationships/hyperlink" Target="https://filmfreeway.com/GreenpointFilmFestival" TargetMode="External"/><Relationship Id="rId412" Type="http://schemas.openxmlformats.org/officeDocument/2006/relationships/hyperlink" Target="https://filmfreeway.com/ChattanoogaFilmFest" TargetMode="External"/><Relationship Id="rId896" Type="http://schemas.openxmlformats.org/officeDocument/2006/relationships/hyperlink" Target="http://greenpointfilmfestival.org/" TargetMode="External"/><Relationship Id="rId419" Type="http://schemas.openxmlformats.org/officeDocument/2006/relationships/hyperlink" Target="https://filmfreeway.com/ChicagoComedyFilmFestival" TargetMode="External"/><Relationship Id="rId418" Type="http://schemas.openxmlformats.org/officeDocument/2006/relationships/hyperlink" Target="https://www.chicagocomedyfilmfestival.com/" TargetMode="External"/><Relationship Id="rId417" Type="http://schemas.openxmlformats.org/officeDocument/2006/relationships/hyperlink" Target="https://maps.google.com/?q=1846+W+Lunt+Ave.+Chicago%2C+IL+60660+United+States" TargetMode="External"/><Relationship Id="rId416" Type="http://schemas.openxmlformats.org/officeDocument/2006/relationships/hyperlink" Target="https://filmfreeway.com/ChelseaFilmFestival" TargetMode="External"/><Relationship Id="rId891" Type="http://schemas.openxmlformats.org/officeDocument/2006/relationships/hyperlink" Target="https://filmfreeway.com/GreatLakesInternationalFilmFestival" TargetMode="External"/><Relationship Id="rId890" Type="http://schemas.openxmlformats.org/officeDocument/2006/relationships/hyperlink" Target="http://greatlakesfilmfest.com/" TargetMode="External"/><Relationship Id="rId1240" Type="http://schemas.openxmlformats.org/officeDocument/2006/relationships/hyperlink" Target="http://www.longleaffilmfestival.com/" TargetMode="External"/><Relationship Id="rId1241" Type="http://schemas.openxmlformats.org/officeDocument/2006/relationships/hyperlink" Target="https://filmfreeway.com/LongleafFilmFestival" TargetMode="External"/><Relationship Id="rId411" Type="http://schemas.openxmlformats.org/officeDocument/2006/relationships/hyperlink" Target="https://www.chattfilmfest.org/" TargetMode="External"/><Relationship Id="rId895" Type="http://schemas.openxmlformats.org/officeDocument/2006/relationships/hyperlink" Target="https://www.gmffestival.org/" TargetMode="External"/><Relationship Id="rId1242" Type="http://schemas.openxmlformats.org/officeDocument/2006/relationships/hyperlink" Target="https://maps.google.com/?q=Bedford+Building%2C+Longwood+University+201+High+Street+Farmville%2C+VA+23909+United+States" TargetMode="External"/><Relationship Id="rId410" Type="http://schemas.openxmlformats.org/officeDocument/2006/relationships/hyperlink" Target="https://maps.google.com/?q=818+Georgia+Ave.+Unit+224+Chattanooga%2C+TN+37402+United+States" TargetMode="External"/><Relationship Id="rId894" Type="http://schemas.openxmlformats.org/officeDocument/2006/relationships/hyperlink" Target="https://filmfreeway.com/GBFF" TargetMode="External"/><Relationship Id="rId1243" Type="http://schemas.openxmlformats.org/officeDocument/2006/relationships/hyperlink" Target="https://longwoodlaff.wixsite.com/laff" TargetMode="External"/><Relationship Id="rId893" Type="http://schemas.openxmlformats.org/officeDocument/2006/relationships/hyperlink" Target="https://www.gbfilmfestival.org/" TargetMode="External"/><Relationship Id="rId1244" Type="http://schemas.openxmlformats.org/officeDocument/2006/relationships/hyperlink" Target="https://filmfreeway.com/LongwoodAnimationFilmFestival" TargetMode="External"/><Relationship Id="rId892" Type="http://schemas.openxmlformats.org/officeDocument/2006/relationships/hyperlink" Target="http://www.gcuff.org/" TargetMode="External"/><Relationship Id="rId1245" Type="http://schemas.openxmlformats.org/officeDocument/2006/relationships/hyperlink" Target="https://lookoutfilmfestival.org/" TargetMode="External"/><Relationship Id="rId1279" Type="http://schemas.openxmlformats.org/officeDocument/2006/relationships/hyperlink" Target="http://www.losangelesitalia.com/" TargetMode="External"/><Relationship Id="rId2126" Type="http://schemas.openxmlformats.org/officeDocument/2006/relationships/hyperlink" Target="https://maps.google.com/?q=15021+Ventura+Blvd+Suite+523+Sherman+Oaks%2C+CA+91403+United+States" TargetMode="External"/><Relationship Id="rId2127" Type="http://schemas.openxmlformats.org/officeDocument/2006/relationships/hyperlink" Target="http://shermanoaksfilmfestival.com/" TargetMode="External"/><Relationship Id="rId2128" Type="http://schemas.openxmlformats.org/officeDocument/2006/relationships/hyperlink" Target="https://filmfreeway.com/shermanoaksfilmfest" TargetMode="External"/><Relationship Id="rId2129" Type="http://schemas.openxmlformats.org/officeDocument/2006/relationships/hyperlink" Target="https://maps.google.com/?q=506+West+Michigan+Street+Duluth%2C+MN+55802+United+States" TargetMode="External"/><Relationship Id="rId448" Type="http://schemas.openxmlformats.org/officeDocument/2006/relationships/hyperlink" Target="http://www.christianyouthfilmfestival.org/" TargetMode="External"/><Relationship Id="rId447" Type="http://schemas.openxmlformats.org/officeDocument/2006/relationships/hyperlink" Target="http://www.childrensfilmfestivalseattle.org" TargetMode="External"/><Relationship Id="rId446" Type="http://schemas.openxmlformats.org/officeDocument/2006/relationships/hyperlink" Target="https://filmfreeway.com/CIFFCalifornia" TargetMode="External"/><Relationship Id="rId445" Type="http://schemas.openxmlformats.org/officeDocument/2006/relationships/hyperlink" Target="https://www.chicoindie.com/" TargetMode="External"/><Relationship Id="rId449" Type="http://schemas.openxmlformats.org/officeDocument/2006/relationships/hyperlink" Target="https://filmfreeway.com/ChristianYouthFilmFestival" TargetMode="External"/><Relationship Id="rId1270" Type="http://schemas.openxmlformats.org/officeDocument/2006/relationships/hyperlink" Target="https://maps.google.com/?q=4872+Topanga+Canyon+Blvd.+%23217+Los+Angeles%2C+CA+91364+United+States" TargetMode="External"/><Relationship Id="rId440" Type="http://schemas.openxmlformats.org/officeDocument/2006/relationships/hyperlink" Target="https://filmfreeway.com/CSAFFestival" TargetMode="External"/><Relationship Id="rId1271" Type="http://schemas.openxmlformats.org/officeDocument/2006/relationships/hyperlink" Target="http://www.lareelfilmfest.com" TargetMode="External"/><Relationship Id="rId1272" Type="http://schemas.openxmlformats.org/officeDocument/2006/relationships/hyperlink" Target="https://filmfreeway.com/losangelesreelfilmfestival" TargetMode="External"/><Relationship Id="rId1273" Type="http://schemas.openxmlformats.org/officeDocument/2006/relationships/hyperlink" Target="https://www.lasff.com/" TargetMode="External"/><Relationship Id="rId2120" Type="http://schemas.openxmlformats.org/officeDocument/2006/relationships/hyperlink" Target="http://www.sfshorts.org/" TargetMode="External"/><Relationship Id="rId1274" Type="http://schemas.openxmlformats.org/officeDocument/2006/relationships/hyperlink" Target="https://filmfreeway.com/losangelesshortfilmfestival" TargetMode="External"/><Relationship Id="rId2121" Type="http://schemas.openxmlformats.org/officeDocument/2006/relationships/hyperlink" Target="http://www.sfshorts.org/" TargetMode="External"/><Relationship Id="rId444" Type="http://schemas.openxmlformats.org/officeDocument/2006/relationships/hyperlink" Target="https://filmfreeway.com/ChicagoUndergroundFilmFestival" TargetMode="External"/><Relationship Id="rId1275" Type="http://schemas.openxmlformats.org/officeDocument/2006/relationships/hyperlink" Target="https://maps.google.com/?q=1317+N+San+Fernando+blvd+%23340+Burbank%2C+CA+91504+United+States" TargetMode="External"/><Relationship Id="rId2122" Type="http://schemas.openxmlformats.org/officeDocument/2006/relationships/hyperlink" Target="https://filmfreeway.com/SFShorts" TargetMode="External"/><Relationship Id="rId443" Type="http://schemas.openxmlformats.org/officeDocument/2006/relationships/hyperlink" Target="https://cuff.org/" TargetMode="External"/><Relationship Id="rId1276" Type="http://schemas.openxmlformats.org/officeDocument/2006/relationships/hyperlink" Target="http://www.lawomensfest.com/" TargetMode="External"/><Relationship Id="rId2123" Type="http://schemas.openxmlformats.org/officeDocument/2006/relationships/hyperlink" Target="https://maps.google.com/?q=Shawna+Shea+Film+Festival+194+Granite+Street+Uxbridge%2C+MA+01569+United+States" TargetMode="External"/><Relationship Id="rId442" Type="http://schemas.openxmlformats.org/officeDocument/2006/relationships/hyperlink" Target="http://cuff.org/" TargetMode="External"/><Relationship Id="rId1277" Type="http://schemas.openxmlformats.org/officeDocument/2006/relationships/hyperlink" Target="https://filmfreeway.com/lawomensfest" TargetMode="External"/><Relationship Id="rId2124" Type="http://schemas.openxmlformats.org/officeDocument/2006/relationships/hyperlink" Target="https://www.shawnasheaff.org/" TargetMode="External"/><Relationship Id="rId441" Type="http://schemas.openxmlformats.org/officeDocument/2006/relationships/hyperlink" Target="https://maps.google.com/?q=2558+W+16th+Street+Stage+18+Chicago%2C+IL+60608+United+States" TargetMode="External"/><Relationship Id="rId1278" Type="http://schemas.openxmlformats.org/officeDocument/2006/relationships/hyperlink" Target="http://www.losangelesitalia.com/" TargetMode="External"/><Relationship Id="rId2125" Type="http://schemas.openxmlformats.org/officeDocument/2006/relationships/hyperlink" Target="https://filmfreeway.com/TheShawnaSheaFilmFestival" TargetMode="External"/><Relationship Id="rId1268" Type="http://schemas.openxmlformats.org/officeDocument/2006/relationships/hyperlink" Target="https://filmfreeway.com/LosAngelesJewishFilmFestival" TargetMode="External"/><Relationship Id="rId2115" Type="http://schemas.openxmlformats.org/officeDocument/2006/relationships/hyperlink" Target="https://filmfreeway.com/SedonaInternationalFilmFestival" TargetMode="External"/><Relationship Id="rId1269" Type="http://schemas.openxmlformats.org/officeDocument/2006/relationships/hyperlink" Target="https://latinofilm.org" TargetMode="External"/><Relationship Id="rId2116" Type="http://schemas.openxmlformats.org/officeDocument/2006/relationships/hyperlink" Target="https://maps.google.com/?q=58+Tourtellot+Hill+Road+Chepachet%2C+RI+02814+United+States" TargetMode="External"/><Relationship Id="rId2117" Type="http://schemas.openxmlformats.org/officeDocument/2006/relationships/hyperlink" Target="https://www.senefest.com/" TargetMode="External"/><Relationship Id="rId2118" Type="http://schemas.openxmlformats.org/officeDocument/2006/relationships/hyperlink" Target="https://filmfreeway.com/SENE" TargetMode="External"/><Relationship Id="rId2119" Type="http://schemas.openxmlformats.org/officeDocument/2006/relationships/hyperlink" Target="https://maps.google.com/?q=PO+Box+1859+Murphys%2C+CA+95247+United+States" TargetMode="External"/><Relationship Id="rId437" Type="http://schemas.openxmlformats.org/officeDocument/2006/relationships/hyperlink" Target="https://chicagolatinofilmfestival.org/" TargetMode="External"/><Relationship Id="rId436" Type="http://schemas.openxmlformats.org/officeDocument/2006/relationships/hyperlink" Target="https://maps.google.com/?q=55+W.+Van+Buren+St.%2C+Suite+310+Chicago%2C+Illinois+60605+United+States" TargetMode="External"/><Relationship Id="rId435" Type="http://schemas.openxmlformats.org/officeDocument/2006/relationships/hyperlink" Target="https://filmfreeway.com/JCCChicagoJewishFilmFestival" TargetMode="External"/><Relationship Id="rId434" Type="http://schemas.openxmlformats.org/officeDocument/2006/relationships/hyperlink" Target="https://jccfilmfest.jccchicago.org/" TargetMode="External"/><Relationship Id="rId439" Type="http://schemas.openxmlformats.org/officeDocument/2006/relationships/hyperlink" Target="http://www.csaff.org/" TargetMode="External"/><Relationship Id="rId438" Type="http://schemas.openxmlformats.org/officeDocument/2006/relationships/hyperlink" Target="https://filmfreeway.com/ChicagoLatinoFilmFestival" TargetMode="External"/><Relationship Id="rId1260" Type="http://schemas.openxmlformats.org/officeDocument/2006/relationships/hyperlink" Target="https://filmfreeway.com/LosAngelesInternationalChildrensFilmFestival" TargetMode="External"/><Relationship Id="rId1261" Type="http://schemas.openxmlformats.org/officeDocument/2006/relationships/hyperlink" Target="https://maps.google.com/?q=22817+Ventura+Blvd.+%23173+Los+Angeles%2C+CA+91364+United+States" TargetMode="External"/><Relationship Id="rId1262" Type="http://schemas.openxmlformats.org/officeDocument/2006/relationships/hyperlink" Target="http://www.laufilmfest.com/" TargetMode="External"/><Relationship Id="rId1263" Type="http://schemas.openxmlformats.org/officeDocument/2006/relationships/hyperlink" Target="http://www.laufilmfest.com/LAIUFF_HOME.html" TargetMode="External"/><Relationship Id="rId2110" Type="http://schemas.openxmlformats.org/officeDocument/2006/relationships/hyperlink" Target="https://maps.google.com/?q=282+S.+High+St+Sebastopol%2C+CA+95472+United+States" TargetMode="External"/><Relationship Id="rId433" Type="http://schemas.openxmlformats.org/officeDocument/2006/relationships/hyperlink" Target="https://filmfreeway.com/ChicagoIrishFilmFestival" TargetMode="External"/><Relationship Id="rId1264" Type="http://schemas.openxmlformats.org/officeDocument/2006/relationships/hyperlink" Target="https://filmfreeway.com/LosAngelesInternationalUndergroundFilmFestival" TargetMode="External"/><Relationship Id="rId2111" Type="http://schemas.openxmlformats.org/officeDocument/2006/relationships/hyperlink" Target="https://sebastopolfilmfestival.org/" TargetMode="External"/><Relationship Id="rId432" Type="http://schemas.openxmlformats.org/officeDocument/2006/relationships/hyperlink" Target="http://www.chicagoirishfilmfestival.com/" TargetMode="External"/><Relationship Id="rId1265" Type="http://schemas.openxmlformats.org/officeDocument/2006/relationships/hyperlink" Target="https://maps.google.com/?q=3250+Wilshire+Blvd.%2C+Suite+1250+Los+Angeles%2C+CA+90010+United+States" TargetMode="External"/><Relationship Id="rId2112" Type="http://schemas.openxmlformats.org/officeDocument/2006/relationships/hyperlink" Target="https://filmfreeway.com/SebastopolDocumentaryFilmFestival" TargetMode="External"/><Relationship Id="rId431" Type="http://schemas.openxmlformats.org/officeDocument/2006/relationships/hyperlink" Target="https://maps.google.com/?q=1112+N.+Milwaukee+Avenue+Chicago%2C+IL+60642+United+States" TargetMode="External"/><Relationship Id="rId1266" Type="http://schemas.openxmlformats.org/officeDocument/2006/relationships/hyperlink" Target="http://lajfilmfest.org/" TargetMode="External"/><Relationship Id="rId2113" Type="http://schemas.openxmlformats.org/officeDocument/2006/relationships/hyperlink" Target="https://maps.google.com/?q=2030+W+State+Rte+89A+Ste+A3+Sedona%2C+Arizona+86336+United+States" TargetMode="External"/><Relationship Id="rId430" Type="http://schemas.openxmlformats.org/officeDocument/2006/relationships/hyperlink" Target="https://filmfreeway.com/ChicagoREELSHORTSFilmFetival" TargetMode="External"/><Relationship Id="rId1267" Type="http://schemas.openxmlformats.org/officeDocument/2006/relationships/hyperlink" Target="http://lajfilmfest.org/" TargetMode="External"/><Relationship Id="rId2114" Type="http://schemas.openxmlformats.org/officeDocument/2006/relationships/hyperlink" Target="http://www.sedonafilmfestival.org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8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9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0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1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2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3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4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5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m.org" TargetMode="External"/><Relationship Id="rId2" Type="http://schemas.openxmlformats.org/officeDocument/2006/relationships/hyperlink" Target="http://www.abff.com/" TargetMode="External"/><Relationship Id="rId3" Type="http://schemas.openxmlformats.org/officeDocument/2006/relationships/hyperlink" Target="http://www.abff.com/" TargetMode="External"/><Relationship Id="rId4" Type="http://schemas.openxmlformats.org/officeDocument/2006/relationships/hyperlink" Target="https://filmfreeway.com/AmericanBlackFilmFestival" TargetMode="External"/><Relationship Id="rId9" Type="http://schemas.openxmlformats.org/officeDocument/2006/relationships/hyperlink" Target="https://filmfreeway.com/NantucketFilmFestival" TargetMode="External"/><Relationship Id="rId382" Type="http://schemas.openxmlformats.org/officeDocument/2006/relationships/drawing" Target="../drawings/drawing2.xml"/><Relationship Id="rId5" Type="http://schemas.openxmlformats.org/officeDocument/2006/relationships/hyperlink" Target="https://www.mammothlakesfilmfestival.com/" TargetMode="External"/><Relationship Id="rId6" Type="http://schemas.openxmlformats.org/officeDocument/2006/relationships/hyperlink" Target="https://filmfreeway.com/MammothLakesFilmFestival" TargetMode="External"/><Relationship Id="rId7" Type="http://schemas.openxmlformats.org/officeDocument/2006/relationships/hyperlink" Target="http://www.nantucketfilmfestival.org/" TargetMode="External"/><Relationship Id="rId8" Type="http://schemas.openxmlformats.org/officeDocument/2006/relationships/hyperlink" Target="http://nantucketfilmfestival.org/" TargetMode="External"/><Relationship Id="rId381" Type="http://schemas.openxmlformats.org/officeDocument/2006/relationships/hyperlink" Target="https://filmfreeway.com/OnionCityFF" TargetMode="External"/><Relationship Id="rId380" Type="http://schemas.openxmlformats.org/officeDocument/2006/relationships/hyperlink" Target="http://www.onioncityfilmfest.org/" TargetMode="External"/><Relationship Id="rId379" Type="http://schemas.openxmlformats.org/officeDocument/2006/relationships/hyperlink" Target="https://filmfreeway.com/IOFF2020" TargetMode="External"/><Relationship Id="rId374" Type="http://schemas.openxmlformats.org/officeDocument/2006/relationships/hyperlink" Target="https://miamifilmfestival.com/" TargetMode="External"/><Relationship Id="rId373" Type="http://schemas.openxmlformats.org/officeDocument/2006/relationships/hyperlink" Target="https://filmfreeway.com/Cinequest" TargetMode="External"/><Relationship Id="rId372" Type="http://schemas.openxmlformats.org/officeDocument/2006/relationships/hyperlink" Target="https://www.cinequest.org/" TargetMode="External"/><Relationship Id="rId371" Type="http://schemas.openxmlformats.org/officeDocument/2006/relationships/hyperlink" Target="http://www.lightfieldfilm.org/2020-call-for-submissions" TargetMode="External"/><Relationship Id="rId378" Type="http://schemas.openxmlformats.org/officeDocument/2006/relationships/hyperlink" Target="http://intloceanfilmfest.org/" TargetMode="External"/><Relationship Id="rId377" Type="http://schemas.openxmlformats.org/officeDocument/2006/relationships/hyperlink" Target="https://filmfreeway.com/SBJFF" TargetMode="External"/><Relationship Id="rId376" Type="http://schemas.openxmlformats.org/officeDocument/2006/relationships/hyperlink" Target="https://www.sbjewishfilmfestival.org/" TargetMode="External"/><Relationship Id="rId375" Type="http://schemas.openxmlformats.org/officeDocument/2006/relationships/hyperlink" Target="https://filmfreeway.com/MiamiFilmFestival" TargetMode="External"/><Relationship Id="rId40" Type="http://schemas.openxmlformats.org/officeDocument/2006/relationships/hyperlink" Target="http://www.difestofanim.com/" TargetMode="External"/><Relationship Id="rId42" Type="http://schemas.openxmlformats.org/officeDocument/2006/relationships/hyperlink" Target="http://cuff.org/" TargetMode="External"/><Relationship Id="rId41" Type="http://schemas.openxmlformats.org/officeDocument/2006/relationships/hyperlink" Target="https://filmfreeway.com/difestofanim" TargetMode="External"/><Relationship Id="rId44" Type="http://schemas.openxmlformats.org/officeDocument/2006/relationships/hyperlink" Target="https://filmfreeway.com/ChicagoUndergroundFilmFestival" TargetMode="External"/><Relationship Id="rId43" Type="http://schemas.openxmlformats.org/officeDocument/2006/relationships/hyperlink" Target="https://cuff.org/" TargetMode="External"/><Relationship Id="rId46" Type="http://schemas.openxmlformats.org/officeDocument/2006/relationships/hyperlink" Target="https://filmfreeway.com/Mountainfilm" TargetMode="External"/><Relationship Id="rId45" Type="http://schemas.openxmlformats.org/officeDocument/2006/relationships/hyperlink" Target="https://www.mountainfilm.org/" TargetMode="External"/><Relationship Id="rId48" Type="http://schemas.openxmlformats.org/officeDocument/2006/relationships/hyperlink" Target="https://filmfreeway.com/HillCountryFilmFestival" TargetMode="External"/><Relationship Id="rId47" Type="http://schemas.openxmlformats.org/officeDocument/2006/relationships/hyperlink" Target="http://www.hillcountryff.com/" TargetMode="External"/><Relationship Id="rId49" Type="http://schemas.openxmlformats.org/officeDocument/2006/relationships/hyperlink" Target="https://www.langstonseattle.org/lhaaff/" TargetMode="External"/><Relationship Id="rId31" Type="http://schemas.openxmlformats.org/officeDocument/2006/relationships/hyperlink" Target="http://www.crifm.org/" TargetMode="External"/><Relationship Id="rId30" Type="http://schemas.openxmlformats.org/officeDocument/2006/relationships/hyperlink" Target="https://filmfreeway.com/CharlotteBlackFilmFestival" TargetMode="External"/><Relationship Id="rId33" Type="http://schemas.openxmlformats.org/officeDocument/2006/relationships/hyperlink" Target="https://filmfreeway.com/NYCSDFF" TargetMode="External"/><Relationship Id="rId32" Type="http://schemas.openxmlformats.org/officeDocument/2006/relationships/hyperlink" Target="http://nycsdff.com/" TargetMode="External"/><Relationship Id="rId35" Type="http://schemas.openxmlformats.org/officeDocument/2006/relationships/hyperlink" Target="https://filmfreeway.com/NYCSCFF" TargetMode="External"/><Relationship Id="rId34" Type="http://schemas.openxmlformats.org/officeDocument/2006/relationships/hyperlink" Target="http://nycscff.com/" TargetMode="External"/><Relationship Id="rId37" Type="http://schemas.openxmlformats.org/officeDocument/2006/relationships/hyperlink" Target="https://filmfreeway.com/LosAngelesGreekFilmFestival" TargetMode="External"/><Relationship Id="rId36" Type="http://schemas.openxmlformats.org/officeDocument/2006/relationships/hyperlink" Target="http://lagff.org/" TargetMode="External"/><Relationship Id="rId39" Type="http://schemas.openxmlformats.org/officeDocument/2006/relationships/hyperlink" Target="https://filmfreeway.com/JFilmFestival" TargetMode="External"/><Relationship Id="rId38" Type="http://schemas.openxmlformats.org/officeDocument/2006/relationships/hyperlink" Target="https://filmpittsburgh.org/pages/jfilm" TargetMode="External"/><Relationship Id="rId20" Type="http://schemas.openxmlformats.org/officeDocument/2006/relationships/hyperlink" Target="https://filmfreeway.com/JulienDubuqueInternationalFilmFestival" TargetMode="External"/><Relationship Id="rId22" Type="http://schemas.openxmlformats.org/officeDocument/2006/relationships/hyperlink" Target="https://filmfreeway.com/FreepFilmFestival" TargetMode="External"/><Relationship Id="rId21" Type="http://schemas.openxmlformats.org/officeDocument/2006/relationships/hyperlink" Target="https://freepfilmfestival.com/" TargetMode="External"/><Relationship Id="rId24" Type="http://schemas.openxmlformats.org/officeDocument/2006/relationships/hyperlink" Target="https://filmfreeway.com/AustinComedyShortFilmFestival" TargetMode="External"/><Relationship Id="rId23" Type="http://schemas.openxmlformats.org/officeDocument/2006/relationships/hyperlink" Target="https://info.filmfestivalcircuit.com/austin-comedy-short-film-festival" TargetMode="External"/><Relationship Id="rId26" Type="http://schemas.openxmlformats.org/officeDocument/2006/relationships/hyperlink" Target="https://filmfreeway.com/HoustonComedyFilmFestival" TargetMode="External"/><Relationship Id="rId25" Type="http://schemas.openxmlformats.org/officeDocument/2006/relationships/hyperlink" Target="https://info.filmfestivalcircuit.com/houston-comedy-film-festival" TargetMode="External"/><Relationship Id="rId28" Type="http://schemas.openxmlformats.org/officeDocument/2006/relationships/hyperlink" Target="https://filmfreeway.com/SouthernArizonaIndependentFilmFestival" TargetMode="External"/><Relationship Id="rId27" Type="http://schemas.openxmlformats.org/officeDocument/2006/relationships/hyperlink" Target="http://www.willcoxfilmfest.com/SAIFF/" TargetMode="External"/><Relationship Id="rId29" Type="http://schemas.openxmlformats.org/officeDocument/2006/relationships/hyperlink" Target="http://charlotteblackfilmfestival.com/" TargetMode="External"/><Relationship Id="rId11" Type="http://schemas.openxmlformats.org/officeDocument/2006/relationships/hyperlink" Target="http://www.ptownfilmfest.org/" TargetMode="External"/><Relationship Id="rId10" Type="http://schemas.openxmlformats.org/officeDocument/2006/relationships/hyperlink" Target="http://www.ptownfilmfest.org/" TargetMode="External"/><Relationship Id="rId13" Type="http://schemas.openxmlformats.org/officeDocument/2006/relationships/hyperlink" Target="https://orlandointernationalfilmfestival.org" TargetMode="External"/><Relationship Id="rId12" Type="http://schemas.openxmlformats.org/officeDocument/2006/relationships/hyperlink" Target="https://filmfreeway.com/ProvincetownFilmFestival" TargetMode="External"/><Relationship Id="rId15" Type="http://schemas.openxmlformats.org/officeDocument/2006/relationships/hyperlink" Target="https://filmfreeway.com/HollywoodComedyShorts" TargetMode="External"/><Relationship Id="rId14" Type="http://schemas.openxmlformats.org/officeDocument/2006/relationships/hyperlink" Target="http://www.hollywoodcomedyshortsfilmfest.com/" TargetMode="External"/><Relationship Id="rId17" Type="http://schemas.openxmlformats.org/officeDocument/2006/relationships/hyperlink" Target="https://www.wjff.org/" TargetMode="External"/><Relationship Id="rId16" Type="http://schemas.openxmlformats.org/officeDocument/2006/relationships/hyperlink" Target="https://www.wjff.org/" TargetMode="External"/><Relationship Id="rId19" Type="http://schemas.openxmlformats.org/officeDocument/2006/relationships/hyperlink" Target="http://julienfilmfest.com/" TargetMode="External"/><Relationship Id="rId18" Type="http://schemas.openxmlformats.org/officeDocument/2006/relationships/hyperlink" Target="https://filmfreeway.com/WJFF" TargetMode="External"/><Relationship Id="rId84" Type="http://schemas.openxmlformats.org/officeDocument/2006/relationships/hyperlink" Target="https://worldfest.org/" TargetMode="External"/><Relationship Id="rId83" Type="http://schemas.openxmlformats.org/officeDocument/2006/relationships/hyperlink" Target="https://filmfreeway.com/soul4reel" TargetMode="External"/><Relationship Id="rId86" Type="http://schemas.openxmlformats.org/officeDocument/2006/relationships/hyperlink" Target="http://www.harvardfilmfestival.org/" TargetMode="External"/><Relationship Id="rId85" Type="http://schemas.openxmlformats.org/officeDocument/2006/relationships/hyperlink" Target="https://filmfreeway.com/worldfest" TargetMode="External"/><Relationship Id="rId88" Type="http://schemas.openxmlformats.org/officeDocument/2006/relationships/hyperlink" Target="http://www.tupelofilmfestival.net/" TargetMode="External"/><Relationship Id="rId87" Type="http://schemas.openxmlformats.org/officeDocument/2006/relationships/hyperlink" Target="https://filmfreeway.com/HarvardFilmFestival" TargetMode="External"/><Relationship Id="rId89" Type="http://schemas.openxmlformats.org/officeDocument/2006/relationships/hyperlink" Target="http://www.tupelofilmfestival.net/" TargetMode="External"/><Relationship Id="rId80" Type="http://schemas.openxmlformats.org/officeDocument/2006/relationships/hyperlink" Target="http://www.lasvegasblackfilmfestival.com/" TargetMode="External"/><Relationship Id="rId82" Type="http://schemas.openxmlformats.org/officeDocument/2006/relationships/hyperlink" Target="http://rockabyemedia.com/soul-4-reel" TargetMode="External"/><Relationship Id="rId81" Type="http://schemas.openxmlformats.org/officeDocument/2006/relationships/hyperlink" Target="https://filmfreeway.com/LasVegasBlackFilmFestival" TargetMode="External"/><Relationship Id="rId73" Type="http://schemas.openxmlformats.org/officeDocument/2006/relationships/hyperlink" Target="https://filmfreeway.com/GreenwichInternationalFilmFestival" TargetMode="External"/><Relationship Id="rId72" Type="http://schemas.openxmlformats.org/officeDocument/2006/relationships/hyperlink" Target="http://www.greenwichfilm.org/" TargetMode="External"/><Relationship Id="rId75" Type="http://schemas.openxmlformats.org/officeDocument/2006/relationships/hyperlink" Target="https://milwaukeeundergroundfilm.org/" TargetMode="External"/><Relationship Id="rId74" Type="http://schemas.openxmlformats.org/officeDocument/2006/relationships/hyperlink" Target="http://film-milwaukee.org/" TargetMode="External"/><Relationship Id="rId77" Type="http://schemas.openxmlformats.org/officeDocument/2006/relationships/hyperlink" Target="http://manhattanff.com/" TargetMode="External"/><Relationship Id="rId76" Type="http://schemas.openxmlformats.org/officeDocument/2006/relationships/hyperlink" Target="https://filmfreeway.com/MilwaukeeUndergroundFilmFestival" TargetMode="External"/><Relationship Id="rId79" Type="http://schemas.openxmlformats.org/officeDocument/2006/relationships/hyperlink" Target="https://filmfreeway.com/ManhattanFF" TargetMode="External"/><Relationship Id="rId78" Type="http://schemas.openxmlformats.org/officeDocument/2006/relationships/hyperlink" Target="http://manhattanff.com/" TargetMode="External"/><Relationship Id="rId71" Type="http://schemas.openxmlformats.org/officeDocument/2006/relationships/hyperlink" Target="http://www.greenwichfilm.org/" TargetMode="External"/><Relationship Id="rId70" Type="http://schemas.openxmlformats.org/officeDocument/2006/relationships/hyperlink" Target="http://reelwork.org" TargetMode="External"/><Relationship Id="rId62" Type="http://schemas.openxmlformats.org/officeDocument/2006/relationships/hyperlink" Target="https://filmfreeway.com/LaughorDieComedyFest" TargetMode="External"/><Relationship Id="rId61" Type="http://schemas.openxmlformats.org/officeDocument/2006/relationships/hyperlink" Target="http://www.laughordiecomedyfest.com/" TargetMode="External"/><Relationship Id="rId64" Type="http://schemas.openxmlformats.org/officeDocument/2006/relationships/hyperlink" Target="https://filmfreeway.com/TiburonInternationalFilmFestival" TargetMode="External"/><Relationship Id="rId63" Type="http://schemas.openxmlformats.org/officeDocument/2006/relationships/hyperlink" Target="http://www.tiburonfilmfestival.com/" TargetMode="External"/><Relationship Id="rId66" Type="http://schemas.openxmlformats.org/officeDocument/2006/relationships/hyperlink" Target="https://filmfreeway.com/MEFilmFestival" TargetMode="External"/><Relationship Id="rId65" Type="http://schemas.openxmlformats.org/officeDocument/2006/relationships/hyperlink" Target="https://www.milledgevillefilmfest.com/" TargetMode="External"/><Relationship Id="rId68" Type="http://schemas.openxmlformats.org/officeDocument/2006/relationships/hyperlink" Target="http://atlantafilmfestival.com/" TargetMode="External"/><Relationship Id="rId67" Type="http://schemas.openxmlformats.org/officeDocument/2006/relationships/hyperlink" Target="http://atlantafilmfestival.com/" TargetMode="External"/><Relationship Id="rId60" Type="http://schemas.openxmlformats.org/officeDocument/2006/relationships/hyperlink" Target="https://filmfreeway.com/ArizonaInternationalFilmFestival" TargetMode="External"/><Relationship Id="rId69" Type="http://schemas.openxmlformats.org/officeDocument/2006/relationships/hyperlink" Target="https://filmfreeway.com/ATLFF" TargetMode="External"/><Relationship Id="rId51" Type="http://schemas.openxmlformats.org/officeDocument/2006/relationships/hyperlink" Target="http://www.italianfilmfests.org" TargetMode="External"/><Relationship Id="rId50" Type="http://schemas.openxmlformats.org/officeDocument/2006/relationships/hyperlink" Target="https://filmfreeway.com/SeattleBlackFilmFestival" TargetMode="External"/><Relationship Id="rId53" Type="http://schemas.openxmlformats.org/officeDocument/2006/relationships/hyperlink" Target="https://filmfreeway.com/MCNFF" TargetMode="External"/><Relationship Id="rId52" Type="http://schemas.openxmlformats.org/officeDocument/2006/relationships/hyperlink" Target="http://motorcitynightmares.com/" TargetMode="External"/><Relationship Id="rId55" Type="http://schemas.openxmlformats.org/officeDocument/2006/relationships/hyperlink" Target="https://filmfreeway.com/MonadnockInternationalFilmFestival" TargetMode="External"/><Relationship Id="rId54" Type="http://schemas.openxmlformats.org/officeDocument/2006/relationships/hyperlink" Target="https://www.moniff.org/" TargetMode="External"/><Relationship Id="rId57" Type="http://schemas.openxmlformats.org/officeDocument/2006/relationships/hyperlink" Target="https://filmfreeway.com/BareBonesFilmFestival" TargetMode="External"/><Relationship Id="rId56" Type="http://schemas.openxmlformats.org/officeDocument/2006/relationships/hyperlink" Target="http://www.barebonesfilmfestival.org/" TargetMode="External"/><Relationship Id="rId59" Type="http://schemas.openxmlformats.org/officeDocument/2006/relationships/hyperlink" Target="http://www.filmfestivalarizona.com/" TargetMode="External"/><Relationship Id="rId58" Type="http://schemas.openxmlformats.org/officeDocument/2006/relationships/hyperlink" Target="http://www.filmfestivalarizona.com/" TargetMode="External"/><Relationship Id="rId349" Type="http://schemas.openxmlformats.org/officeDocument/2006/relationships/hyperlink" Target="https://filmfreeway.com/SOMAFilmFestival" TargetMode="External"/><Relationship Id="rId348" Type="http://schemas.openxmlformats.org/officeDocument/2006/relationships/hyperlink" Target="https://www.somafilmfestival.com/" TargetMode="External"/><Relationship Id="rId347" Type="http://schemas.openxmlformats.org/officeDocument/2006/relationships/hyperlink" Target="https://filmfreeway.com/OxfordFilmFestival" TargetMode="External"/><Relationship Id="rId346" Type="http://schemas.openxmlformats.org/officeDocument/2006/relationships/hyperlink" Target="http://oxfordfilmfest.com/" TargetMode="External"/><Relationship Id="rId341" Type="http://schemas.openxmlformats.org/officeDocument/2006/relationships/hyperlink" Target="http://sdlatinofilm.com/" TargetMode="External"/><Relationship Id="rId340" Type="http://schemas.openxmlformats.org/officeDocument/2006/relationships/hyperlink" Target="https://filmfreeway.com/EnvironmentalFilmFestivalInTheNationsCapital" TargetMode="External"/><Relationship Id="rId345" Type="http://schemas.openxmlformats.org/officeDocument/2006/relationships/hyperlink" Target="https://filmfreeway.com/slofilmfest" TargetMode="External"/><Relationship Id="rId344" Type="http://schemas.openxmlformats.org/officeDocument/2006/relationships/hyperlink" Target="https://slofilmfest.org/" TargetMode="External"/><Relationship Id="rId343" Type="http://schemas.openxmlformats.org/officeDocument/2006/relationships/hyperlink" Target="https://filmfreeway.com/SanDiegoLatinoFilmFestival" TargetMode="External"/><Relationship Id="rId342" Type="http://schemas.openxmlformats.org/officeDocument/2006/relationships/hyperlink" Target="http://sdlatinofilm.com/" TargetMode="External"/><Relationship Id="rId338" Type="http://schemas.openxmlformats.org/officeDocument/2006/relationships/hyperlink" Target="https://filmfreeway.com/NEWYORKCITYINTERNATIONALFILMFESTIVALNYCIFF" TargetMode="External"/><Relationship Id="rId337" Type="http://schemas.openxmlformats.org/officeDocument/2006/relationships/hyperlink" Target="http://www.nyciff.com/" TargetMode="External"/><Relationship Id="rId336" Type="http://schemas.openxmlformats.org/officeDocument/2006/relationships/hyperlink" Target="https://filmfreeway.com/SpeechlessFilmFestival" TargetMode="External"/><Relationship Id="rId335" Type="http://schemas.openxmlformats.org/officeDocument/2006/relationships/hyperlink" Target="http://speechlessfilmfestival.com/" TargetMode="External"/><Relationship Id="rId339" Type="http://schemas.openxmlformats.org/officeDocument/2006/relationships/hyperlink" Target="https://dceff.org/" TargetMode="External"/><Relationship Id="rId330" Type="http://schemas.openxmlformats.org/officeDocument/2006/relationships/hyperlink" Target="http://www.annapolisfilmfestival.net/" TargetMode="External"/><Relationship Id="rId334" Type="http://schemas.openxmlformats.org/officeDocument/2006/relationships/hyperlink" Target="https://filmfreeway.com/filmfortfest" TargetMode="External"/><Relationship Id="rId333" Type="http://schemas.openxmlformats.org/officeDocument/2006/relationships/hyperlink" Target="https://www.treefortmusicfest.com/fort/filmfort/" TargetMode="External"/><Relationship Id="rId332" Type="http://schemas.openxmlformats.org/officeDocument/2006/relationships/hyperlink" Target="https://filmfreeway.com/AnnapolisFilmFestival" TargetMode="External"/><Relationship Id="rId331" Type="http://schemas.openxmlformats.org/officeDocument/2006/relationships/hyperlink" Target="http://www.annapolisfilmfestival.net/" TargetMode="External"/><Relationship Id="rId370" Type="http://schemas.openxmlformats.org/officeDocument/2006/relationships/hyperlink" Target="http://www.lightfieldfilm.org/" TargetMode="External"/><Relationship Id="rId369" Type="http://schemas.openxmlformats.org/officeDocument/2006/relationships/hyperlink" Target="https://filmfreeway.com/TinyDanceFilmFestival" TargetMode="External"/><Relationship Id="rId368" Type="http://schemas.openxmlformats.org/officeDocument/2006/relationships/hyperlink" Target="http://www.detourdance.com/tdff/" TargetMode="External"/><Relationship Id="rId363" Type="http://schemas.openxmlformats.org/officeDocument/2006/relationships/hyperlink" Target="https://filmfreeway.com/ChicagoComedyFilmFestival" TargetMode="External"/><Relationship Id="rId362" Type="http://schemas.openxmlformats.org/officeDocument/2006/relationships/hyperlink" Target="https://www.chicagocomedyfilmfestival.com/" TargetMode="External"/><Relationship Id="rId361" Type="http://schemas.openxmlformats.org/officeDocument/2006/relationships/hyperlink" Target="https://filmfreeway.com/MarthasVineyardFilmFestival" TargetMode="External"/><Relationship Id="rId360" Type="http://schemas.openxmlformats.org/officeDocument/2006/relationships/hyperlink" Target="http://tmvff.org/" TargetMode="External"/><Relationship Id="rId367" Type="http://schemas.openxmlformats.org/officeDocument/2006/relationships/hyperlink" Target="https://filmfreeway.com/FargoFilmFestival" TargetMode="External"/><Relationship Id="rId366" Type="http://schemas.openxmlformats.org/officeDocument/2006/relationships/hyperlink" Target="http://www.fargofilmfestival.com" TargetMode="External"/><Relationship Id="rId365" Type="http://schemas.openxmlformats.org/officeDocument/2006/relationships/hyperlink" Target="https://www.sxsw.com/apply-to-participate/film-submissions/" TargetMode="External"/><Relationship Id="rId364" Type="http://schemas.openxmlformats.org/officeDocument/2006/relationships/hyperlink" Target="https://www.sxsw.com/festivals/film/" TargetMode="External"/><Relationship Id="rId95" Type="http://schemas.openxmlformats.org/officeDocument/2006/relationships/hyperlink" Target="https://www.experimentsincinema.org/submissions" TargetMode="External"/><Relationship Id="rId94" Type="http://schemas.openxmlformats.org/officeDocument/2006/relationships/hyperlink" Target="https://www.experimentsincinema.org/" TargetMode="External"/><Relationship Id="rId97" Type="http://schemas.openxmlformats.org/officeDocument/2006/relationships/hyperlink" Target="https://filmfreeway.com/RealityBytesIndependentStudentFilmFestival" TargetMode="External"/><Relationship Id="rId96" Type="http://schemas.openxmlformats.org/officeDocument/2006/relationships/hyperlink" Target="http://realitybytes.niu.edu/" TargetMode="External"/><Relationship Id="rId99" Type="http://schemas.openxmlformats.org/officeDocument/2006/relationships/hyperlink" Target="http://www.bifilmfestival.com/" TargetMode="External"/><Relationship Id="rId98" Type="http://schemas.openxmlformats.org/officeDocument/2006/relationships/hyperlink" Target="http://www.bifilmfestival.com/" TargetMode="External"/><Relationship Id="rId91" Type="http://schemas.openxmlformats.org/officeDocument/2006/relationships/hyperlink" Target="https://princetonlibrary.org/peff/" TargetMode="External"/><Relationship Id="rId90" Type="http://schemas.openxmlformats.org/officeDocument/2006/relationships/hyperlink" Target="https://filmfreeway.com/TupeloFilmFestival" TargetMode="External"/><Relationship Id="rId93" Type="http://schemas.openxmlformats.org/officeDocument/2006/relationships/hyperlink" Target="http://deafrocfilmfest.com" TargetMode="External"/><Relationship Id="rId92" Type="http://schemas.openxmlformats.org/officeDocument/2006/relationships/hyperlink" Target="https://princetonlibrary.org/peff/entry/" TargetMode="External"/><Relationship Id="rId359" Type="http://schemas.openxmlformats.org/officeDocument/2006/relationships/hyperlink" Target="https://filmfreeway.com/IrishFilmFestivalBoston2020" TargetMode="External"/><Relationship Id="rId358" Type="http://schemas.openxmlformats.org/officeDocument/2006/relationships/hyperlink" Target="http://www.irishfilmfestival.com/" TargetMode="External"/><Relationship Id="rId357" Type="http://schemas.openxmlformats.org/officeDocument/2006/relationships/hyperlink" Target="http://www.irishfilmfestival.com/" TargetMode="External"/><Relationship Id="rId352" Type="http://schemas.openxmlformats.org/officeDocument/2006/relationships/hyperlink" Target="http://sunvalleyfilmfestival.org/" TargetMode="External"/><Relationship Id="rId351" Type="http://schemas.openxmlformats.org/officeDocument/2006/relationships/hyperlink" Target="https://filmfreeway.com/SRFF20" TargetMode="External"/><Relationship Id="rId350" Type="http://schemas.openxmlformats.org/officeDocument/2006/relationships/hyperlink" Target="https://www.ratedsrfilms.org/" TargetMode="External"/><Relationship Id="rId356" Type="http://schemas.openxmlformats.org/officeDocument/2006/relationships/hyperlink" Target="https://filmfreeway.com/GLASAnimationFestival" TargetMode="External"/><Relationship Id="rId355" Type="http://schemas.openxmlformats.org/officeDocument/2006/relationships/hyperlink" Target="http://www.glasanimation.com/" TargetMode="External"/><Relationship Id="rId354" Type="http://schemas.openxmlformats.org/officeDocument/2006/relationships/hyperlink" Target="https://filmfreeway.com/SunValleyFilmFestival" TargetMode="External"/><Relationship Id="rId353" Type="http://schemas.openxmlformats.org/officeDocument/2006/relationships/hyperlink" Target="https://sunvalleyfilmfestival.org/" TargetMode="External"/><Relationship Id="rId305" Type="http://schemas.openxmlformats.org/officeDocument/2006/relationships/hyperlink" Target="http://pvjff.org/contact" TargetMode="External"/><Relationship Id="rId304" Type="http://schemas.openxmlformats.org/officeDocument/2006/relationships/hyperlink" Target="http://www.newdirectors.org/" TargetMode="External"/><Relationship Id="rId303" Type="http://schemas.openxmlformats.org/officeDocument/2006/relationships/hyperlink" Target="http://newdirectors.org/" TargetMode="External"/><Relationship Id="rId302" Type="http://schemas.openxmlformats.org/officeDocument/2006/relationships/hyperlink" Target="https://filmfreeway.com/ClevelandInternationalFilmFestival" TargetMode="External"/><Relationship Id="rId309" Type="http://schemas.openxmlformats.org/officeDocument/2006/relationships/hyperlink" Target="http://philaenvirofilmfest.org" TargetMode="External"/><Relationship Id="rId308" Type="http://schemas.openxmlformats.org/officeDocument/2006/relationships/hyperlink" Target="https://filmfreeway.com/BeverlyHillsFilmFestival" TargetMode="External"/><Relationship Id="rId307" Type="http://schemas.openxmlformats.org/officeDocument/2006/relationships/hyperlink" Target="http://www.beverlyhillsfilmfestival.com/" TargetMode="External"/><Relationship Id="rId306" Type="http://schemas.openxmlformats.org/officeDocument/2006/relationships/hyperlink" Target="http://www.beverlyhillsfilmfestival.com/" TargetMode="External"/><Relationship Id="rId301" Type="http://schemas.openxmlformats.org/officeDocument/2006/relationships/hyperlink" Target="https://www.clevelandfilm.org/" TargetMode="External"/><Relationship Id="rId300" Type="http://schemas.openxmlformats.org/officeDocument/2006/relationships/hyperlink" Target="https://filmfreeway.com/SeattleJewishFilmFestival" TargetMode="External"/><Relationship Id="rId327" Type="http://schemas.openxmlformats.org/officeDocument/2006/relationships/hyperlink" Target="https://filmfreeway.com/TrentonFilmFestival" TargetMode="External"/><Relationship Id="rId326" Type="http://schemas.openxmlformats.org/officeDocument/2006/relationships/hyperlink" Target="http://trentonfilmsociety.org/trenton-film-festival/" TargetMode="External"/><Relationship Id="rId325" Type="http://schemas.openxmlformats.org/officeDocument/2006/relationships/hyperlink" Target="http://trentonfilmsociety.org/" TargetMode="External"/><Relationship Id="rId324" Type="http://schemas.openxmlformats.org/officeDocument/2006/relationships/hyperlink" Target="https://filmfreeway.com/SonomaInternationalFilmFestival" TargetMode="External"/><Relationship Id="rId329" Type="http://schemas.openxmlformats.org/officeDocument/2006/relationships/hyperlink" Target="https://filmfreeway.com/SebastopolDocumentaryFilmFestival" TargetMode="External"/><Relationship Id="rId328" Type="http://schemas.openxmlformats.org/officeDocument/2006/relationships/hyperlink" Target="https://sebastopolfilmfestival.org/" TargetMode="External"/><Relationship Id="rId323" Type="http://schemas.openxmlformats.org/officeDocument/2006/relationships/hyperlink" Target="http://www.sonomafilmfest.org/" TargetMode="External"/><Relationship Id="rId322" Type="http://schemas.openxmlformats.org/officeDocument/2006/relationships/hyperlink" Target="http://www.sonomafilmfest.org/" TargetMode="External"/><Relationship Id="rId321" Type="http://schemas.openxmlformats.org/officeDocument/2006/relationships/hyperlink" Target="https://filmfreeway.com/AlbanyFilmFest" TargetMode="External"/><Relationship Id="rId320" Type="http://schemas.openxmlformats.org/officeDocument/2006/relationships/hyperlink" Target="http://www.albanyfilmfest.org/" TargetMode="External"/><Relationship Id="rId316" Type="http://schemas.openxmlformats.org/officeDocument/2006/relationships/hyperlink" Target="https://jccmetrowest.org/programs/njjff/" TargetMode="External"/><Relationship Id="rId315" Type="http://schemas.openxmlformats.org/officeDocument/2006/relationships/hyperlink" Target="http://jccmetrowest.org/njjff/" TargetMode="External"/><Relationship Id="rId314" Type="http://schemas.openxmlformats.org/officeDocument/2006/relationships/hyperlink" Target="https://filmfreeway.com/SanDiegoArabFilmFestival" TargetMode="External"/><Relationship Id="rId313" Type="http://schemas.openxmlformats.org/officeDocument/2006/relationships/hyperlink" Target="http://sandiegoaff.org/" TargetMode="External"/><Relationship Id="rId319" Type="http://schemas.openxmlformats.org/officeDocument/2006/relationships/hyperlink" Target="http://womensfilmfestival.org" TargetMode="External"/><Relationship Id="rId318" Type="http://schemas.openxmlformats.org/officeDocument/2006/relationships/hyperlink" Target="https://salemfilmfest.com/2019/" TargetMode="External"/><Relationship Id="rId317" Type="http://schemas.openxmlformats.org/officeDocument/2006/relationships/hyperlink" Target="https://filmfreeway.com/njjff" TargetMode="External"/><Relationship Id="rId312" Type="http://schemas.openxmlformats.org/officeDocument/2006/relationships/hyperlink" Target="http://www.umfilms.org" TargetMode="External"/><Relationship Id="rId311" Type="http://schemas.openxmlformats.org/officeDocument/2006/relationships/hyperlink" Target="https://filmfreeway.com/FullFrameDocumentaryFilmFestival" TargetMode="External"/><Relationship Id="rId310" Type="http://schemas.openxmlformats.org/officeDocument/2006/relationships/hyperlink" Target="https://www.fullframefest.org/" TargetMode="External"/><Relationship Id="rId297" Type="http://schemas.openxmlformats.org/officeDocument/2006/relationships/hyperlink" Target="http://athensfilmfest.org/" TargetMode="External"/><Relationship Id="rId296" Type="http://schemas.openxmlformats.org/officeDocument/2006/relationships/hyperlink" Target="https://filmfreeway.com/WickedQueer" TargetMode="External"/><Relationship Id="rId295" Type="http://schemas.openxmlformats.org/officeDocument/2006/relationships/hyperlink" Target="http://www.bostonlgbtfilmfest.net/" TargetMode="External"/><Relationship Id="rId294" Type="http://schemas.openxmlformats.org/officeDocument/2006/relationships/hyperlink" Target="http://www.ebertfest.com/" TargetMode="External"/><Relationship Id="rId299" Type="http://schemas.openxmlformats.org/officeDocument/2006/relationships/hyperlink" Target="http://www.seattlejewishfilmfestival.org/" TargetMode="External"/><Relationship Id="rId298" Type="http://schemas.openxmlformats.org/officeDocument/2006/relationships/hyperlink" Target="https://filmfreeway.com/AthensInternationalFilmandVideoFestival" TargetMode="External"/><Relationship Id="rId271" Type="http://schemas.openxmlformats.org/officeDocument/2006/relationships/hyperlink" Target="http://www.taosshortz.com/2016/" TargetMode="External"/><Relationship Id="rId270" Type="http://schemas.openxmlformats.org/officeDocument/2006/relationships/hyperlink" Target="http://www.taosshortz.com/2016/" TargetMode="External"/><Relationship Id="rId269" Type="http://schemas.openxmlformats.org/officeDocument/2006/relationships/hyperlink" Target="https://filmfreeway.com/NevadaWomensFilmFestival" TargetMode="External"/><Relationship Id="rId264" Type="http://schemas.openxmlformats.org/officeDocument/2006/relationships/hyperlink" Target="https://filmfreeway.com/BostonUndergroundFilmFestival" TargetMode="External"/><Relationship Id="rId263" Type="http://schemas.openxmlformats.org/officeDocument/2006/relationships/hyperlink" Target="http://bostonunderground.org/" TargetMode="External"/><Relationship Id="rId262" Type="http://schemas.openxmlformats.org/officeDocument/2006/relationships/hyperlink" Target="http://bostonunderground.org/" TargetMode="External"/><Relationship Id="rId261" Type="http://schemas.openxmlformats.org/officeDocument/2006/relationships/hyperlink" Target="https://filmfreeway.com/AAFilmFest" TargetMode="External"/><Relationship Id="rId268" Type="http://schemas.openxmlformats.org/officeDocument/2006/relationships/hyperlink" Target="https://www.nwffest.com/" TargetMode="External"/><Relationship Id="rId267" Type="http://schemas.openxmlformats.org/officeDocument/2006/relationships/hyperlink" Target="https://www.mopop.org/sffsff" TargetMode="External"/><Relationship Id="rId266" Type="http://schemas.openxmlformats.org/officeDocument/2006/relationships/hyperlink" Target="https://filmfreeway.com/WasatchMountainFilmFestival" TargetMode="External"/><Relationship Id="rId265" Type="http://schemas.openxmlformats.org/officeDocument/2006/relationships/hyperlink" Target="http://www.wasatchfilmfestival.org/" TargetMode="External"/><Relationship Id="rId260" Type="http://schemas.openxmlformats.org/officeDocument/2006/relationships/hyperlink" Target="https://www.aafilmfest.org/" TargetMode="External"/><Relationship Id="rId259" Type="http://schemas.openxmlformats.org/officeDocument/2006/relationships/hyperlink" Target="https://filmfreeway.com/MarylandInternationalFilmFestival" TargetMode="External"/><Relationship Id="rId258" Type="http://schemas.openxmlformats.org/officeDocument/2006/relationships/hyperlink" Target="https://www.marylandiff.com/" TargetMode="External"/><Relationship Id="rId253" Type="http://schemas.openxmlformats.org/officeDocument/2006/relationships/hyperlink" Target="https://filmfreeway.com/AspenShortsfest" TargetMode="External"/><Relationship Id="rId252" Type="http://schemas.openxmlformats.org/officeDocument/2006/relationships/hyperlink" Target="http://www.aspenfilm.org/" TargetMode="External"/><Relationship Id="rId251" Type="http://schemas.openxmlformats.org/officeDocument/2006/relationships/hyperlink" Target="http://www.aspenfilm.org/" TargetMode="External"/><Relationship Id="rId250" Type="http://schemas.openxmlformats.org/officeDocument/2006/relationships/hyperlink" Target="https://filmfreeway.com/RiverRun" TargetMode="External"/><Relationship Id="rId257" Type="http://schemas.openxmlformats.org/officeDocument/2006/relationships/hyperlink" Target="https://filmfreeway.com/qFLIXphiladelphia2019" TargetMode="External"/><Relationship Id="rId256" Type="http://schemas.openxmlformats.org/officeDocument/2006/relationships/hyperlink" Target="http://www.qflixphilly.com/" TargetMode="External"/><Relationship Id="rId255" Type="http://schemas.openxmlformats.org/officeDocument/2006/relationships/hyperlink" Target="http://www.sonscreen.com/" TargetMode="External"/><Relationship Id="rId254" Type="http://schemas.openxmlformats.org/officeDocument/2006/relationships/hyperlink" Target="http://www.sonscreen.com/" TargetMode="External"/><Relationship Id="rId293" Type="http://schemas.openxmlformats.org/officeDocument/2006/relationships/hyperlink" Target="https://filmfreeway.com/ClexaConFilmFestival" TargetMode="External"/><Relationship Id="rId292" Type="http://schemas.openxmlformats.org/officeDocument/2006/relationships/hyperlink" Target="http://www.clexacon.com" TargetMode="External"/><Relationship Id="rId291" Type="http://schemas.openxmlformats.org/officeDocument/2006/relationships/hyperlink" Target="https://filmfreeway.com/TribecaFilmFestival" TargetMode="External"/><Relationship Id="rId290" Type="http://schemas.openxmlformats.org/officeDocument/2006/relationships/hyperlink" Target="https://tribecafilm.com/" TargetMode="External"/><Relationship Id="rId286" Type="http://schemas.openxmlformats.org/officeDocument/2006/relationships/hyperlink" Target="http://bentonvillefilmfestival.com/" TargetMode="External"/><Relationship Id="rId285" Type="http://schemas.openxmlformats.org/officeDocument/2006/relationships/hyperlink" Target="https://filmfreeway.com/BlackbirdFilmFest" TargetMode="External"/><Relationship Id="rId284" Type="http://schemas.openxmlformats.org/officeDocument/2006/relationships/hyperlink" Target="https://www.blackbirdfilmfest.com/" TargetMode="External"/><Relationship Id="rId283" Type="http://schemas.openxmlformats.org/officeDocument/2006/relationships/hyperlink" Target="https://filmfreeway.com/MontclairFilm" TargetMode="External"/><Relationship Id="rId289" Type="http://schemas.openxmlformats.org/officeDocument/2006/relationships/hyperlink" Target="https://tribecafilm.com/" TargetMode="External"/><Relationship Id="rId288" Type="http://schemas.openxmlformats.org/officeDocument/2006/relationships/hyperlink" Target="https://filmfreeway.com/BentonvilleFilmFestival" TargetMode="External"/><Relationship Id="rId287" Type="http://schemas.openxmlformats.org/officeDocument/2006/relationships/hyperlink" Target="http://bentonvillefilmfestival.com/" TargetMode="External"/><Relationship Id="rId282" Type="http://schemas.openxmlformats.org/officeDocument/2006/relationships/hyperlink" Target="https://montclairfilm.org/" TargetMode="External"/><Relationship Id="rId281" Type="http://schemas.openxmlformats.org/officeDocument/2006/relationships/hyperlink" Target="http://watsonvillefilmfest.org" TargetMode="External"/><Relationship Id="rId280" Type="http://schemas.openxmlformats.org/officeDocument/2006/relationships/hyperlink" Target="https://filmfreeway.com/PIFF" TargetMode="External"/><Relationship Id="rId275" Type="http://schemas.openxmlformats.org/officeDocument/2006/relationships/hyperlink" Target="https://filmfreeway.com/GasparillaInternationalFilmFestival" TargetMode="External"/><Relationship Id="rId274" Type="http://schemas.openxmlformats.org/officeDocument/2006/relationships/hyperlink" Target="http://www.gasparillafilmfestival.com/" TargetMode="External"/><Relationship Id="rId273" Type="http://schemas.openxmlformats.org/officeDocument/2006/relationships/hyperlink" Target="http://gasparillafilmfestival.com/" TargetMode="External"/><Relationship Id="rId272" Type="http://schemas.openxmlformats.org/officeDocument/2006/relationships/hyperlink" Target="https://filmfreeway.com/TaosShortz" TargetMode="External"/><Relationship Id="rId279" Type="http://schemas.openxmlformats.org/officeDocument/2006/relationships/hyperlink" Target="http://www.nwfilm.org/festivals/piff" TargetMode="External"/><Relationship Id="rId278" Type="http://schemas.openxmlformats.org/officeDocument/2006/relationships/hyperlink" Target="https://filmfreeway.com/CineKink" TargetMode="External"/><Relationship Id="rId277" Type="http://schemas.openxmlformats.org/officeDocument/2006/relationships/hyperlink" Target="http://www.cinekink.com/" TargetMode="External"/><Relationship Id="rId276" Type="http://schemas.openxmlformats.org/officeDocument/2006/relationships/hyperlink" Target="http://cinekink.com/" TargetMode="External"/><Relationship Id="rId228" Type="http://schemas.openxmlformats.org/officeDocument/2006/relationships/hyperlink" Target="https://mspfilm.org/festivals/mspiff/" TargetMode="External"/><Relationship Id="rId227" Type="http://schemas.openxmlformats.org/officeDocument/2006/relationships/hyperlink" Target="https://filmfreeway.com/LosAngelesJewishFilmFestival" TargetMode="External"/><Relationship Id="rId226" Type="http://schemas.openxmlformats.org/officeDocument/2006/relationships/hyperlink" Target="http://lajfilmfest.org/" TargetMode="External"/><Relationship Id="rId225" Type="http://schemas.openxmlformats.org/officeDocument/2006/relationships/hyperlink" Target="http://lajfilmfest.org/" TargetMode="External"/><Relationship Id="rId229" Type="http://schemas.openxmlformats.org/officeDocument/2006/relationships/hyperlink" Target="https://filmfreeway.com/mspiff" TargetMode="External"/><Relationship Id="rId220" Type="http://schemas.openxmlformats.org/officeDocument/2006/relationships/hyperlink" Target="https://filmfreeway.com/NYICFF" TargetMode="External"/><Relationship Id="rId224" Type="http://schemas.openxmlformats.org/officeDocument/2006/relationships/hyperlink" Target="https://filmfreeway.com/ThePortlandOregonWomensFilmFestivalPOWFilmFest" TargetMode="External"/><Relationship Id="rId223" Type="http://schemas.openxmlformats.org/officeDocument/2006/relationships/hyperlink" Target="https://powfilmfest.com/" TargetMode="External"/><Relationship Id="rId222" Type="http://schemas.openxmlformats.org/officeDocument/2006/relationships/hyperlink" Target="http://www.mjff.org/" TargetMode="External"/><Relationship Id="rId221" Type="http://schemas.openxmlformats.org/officeDocument/2006/relationships/hyperlink" Target="http://www.mjff.org/" TargetMode="External"/><Relationship Id="rId217" Type="http://schemas.openxmlformats.org/officeDocument/2006/relationships/hyperlink" Target="http://www.diyds.org" TargetMode="External"/><Relationship Id="rId216" Type="http://schemas.openxmlformats.org/officeDocument/2006/relationships/hyperlink" Target="https://filmfreeway.com/UnderexposedFilmFestivalyc" TargetMode="External"/><Relationship Id="rId215" Type="http://schemas.openxmlformats.org/officeDocument/2006/relationships/hyperlink" Target="https://www.underexposedfilmfestivalyc.org/" TargetMode="External"/><Relationship Id="rId214" Type="http://schemas.openxmlformats.org/officeDocument/2006/relationships/hyperlink" Target="https://nwfilmforum.org/festivals/bydesign-art-design-architecture-festival" TargetMode="External"/><Relationship Id="rId219" Type="http://schemas.openxmlformats.org/officeDocument/2006/relationships/hyperlink" Target="https://nyicff.org/" TargetMode="External"/><Relationship Id="rId218" Type="http://schemas.openxmlformats.org/officeDocument/2006/relationships/hyperlink" Target="http://www.gkids.com/" TargetMode="External"/><Relationship Id="rId213" Type="http://schemas.openxmlformats.org/officeDocument/2006/relationships/hyperlink" Target="https://filmfreeway.com/houstonlatinofilmfestival" TargetMode="External"/><Relationship Id="rId212" Type="http://schemas.openxmlformats.org/officeDocument/2006/relationships/hyperlink" Target="https://houstonlatinofilmfestival.org/" TargetMode="External"/><Relationship Id="rId211" Type="http://schemas.openxmlformats.org/officeDocument/2006/relationships/hyperlink" Target="https://filmfreeway.com/TREASURECOASTINTERNATIONALFILMFESTIVAL-1" TargetMode="External"/><Relationship Id="rId210" Type="http://schemas.openxmlformats.org/officeDocument/2006/relationships/hyperlink" Target="https://www.tcifilmfest.org/" TargetMode="External"/><Relationship Id="rId249" Type="http://schemas.openxmlformats.org/officeDocument/2006/relationships/hyperlink" Target="https://riverrunfilm.com/" TargetMode="External"/><Relationship Id="rId248" Type="http://schemas.openxmlformats.org/officeDocument/2006/relationships/hyperlink" Target="https://filmfreeway.com/SarasotaFilmFestival" TargetMode="External"/><Relationship Id="rId247" Type="http://schemas.openxmlformats.org/officeDocument/2006/relationships/hyperlink" Target="https://www.sarasotafilmfestival.com/" TargetMode="External"/><Relationship Id="rId242" Type="http://schemas.openxmlformats.org/officeDocument/2006/relationships/hyperlink" Target="http://www.wifilmfest.org/" TargetMode="External"/><Relationship Id="rId241" Type="http://schemas.openxmlformats.org/officeDocument/2006/relationships/hyperlink" Target="http://www.wifilmfest.org/" TargetMode="External"/><Relationship Id="rId240" Type="http://schemas.openxmlformats.org/officeDocument/2006/relationships/hyperlink" Target="https://everettfilmfestival.org" TargetMode="External"/><Relationship Id="rId246" Type="http://schemas.openxmlformats.org/officeDocument/2006/relationships/hyperlink" Target="http://www.sarasotafilmfestival.com/" TargetMode="External"/><Relationship Id="rId245" Type="http://schemas.openxmlformats.org/officeDocument/2006/relationships/hyperlink" Target="https://filmfreeway.com/ThePoppyJasperInternationalFilmFestival" TargetMode="External"/><Relationship Id="rId244" Type="http://schemas.openxmlformats.org/officeDocument/2006/relationships/hyperlink" Target="https://pjiff.org/" TargetMode="External"/><Relationship Id="rId243" Type="http://schemas.openxmlformats.org/officeDocument/2006/relationships/hyperlink" Target="https://filmfreeway.com/WisconsinFilmFestival" TargetMode="External"/><Relationship Id="rId239" Type="http://schemas.openxmlformats.org/officeDocument/2006/relationships/hyperlink" Target="https://filmfreeway.com/NorthHollywoodCineFest" TargetMode="External"/><Relationship Id="rId238" Type="http://schemas.openxmlformats.org/officeDocument/2006/relationships/hyperlink" Target="https://www.nohocinefest.com/" TargetMode="External"/><Relationship Id="rId237" Type="http://schemas.openxmlformats.org/officeDocument/2006/relationships/hyperlink" Target="https://filmfreeway.com/SFFILMFestival" TargetMode="External"/><Relationship Id="rId236" Type="http://schemas.openxmlformats.org/officeDocument/2006/relationships/hyperlink" Target="https://www.sffilm.org" TargetMode="External"/><Relationship Id="rId231" Type="http://schemas.openxmlformats.org/officeDocument/2006/relationships/hyperlink" Target="http://iffboston.org/" TargetMode="External"/><Relationship Id="rId230" Type="http://schemas.openxmlformats.org/officeDocument/2006/relationships/hyperlink" Target="http://iffboston.org/" TargetMode="External"/><Relationship Id="rId235" Type="http://schemas.openxmlformats.org/officeDocument/2006/relationships/hyperlink" Target="http://www.sffs.org/festival-home" TargetMode="External"/><Relationship Id="rId234" Type="http://schemas.openxmlformats.org/officeDocument/2006/relationships/hyperlink" Target="https://filmfreeway.com/OUTshine-Miami" TargetMode="External"/><Relationship Id="rId233" Type="http://schemas.openxmlformats.org/officeDocument/2006/relationships/hyperlink" Target="https://mifofilm.com/" TargetMode="External"/><Relationship Id="rId232" Type="http://schemas.openxmlformats.org/officeDocument/2006/relationships/hyperlink" Target="https://filmfreeway.com/IFFBoston" TargetMode="External"/><Relationship Id="rId206" Type="http://schemas.openxmlformats.org/officeDocument/2006/relationships/hyperlink" Target="http://www.gsff.org/" TargetMode="External"/><Relationship Id="rId205" Type="http://schemas.openxmlformats.org/officeDocument/2006/relationships/hyperlink" Target="http://www.gsff.org/" TargetMode="External"/><Relationship Id="rId204" Type="http://schemas.openxmlformats.org/officeDocument/2006/relationships/hyperlink" Target="https://filmfreeway.com/GlobalCinemaFilmFestivalofBoston" TargetMode="External"/><Relationship Id="rId203" Type="http://schemas.openxmlformats.org/officeDocument/2006/relationships/hyperlink" Target="https://www.worldwidecinemaframes.com/global-cinema-film-festival" TargetMode="External"/><Relationship Id="rId209" Type="http://schemas.openxmlformats.org/officeDocument/2006/relationships/hyperlink" Target="https://filmfreeway.com/TheMethodFestIndependentFilmFestival" TargetMode="External"/><Relationship Id="rId208" Type="http://schemas.openxmlformats.org/officeDocument/2006/relationships/hyperlink" Target="http://www.methodfest.com/" TargetMode="External"/><Relationship Id="rId207" Type="http://schemas.openxmlformats.org/officeDocument/2006/relationships/hyperlink" Target="https://filmfreeway.com/GardenStateFilmFestival" TargetMode="External"/><Relationship Id="rId202" Type="http://schemas.openxmlformats.org/officeDocument/2006/relationships/hyperlink" Target="http://www.nhjewishfilmfestival.org/" TargetMode="External"/><Relationship Id="rId201" Type="http://schemas.openxmlformats.org/officeDocument/2006/relationships/hyperlink" Target="https://filmfreeway.com/QueensWorldFilmFestival" TargetMode="External"/><Relationship Id="rId200" Type="http://schemas.openxmlformats.org/officeDocument/2006/relationships/hyperlink" Target="https://www.queensworldfilmfestival.com/" TargetMode="External"/><Relationship Id="rId190" Type="http://schemas.openxmlformats.org/officeDocument/2006/relationships/hyperlink" Target="https://filmfreeway.com/iffla" TargetMode="External"/><Relationship Id="rId194" Type="http://schemas.openxmlformats.org/officeDocument/2006/relationships/hyperlink" Target="https://www.americandocumentaryfilmfestival.com/" TargetMode="External"/><Relationship Id="rId193" Type="http://schemas.openxmlformats.org/officeDocument/2006/relationships/hyperlink" Target="https://www.gmffestival.org/" TargetMode="External"/><Relationship Id="rId192" Type="http://schemas.openxmlformats.org/officeDocument/2006/relationships/hyperlink" Target="https://filmfreeway.com/MediaFilmFestival" TargetMode="External"/><Relationship Id="rId191" Type="http://schemas.openxmlformats.org/officeDocument/2006/relationships/hyperlink" Target="http://www.mediafilmfestival.org/" TargetMode="External"/><Relationship Id="rId187" Type="http://schemas.openxmlformats.org/officeDocument/2006/relationships/hyperlink" Target="http://www.sleepinggiantfest.com" TargetMode="External"/><Relationship Id="rId186" Type="http://schemas.openxmlformats.org/officeDocument/2006/relationships/hyperlink" Target="http://www.sleepinggiantfest.com" TargetMode="External"/><Relationship Id="rId185" Type="http://schemas.openxmlformats.org/officeDocument/2006/relationships/hyperlink" Target="https://actfilmfest.colostate.edu" TargetMode="External"/><Relationship Id="rId184" Type="http://schemas.openxmlformats.org/officeDocument/2006/relationships/hyperlink" Target="https://filmfreeway.com/BoneBatComedyofHorrorsFilmFest" TargetMode="External"/><Relationship Id="rId189" Type="http://schemas.openxmlformats.org/officeDocument/2006/relationships/hyperlink" Target="http://www.indianfilmfestival.org/" TargetMode="External"/><Relationship Id="rId188" Type="http://schemas.openxmlformats.org/officeDocument/2006/relationships/hyperlink" Target="http://www.indianfilmfestival.org/" TargetMode="External"/><Relationship Id="rId183" Type="http://schemas.openxmlformats.org/officeDocument/2006/relationships/hyperlink" Target="http://www.bonehand.com/bonebatff.html" TargetMode="External"/><Relationship Id="rId182" Type="http://schemas.openxmlformats.org/officeDocument/2006/relationships/hyperlink" Target="https://filmfreeway.com/CapitalCityFilmFestival" TargetMode="External"/><Relationship Id="rId181" Type="http://schemas.openxmlformats.org/officeDocument/2006/relationships/hyperlink" Target="https://capitalcityfilmfest.com/" TargetMode="External"/><Relationship Id="rId180" Type="http://schemas.openxmlformats.org/officeDocument/2006/relationships/hyperlink" Target="https://filmfreeway.com/KansasCityFilmFest" TargetMode="External"/><Relationship Id="rId176" Type="http://schemas.openxmlformats.org/officeDocument/2006/relationships/hyperlink" Target="https://www.childrensfilmla.org/" TargetMode="External"/><Relationship Id="rId175" Type="http://schemas.openxmlformats.org/officeDocument/2006/relationships/hyperlink" Target="https://filmfreeway.com/festival/LosAngelesInternationalChildrensFilmFestival" TargetMode="External"/><Relationship Id="rId174" Type="http://schemas.openxmlformats.org/officeDocument/2006/relationships/hyperlink" Target="https://filmfreeway.com/IvyFilmFestival" TargetMode="External"/><Relationship Id="rId173" Type="http://schemas.openxmlformats.org/officeDocument/2006/relationships/hyperlink" Target="http://ivyfilmfestival.org/index.html" TargetMode="External"/><Relationship Id="rId179" Type="http://schemas.openxmlformats.org/officeDocument/2006/relationships/hyperlink" Target="https://kcfilmfest.org/" TargetMode="External"/><Relationship Id="rId178" Type="http://schemas.openxmlformats.org/officeDocument/2006/relationships/hyperlink" Target="http://kcfilmfest.org/" TargetMode="External"/><Relationship Id="rId177" Type="http://schemas.openxmlformats.org/officeDocument/2006/relationships/hyperlink" Target="https://filmfreeway.com/LosAngelesInternationalChildrensFilmFestival" TargetMode="External"/><Relationship Id="rId198" Type="http://schemas.openxmlformats.org/officeDocument/2006/relationships/hyperlink" Target="http://www.vailfilmfestival.com/" TargetMode="External"/><Relationship Id="rId197" Type="http://schemas.openxmlformats.org/officeDocument/2006/relationships/hyperlink" Target="https://filmfreeway.com/TheWomensFilmFestival" TargetMode="External"/><Relationship Id="rId196" Type="http://schemas.openxmlformats.org/officeDocument/2006/relationships/hyperlink" Target="https://thewomensfilmfestival.org/" TargetMode="External"/><Relationship Id="rId195" Type="http://schemas.openxmlformats.org/officeDocument/2006/relationships/hyperlink" Target="https://filmfreeway.com/AmericanDocumentaryFilmFestivalandFilmFund" TargetMode="External"/><Relationship Id="rId199" Type="http://schemas.openxmlformats.org/officeDocument/2006/relationships/hyperlink" Target="https://filmfreeway.com/VailFilmFestival" TargetMode="External"/><Relationship Id="rId150" Type="http://schemas.openxmlformats.org/officeDocument/2006/relationships/hyperlink" Target="https://filmfreeway.com/TallahasseeFilmFestival" TargetMode="External"/><Relationship Id="rId149" Type="http://schemas.openxmlformats.org/officeDocument/2006/relationships/hyperlink" Target="https://tallahasseefilmfestival.com/" TargetMode="External"/><Relationship Id="rId148" Type="http://schemas.openxmlformats.org/officeDocument/2006/relationships/hyperlink" Target="https://www.bhffnyc.org/" TargetMode="External"/><Relationship Id="rId143" Type="http://schemas.openxmlformats.org/officeDocument/2006/relationships/hyperlink" Target="https://filmfreeway.com/MilwaukeeTwistedDreamsFilmFestival" TargetMode="External"/><Relationship Id="rId142" Type="http://schemas.openxmlformats.org/officeDocument/2006/relationships/hyperlink" Target="http://www.twisteddreamsff.com" TargetMode="External"/><Relationship Id="rId141" Type="http://schemas.openxmlformats.org/officeDocument/2006/relationships/hyperlink" Target="https://filmfreeway.com/NewportBeachFilmFestival" TargetMode="External"/><Relationship Id="rId140" Type="http://schemas.openxmlformats.org/officeDocument/2006/relationships/hyperlink" Target="https://newportbeachfilmfest.com/" TargetMode="External"/><Relationship Id="rId147" Type="http://schemas.openxmlformats.org/officeDocument/2006/relationships/hyperlink" Target="http://www.bhffnyc.org/" TargetMode="External"/><Relationship Id="rId146" Type="http://schemas.openxmlformats.org/officeDocument/2006/relationships/hyperlink" Target="https://filmfreeway.com/NYIFF20" TargetMode="External"/><Relationship Id="rId145" Type="http://schemas.openxmlformats.org/officeDocument/2006/relationships/hyperlink" Target="http://www.iaac.us/" TargetMode="External"/><Relationship Id="rId144" Type="http://schemas.openxmlformats.org/officeDocument/2006/relationships/hyperlink" Target="http://www.iaac.us/" TargetMode="External"/><Relationship Id="rId139" Type="http://schemas.openxmlformats.org/officeDocument/2006/relationships/hyperlink" Target="http://www.newportbeachfilmfest.com/" TargetMode="External"/><Relationship Id="rId138" Type="http://schemas.openxmlformats.org/officeDocument/2006/relationships/hyperlink" Target="https://filmfreeway.com/FloridaFilmFestival" TargetMode="External"/><Relationship Id="rId137" Type="http://schemas.openxmlformats.org/officeDocument/2006/relationships/hyperlink" Target="http://www.floridafilmfestival.com" TargetMode="External"/><Relationship Id="rId132" Type="http://schemas.openxmlformats.org/officeDocument/2006/relationships/hyperlink" Target="https://filmfreeway.com/PasadenaFilmFestival" TargetMode="External"/><Relationship Id="rId131" Type="http://schemas.openxmlformats.org/officeDocument/2006/relationships/hyperlink" Target="https://www.pasadenafilmfestival.org/" TargetMode="External"/><Relationship Id="rId130" Type="http://schemas.openxmlformats.org/officeDocument/2006/relationships/hyperlink" Target="https://filmfreeway.com/BigEasyInternationalFilmFestival" TargetMode="External"/><Relationship Id="rId136" Type="http://schemas.openxmlformats.org/officeDocument/2006/relationships/hyperlink" Target="https://filmfreeway.com/IndyFilmFest" TargetMode="External"/><Relationship Id="rId135" Type="http://schemas.openxmlformats.org/officeDocument/2006/relationships/hyperlink" Target="https://indyfilmfest.org/" TargetMode="External"/><Relationship Id="rId134" Type="http://schemas.openxmlformats.org/officeDocument/2006/relationships/hyperlink" Target="https://filmfreeway.com/DTLAFF" TargetMode="External"/><Relationship Id="rId133" Type="http://schemas.openxmlformats.org/officeDocument/2006/relationships/hyperlink" Target="http://www.dtlaff.com/" TargetMode="External"/><Relationship Id="rId172" Type="http://schemas.openxmlformats.org/officeDocument/2006/relationships/hyperlink" Target="https://filmfreeway.com/FilmfestDC" TargetMode="External"/><Relationship Id="rId171" Type="http://schemas.openxmlformats.org/officeDocument/2006/relationships/hyperlink" Target="http://www.filmfestdc.org/" TargetMode="External"/><Relationship Id="rId170" Type="http://schemas.openxmlformats.org/officeDocument/2006/relationships/hyperlink" Target="http://www.filmoutsandiego.com" TargetMode="External"/><Relationship Id="rId165" Type="http://schemas.openxmlformats.org/officeDocument/2006/relationships/hyperlink" Target="http://wildlifefilms.org/" TargetMode="External"/><Relationship Id="rId164" Type="http://schemas.openxmlformats.org/officeDocument/2006/relationships/hyperlink" Target="https://filmfreeway.com/RICHMONDINTERNATIONALFILMFESTIVAL" TargetMode="External"/><Relationship Id="rId163" Type="http://schemas.openxmlformats.org/officeDocument/2006/relationships/hyperlink" Target="https://www.rvafilmfestival.com/" TargetMode="External"/><Relationship Id="rId162" Type="http://schemas.openxmlformats.org/officeDocument/2006/relationships/hyperlink" Target="https://jccrockland.org/film-festival/" TargetMode="External"/><Relationship Id="rId169" Type="http://schemas.openxmlformats.org/officeDocument/2006/relationships/hyperlink" Target="https://filmfreeway.com/ChicagoLatinoFilmFestival" TargetMode="External"/><Relationship Id="rId168" Type="http://schemas.openxmlformats.org/officeDocument/2006/relationships/hyperlink" Target="https://chicagolatinofilmfestival.org/" TargetMode="External"/><Relationship Id="rId167" Type="http://schemas.openxmlformats.org/officeDocument/2006/relationships/hyperlink" Target="https://filmfreeway.com/InternationalWildlifeFilmFestival" TargetMode="External"/><Relationship Id="rId166" Type="http://schemas.openxmlformats.org/officeDocument/2006/relationships/hyperlink" Target="http://wildlifefilms.org/" TargetMode="External"/><Relationship Id="rId161" Type="http://schemas.openxmlformats.org/officeDocument/2006/relationships/hyperlink" Target="https://filmfreeway.com/PhoenixFilmFestival" TargetMode="External"/><Relationship Id="rId160" Type="http://schemas.openxmlformats.org/officeDocument/2006/relationships/hyperlink" Target="http://www.phoenixfilmfestival.com/" TargetMode="External"/><Relationship Id="rId159" Type="http://schemas.openxmlformats.org/officeDocument/2006/relationships/hyperlink" Target="http://www.phoenixfilmfestival.com/" TargetMode="External"/><Relationship Id="rId154" Type="http://schemas.openxmlformats.org/officeDocument/2006/relationships/hyperlink" Target="https://filmfreeway.com/HorrorHoundWeekendFilmFestival" TargetMode="External"/><Relationship Id="rId153" Type="http://schemas.openxmlformats.org/officeDocument/2006/relationships/hyperlink" Target="http://www.horrorhound.com/FilmFest" TargetMode="External"/><Relationship Id="rId152" Type="http://schemas.openxmlformats.org/officeDocument/2006/relationships/hyperlink" Target="https://filmfreeway.com/ScoutFilmFestival/" TargetMode="External"/><Relationship Id="rId151" Type="http://schemas.openxmlformats.org/officeDocument/2006/relationships/hyperlink" Target="http://scoutfilmfestival.org" TargetMode="External"/><Relationship Id="rId158" Type="http://schemas.openxmlformats.org/officeDocument/2006/relationships/hyperlink" Target="https://filmfreeway.com/InternationalHorrorSciFiFilmFestival" TargetMode="External"/><Relationship Id="rId157" Type="http://schemas.openxmlformats.org/officeDocument/2006/relationships/hyperlink" Target="http://www.horrorscifi.com/" TargetMode="External"/><Relationship Id="rId156" Type="http://schemas.openxmlformats.org/officeDocument/2006/relationships/hyperlink" Target="http://www.horrorscifi.com/" TargetMode="External"/><Relationship Id="rId155" Type="http://schemas.openxmlformats.org/officeDocument/2006/relationships/hyperlink" Target="https://www.erjcchouston.org/arts/houston-jewish-film-festival/" TargetMode="External"/><Relationship Id="rId107" Type="http://schemas.openxmlformats.org/officeDocument/2006/relationships/hyperlink" Target="https://filmfreeway.com/TheEarthDayFilmFestival" TargetMode="External"/><Relationship Id="rId106" Type="http://schemas.openxmlformats.org/officeDocument/2006/relationships/hyperlink" Target="http://www.earthdayfilmfest.org/" TargetMode="External"/><Relationship Id="rId105" Type="http://schemas.openxmlformats.org/officeDocument/2006/relationships/hyperlink" Target="https://filmfreeway.com/DallasInternationalFilmFestival" TargetMode="External"/><Relationship Id="rId104" Type="http://schemas.openxmlformats.org/officeDocument/2006/relationships/hyperlink" Target="https://www.dallasfilm.org" TargetMode="External"/><Relationship Id="rId109" Type="http://schemas.openxmlformats.org/officeDocument/2006/relationships/hyperlink" Target="https://www.siff.net/" TargetMode="External"/><Relationship Id="rId108" Type="http://schemas.openxmlformats.org/officeDocument/2006/relationships/hyperlink" Target="http://www.siff.net/" TargetMode="External"/><Relationship Id="rId103" Type="http://schemas.openxmlformats.org/officeDocument/2006/relationships/hyperlink" Target="http://www.dallasfilm.org/" TargetMode="External"/><Relationship Id="rId102" Type="http://schemas.openxmlformats.org/officeDocument/2006/relationships/hyperlink" Target="https://filmfreeway.com/ChattanoogaFilmFest" TargetMode="External"/><Relationship Id="rId101" Type="http://schemas.openxmlformats.org/officeDocument/2006/relationships/hyperlink" Target="https://www.chattfilmfest.org/" TargetMode="External"/><Relationship Id="rId100" Type="http://schemas.openxmlformats.org/officeDocument/2006/relationships/hyperlink" Target="https://filmfreeway.com/BostonInternationalFilmFestival" TargetMode="External"/><Relationship Id="rId129" Type="http://schemas.openxmlformats.org/officeDocument/2006/relationships/hyperlink" Target="http://bigeasyinternationalfilmfestival.com" TargetMode="External"/><Relationship Id="rId128" Type="http://schemas.openxmlformats.org/officeDocument/2006/relationships/hyperlink" Target="https://filmfreeway.com/berkshireinternationalfilmfestival" TargetMode="External"/><Relationship Id="rId127" Type="http://schemas.openxmlformats.org/officeDocument/2006/relationships/hyperlink" Target="https://www.biffma.org/" TargetMode="External"/><Relationship Id="rId126" Type="http://schemas.openxmlformats.org/officeDocument/2006/relationships/hyperlink" Target="http://www.biffma.org/" TargetMode="External"/><Relationship Id="rId121" Type="http://schemas.openxmlformats.org/officeDocument/2006/relationships/hyperlink" Target="http://rainier.film/" TargetMode="External"/><Relationship Id="rId120" Type="http://schemas.openxmlformats.org/officeDocument/2006/relationships/hyperlink" Target="http://rainier.film/" TargetMode="External"/><Relationship Id="rId125" Type="http://schemas.openxmlformats.org/officeDocument/2006/relationships/hyperlink" Target="https://filmfreeway.com/NYCIndieFF" TargetMode="External"/><Relationship Id="rId124" Type="http://schemas.openxmlformats.org/officeDocument/2006/relationships/hyperlink" Target="https://www.nycindieff.com/" TargetMode="External"/><Relationship Id="rId123" Type="http://schemas.openxmlformats.org/officeDocument/2006/relationships/hyperlink" Target="https://www.nycindieff.com/" TargetMode="External"/><Relationship Id="rId122" Type="http://schemas.openxmlformats.org/officeDocument/2006/relationships/hyperlink" Target="https://filmfreeway.com/RainierIndependentFilmFestival" TargetMode="External"/><Relationship Id="rId118" Type="http://schemas.openxmlformats.org/officeDocument/2006/relationships/hyperlink" Target="https://www.bethesda.org/bethesda/bethesda-film-fest" TargetMode="External"/><Relationship Id="rId117" Type="http://schemas.openxmlformats.org/officeDocument/2006/relationships/hyperlink" Target="https://filmfreeway.com/PostAlleyFilmFestival" TargetMode="External"/><Relationship Id="rId116" Type="http://schemas.openxmlformats.org/officeDocument/2006/relationships/hyperlink" Target="http://www.postalleyfilmfestival.com/" TargetMode="External"/><Relationship Id="rId115" Type="http://schemas.openxmlformats.org/officeDocument/2006/relationships/hyperlink" Target="http://www.postalleyfilmfestival.com/" TargetMode="External"/><Relationship Id="rId119" Type="http://schemas.openxmlformats.org/officeDocument/2006/relationships/hyperlink" Target="https://filmfreeway.com/BethesdaFilmFest" TargetMode="External"/><Relationship Id="rId110" Type="http://schemas.openxmlformats.org/officeDocument/2006/relationships/hyperlink" Target="https://filmfreeway.com/SIFF" TargetMode="External"/><Relationship Id="rId114" Type="http://schemas.openxmlformats.org/officeDocument/2006/relationships/hyperlink" Target="https://filmfreeway.com/IndieGrits" TargetMode="External"/><Relationship Id="rId113" Type="http://schemas.openxmlformats.org/officeDocument/2006/relationships/hyperlink" Target="http://indiegrits.org/" TargetMode="External"/><Relationship Id="rId112" Type="http://schemas.openxmlformats.org/officeDocument/2006/relationships/hyperlink" Target="https://filmfreeway.com/AzaleaFilmFestival" TargetMode="External"/><Relationship Id="rId111" Type="http://schemas.openxmlformats.org/officeDocument/2006/relationships/hyperlink" Target="http://www.azaleafilmfestival.com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16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17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18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19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20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21.v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22.v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23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24.v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drawing" Target="../drawings/drawing29.xml"/><Relationship Id="rId3" Type="http://schemas.openxmlformats.org/officeDocument/2006/relationships/vmlDrawing" Target="../drawings/vmlDrawing25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30.xml"/><Relationship Id="rId3" Type="http://schemas.openxmlformats.org/officeDocument/2006/relationships/vmlDrawing" Target="../drawings/vmlDrawing26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ilmfestivaldatabase.co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filmfreeway.com/festival/LosAngelesInternationalChildrensFilmFestival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75"/>
  <cols>
    <col customWidth="1" hidden="1" min="1" max="1" width="7.86"/>
    <col customWidth="1" hidden="1" min="2" max="2" width="8.0"/>
    <col customWidth="1" hidden="1" min="3" max="3" width="65.71"/>
    <col customWidth="1" hidden="1" min="4" max="4" width="14.43"/>
    <col customWidth="1" hidden="1" min="5" max="5" width="13.43"/>
    <col customWidth="1" hidden="1" min="6" max="6" width="32.14"/>
    <col customWidth="1" min="7" max="7" width="32.14"/>
    <col customWidth="1" min="8" max="8" width="17.43"/>
    <col customWidth="1" min="9" max="9" width="16.71"/>
    <col customWidth="1" min="10" max="10" width="20.43"/>
    <col customWidth="1" min="11" max="11" width="15.43"/>
    <col customWidth="1" min="12" max="12" width="14.0"/>
    <col customWidth="1" min="13" max="13" width="18.29"/>
    <col customWidth="1" min="14" max="14" width="9.14"/>
    <col customWidth="1" min="15" max="15" width="16.57"/>
    <col customWidth="1" min="16" max="16" width="15.43"/>
    <col customWidth="1" min="17" max="18" width="8.0"/>
    <col customWidth="1" min="19" max="19" width="4.86"/>
    <col customWidth="1" min="20" max="20" width="1.29"/>
    <col customWidth="1" min="21" max="21" width="4.57"/>
    <col customWidth="1" min="22" max="26" width="4.0"/>
    <col customWidth="1" min="27" max="31" width="6.0"/>
    <col customWidth="1" min="32" max="33" width="8.86"/>
    <col customWidth="1" min="34" max="39" width="4.0"/>
    <col customWidth="1" min="40" max="40" width="8.86"/>
    <col customWidth="1" min="41" max="41" width="6.0"/>
    <col customWidth="1" min="42" max="44" width="4.0"/>
    <col customWidth="1" min="45" max="45" width="5.57"/>
  </cols>
  <sheetData>
    <row r="1" ht="102.75" customHeight="1">
      <c r="A1" s="8" t="s">
        <v>1</v>
      </c>
      <c r="B1" s="11" t="s">
        <v>10</v>
      </c>
      <c r="C1" s="13" t="s">
        <v>14</v>
      </c>
      <c r="D1" s="15" t="s">
        <v>16</v>
      </c>
      <c r="E1" s="15" t="s">
        <v>18</v>
      </c>
      <c r="F1" s="15" t="s">
        <v>19</v>
      </c>
      <c r="G1" s="21" t="s">
        <v>2</v>
      </c>
      <c r="H1" s="23" t="s">
        <v>3</v>
      </c>
      <c r="I1" s="26" t="s">
        <v>4</v>
      </c>
      <c r="J1" s="29" t="s">
        <v>5</v>
      </c>
      <c r="K1" s="30" t="s">
        <v>37</v>
      </c>
      <c r="L1" s="30" t="s">
        <v>38</v>
      </c>
      <c r="M1" s="31" t="s">
        <v>8</v>
      </c>
      <c r="N1" s="33" t="s">
        <v>9</v>
      </c>
      <c r="O1" s="30" t="s">
        <v>40</v>
      </c>
      <c r="P1" s="30" t="s">
        <v>41</v>
      </c>
      <c r="Q1" s="35" t="str">
        <f>HYPERLINK("https://www.oscars.org/sites/oscars/files/91aa_rule19_short_festivals.pdf","Oscar Qualifying (Short Subject)")</f>
        <v>Oscar Qualifying (Short Subject)</v>
      </c>
      <c r="R1" s="35" t="str">
        <f>HYPERLINK("https://www.oscars.org/sites/oscars/files/91aa_doc_short_festivals.pdf","Oscar Qualifying (Doc Short)")</f>
        <v>Oscar Qualifying (Doc Short)</v>
      </c>
      <c r="S1" s="35" t="str">
        <f>HYPERLINK("https://filmfestivalalliance.org","Film Fest Alliance")</f>
        <v>Film Fest Alliance</v>
      </c>
      <c r="T1" s="39" t="s">
        <v>45</v>
      </c>
      <c r="U1" s="42" t="s">
        <v>48</v>
      </c>
      <c r="V1" s="44" t="s">
        <v>51</v>
      </c>
      <c r="W1" s="46" t="s">
        <v>52</v>
      </c>
      <c r="X1" s="48" t="s">
        <v>53</v>
      </c>
      <c r="Y1" s="50" t="s">
        <v>54</v>
      </c>
      <c r="Z1" s="52" t="s">
        <v>55</v>
      </c>
      <c r="AA1" s="54" t="s">
        <v>56</v>
      </c>
      <c r="AB1" s="57" t="s">
        <v>57</v>
      </c>
      <c r="AC1" s="59" t="s">
        <v>59</v>
      </c>
      <c r="AD1" s="61" t="s">
        <v>60</v>
      </c>
      <c r="AE1" s="62" t="s">
        <v>61</v>
      </c>
      <c r="AF1" s="64" t="s">
        <v>62</v>
      </c>
      <c r="AG1" s="65" t="s">
        <v>63</v>
      </c>
      <c r="AH1" s="67" t="s">
        <v>64</v>
      </c>
      <c r="AI1" s="68" t="s">
        <v>65</v>
      </c>
      <c r="AJ1" s="70" t="s">
        <v>66</v>
      </c>
      <c r="AK1" s="71" t="s">
        <v>69</v>
      </c>
      <c r="AL1" s="72" t="s">
        <v>70</v>
      </c>
      <c r="AM1" s="79" t="s">
        <v>71</v>
      </c>
      <c r="AN1" s="82" t="s">
        <v>75</v>
      </c>
      <c r="AO1" s="88" t="s">
        <v>77</v>
      </c>
      <c r="AP1" s="95" t="s">
        <v>88</v>
      </c>
      <c r="AQ1" s="97" t="s">
        <v>89</v>
      </c>
      <c r="AR1" s="99" t="s">
        <v>90</v>
      </c>
      <c r="AS1" s="100" t="s">
        <v>91</v>
      </c>
    </row>
    <row r="2">
      <c r="A2" s="101">
        <v>765.0</v>
      </c>
      <c r="B2" s="103"/>
      <c r="C2" s="104" t="s">
        <v>92</v>
      </c>
      <c r="D2" s="105" t="s">
        <v>52</v>
      </c>
      <c r="E2" s="107" t="s">
        <v>52</v>
      </c>
      <c r="F2" s="109"/>
      <c r="G2" s="10" t="s">
        <v>93</v>
      </c>
      <c r="H2" s="17" t="s">
        <v>94</v>
      </c>
      <c r="I2" s="111" t="s">
        <v>95</v>
      </c>
      <c r="J2" s="112"/>
      <c r="K2" s="113">
        <v>43890.0</v>
      </c>
      <c r="L2" s="113">
        <v>43890.0</v>
      </c>
      <c r="M2" s="24" t="s">
        <v>96</v>
      </c>
      <c r="N2" s="24" t="s">
        <v>46</v>
      </c>
      <c r="O2" s="114">
        <v>43738.0</v>
      </c>
      <c r="P2" s="114">
        <v>43867.0</v>
      </c>
      <c r="Q2" s="115"/>
      <c r="R2" s="115"/>
      <c r="S2" s="117"/>
      <c r="T2" s="118"/>
      <c r="U2" s="119"/>
      <c r="V2" s="119"/>
      <c r="W2" s="120" t="s">
        <v>97</v>
      </c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21"/>
      <c r="AI2" s="121"/>
      <c r="AJ2" s="121"/>
      <c r="AK2" s="121"/>
      <c r="AL2" s="121"/>
      <c r="AM2" s="121"/>
      <c r="AN2" s="119"/>
      <c r="AO2" s="119"/>
      <c r="AP2" s="119"/>
      <c r="AQ2" s="119"/>
      <c r="AR2" s="119"/>
      <c r="AS2" s="119"/>
    </row>
    <row r="3">
      <c r="A3" s="101">
        <v>935.0</v>
      </c>
      <c r="B3" s="122">
        <v>11.0</v>
      </c>
      <c r="C3" s="123" t="s">
        <v>98</v>
      </c>
      <c r="D3" s="124" t="s">
        <v>52</v>
      </c>
      <c r="E3" s="126" t="s">
        <v>52</v>
      </c>
      <c r="F3" s="127"/>
      <c r="G3" s="128" t="s">
        <v>99</v>
      </c>
      <c r="H3" s="89" t="s">
        <v>100</v>
      </c>
      <c r="I3" s="91" t="str">
        <f>HYPERLINK("https://filmfreeway.com/24fpsfest","https://filmfreeway.com/24fpsfest")</f>
        <v>https://filmfreeway.com/24fpsfest</v>
      </c>
      <c r="J3" s="112"/>
      <c r="K3" s="113">
        <v>44141.0</v>
      </c>
      <c r="L3" s="113">
        <v>44142.0</v>
      </c>
      <c r="M3" s="130" t="s">
        <v>101</v>
      </c>
      <c r="N3" s="130" t="s">
        <v>102</v>
      </c>
      <c r="O3" s="113">
        <v>44029.0</v>
      </c>
      <c r="P3" s="113">
        <v>44029.0</v>
      </c>
      <c r="Q3" s="131"/>
      <c r="R3" s="132"/>
      <c r="S3" s="132"/>
      <c r="T3" s="118"/>
      <c r="U3" s="119"/>
      <c r="V3" s="119"/>
      <c r="W3" s="120" t="s">
        <v>97</v>
      </c>
      <c r="X3" s="119"/>
      <c r="Y3" s="134"/>
      <c r="Z3" s="119"/>
      <c r="AA3" s="119"/>
      <c r="AB3" s="119"/>
      <c r="AC3" s="119"/>
      <c r="AD3" s="119"/>
      <c r="AE3" s="119"/>
      <c r="AF3" s="119"/>
      <c r="AG3" s="119"/>
      <c r="AH3" s="121"/>
      <c r="AI3" s="121"/>
      <c r="AJ3" s="121"/>
      <c r="AK3" s="121"/>
      <c r="AL3" s="121"/>
      <c r="AM3" s="135"/>
      <c r="AN3" s="119"/>
      <c r="AO3" s="119"/>
      <c r="AP3" s="119"/>
      <c r="AQ3" s="119"/>
      <c r="AR3" s="119"/>
      <c r="AS3" s="119"/>
    </row>
    <row r="4">
      <c r="A4" s="137">
        <v>769.0</v>
      </c>
      <c r="B4" s="103"/>
      <c r="C4" s="104" t="s">
        <v>103</v>
      </c>
      <c r="D4" s="138" t="s">
        <v>75</v>
      </c>
      <c r="E4" s="107" t="s">
        <v>104</v>
      </c>
      <c r="F4" s="109"/>
      <c r="G4" s="10" t="s">
        <v>105</v>
      </c>
      <c r="H4" s="17" t="s">
        <v>106</v>
      </c>
      <c r="I4" s="111" t="s">
        <v>107</v>
      </c>
      <c r="J4" s="112"/>
      <c r="K4" s="113">
        <v>43945.0</v>
      </c>
      <c r="L4" s="113">
        <v>43947.0</v>
      </c>
      <c r="M4" s="24" t="s">
        <v>109</v>
      </c>
      <c r="N4" s="24" t="s">
        <v>110</v>
      </c>
      <c r="O4" s="114">
        <v>43770.0</v>
      </c>
      <c r="P4" s="114">
        <v>43896.0</v>
      </c>
      <c r="Q4" s="115"/>
      <c r="R4" s="115"/>
      <c r="S4" s="117"/>
      <c r="T4" s="141" t="s">
        <v>50</v>
      </c>
      <c r="U4" s="142"/>
      <c r="V4" s="119"/>
      <c r="W4" s="120" t="s">
        <v>97</v>
      </c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21"/>
      <c r="AI4" s="121"/>
      <c r="AJ4" s="121"/>
      <c r="AK4" s="121"/>
      <c r="AL4" s="121"/>
      <c r="AM4" s="121"/>
      <c r="AN4" s="143" t="s">
        <v>97</v>
      </c>
      <c r="AO4" s="119"/>
      <c r="AP4" s="119"/>
      <c r="AQ4" s="119"/>
      <c r="AR4" s="119"/>
      <c r="AS4" s="119"/>
    </row>
    <row r="5">
      <c r="A5" s="101">
        <v>926.0</v>
      </c>
      <c r="B5" s="122"/>
      <c r="C5" s="123" t="s">
        <v>111</v>
      </c>
      <c r="D5" s="124" t="s">
        <v>70</v>
      </c>
      <c r="E5" s="126" t="s">
        <v>112</v>
      </c>
      <c r="F5" s="144"/>
      <c r="G5" s="87" t="s">
        <v>113</v>
      </c>
      <c r="H5" s="89" t="s">
        <v>114</v>
      </c>
      <c r="I5" s="91" t="str">
        <f>HYPERLINK("https://filmfreeway.com/ACTHumanRightsFilmFestival","https://filmfreeway.com/ACTHumanRightsFilmFestival")</f>
        <v>https://filmfreeway.com/ACTHumanRightsFilmFestival</v>
      </c>
      <c r="J5" s="93" t="s">
        <v>78</v>
      </c>
      <c r="K5" s="145">
        <v>43924.0</v>
      </c>
      <c r="L5" s="145">
        <v>43932.0</v>
      </c>
      <c r="M5" s="130" t="s">
        <v>115</v>
      </c>
      <c r="N5" s="130" t="s">
        <v>110</v>
      </c>
      <c r="O5" s="146" t="s">
        <v>119</v>
      </c>
      <c r="P5" s="146" t="s">
        <v>24</v>
      </c>
      <c r="Q5" s="131"/>
      <c r="R5" s="132"/>
      <c r="S5" s="148" t="s">
        <v>97</v>
      </c>
      <c r="T5" s="118"/>
      <c r="U5" s="119"/>
      <c r="V5" s="119"/>
      <c r="W5" s="120" t="s">
        <v>97</v>
      </c>
      <c r="X5" s="119"/>
      <c r="Y5" s="134"/>
      <c r="Z5" s="119"/>
      <c r="AA5" s="119"/>
      <c r="AB5" s="119"/>
      <c r="AC5" s="119"/>
      <c r="AD5" s="119"/>
      <c r="AE5" s="119"/>
      <c r="AF5" s="119"/>
      <c r="AG5" s="119"/>
      <c r="AH5" s="121"/>
      <c r="AI5" s="121"/>
      <c r="AJ5" s="121"/>
      <c r="AK5" s="121"/>
      <c r="AL5" s="149" t="s">
        <v>97</v>
      </c>
      <c r="AM5" s="135"/>
      <c r="AN5" s="119"/>
      <c r="AO5" s="119"/>
      <c r="AP5" s="119"/>
      <c r="AQ5" s="119"/>
      <c r="AR5" s="119"/>
      <c r="AS5" s="119"/>
    </row>
    <row r="6">
      <c r="A6" s="137">
        <v>1.0</v>
      </c>
      <c r="B6" s="150">
        <v>11.0</v>
      </c>
      <c r="C6" s="104" t="s">
        <v>125</v>
      </c>
      <c r="D6" s="138" t="s">
        <v>71</v>
      </c>
      <c r="E6" s="107" t="s">
        <v>71</v>
      </c>
      <c r="F6" s="101"/>
      <c r="G6" s="40" t="s">
        <v>126</v>
      </c>
      <c r="H6" s="55" t="s">
        <v>127</v>
      </c>
      <c r="I6" s="69" t="s">
        <v>130</v>
      </c>
      <c r="J6" s="155"/>
      <c r="K6" s="22" t="s">
        <v>27</v>
      </c>
      <c r="L6" s="22" t="s">
        <v>27</v>
      </c>
      <c r="M6" s="156" t="s">
        <v>136</v>
      </c>
      <c r="N6" s="73" t="s">
        <v>110</v>
      </c>
      <c r="O6" s="22" t="s">
        <v>27</v>
      </c>
      <c r="P6" s="22" t="s">
        <v>27</v>
      </c>
      <c r="Q6" s="22"/>
      <c r="R6" s="22"/>
      <c r="S6" s="117"/>
      <c r="T6" s="157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3"/>
      <c r="AI6" s="163"/>
      <c r="AJ6" s="163"/>
      <c r="AK6" s="163"/>
      <c r="AL6" s="163"/>
      <c r="AM6" s="165" t="s">
        <v>97</v>
      </c>
      <c r="AN6" s="161"/>
      <c r="AO6" s="161"/>
      <c r="AP6" s="161"/>
      <c r="AQ6" s="161"/>
      <c r="AR6" s="161"/>
      <c r="AS6" s="119"/>
    </row>
    <row r="7">
      <c r="A7" s="137">
        <v>793.0</v>
      </c>
      <c r="B7" s="103"/>
      <c r="C7" s="104" t="s">
        <v>142</v>
      </c>
      <c r="D7" s="138" t="s">
        <v>71</v>
      </c>
      <c r="E7" s="107" t="s">
        <v>71</v>
      </c>
      <c r="F7" s="109"/>
      <c r="G7" s="10" t="s">
        <v>143</v>
      </c>
      <c r="H7" s="17" t="s">
        <v>144</v>
      </c>
      <c r="I7" s="111" t="s">
        <v>146</v>
      </c>
      <c r="J7" s="112"/>
      <c r="K7" s="113">
        <v>44035.0</v>
      </c>
      <c r="L7" s="113">
        <v>44045.0</v>
      </c>
      <c r="M7" s="24" t="s">
        <v>147</v>
      </c>
      <c r="N7" s="24" t="s">
        <v>148</v>
      </c>
      <c r="O7" s="114">
        <v>43799.0</v>
      </c>
      <c r="P7" s="114">
        <v>44013.0</v>
      </c>
      <c r="Q7" s="115"/>
      <c r="R7" s="115"/>
      <c r="S7" s="117"/>
      <c r="T7" s="118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21"/>
      <c r="AI7" s="121"/>
      <c r="AJ7" s="121"/>
      <c r="AK7" s="121"/>
      <c r="AL7" s="121"/>
      <c r="AM7" s="165" t="s">
        <v>97</v>
      </c>
      <c r="AN7" s="119"/>
      <c r="AO7" s="119"/>
      <c r="AP7" s="119"/>
      <c r="AQ7" s="119"/>
      <c r="AR7" s="119"/>
      <c r="AS7" s="119"/>
    </row>
    <row r="8">
      <c r="A8" s="101">
        <v>2.0</v>
      </c>
      <c r="B8" s="150"/>
      <c r="C8" s="104" t="s">
        <v>150</v>
      </c>
      <c r="D8" s="105" t="s">
        <v>89</v>
      </c>
      <c r="E8" s="107" t="s">
        <v>89</v>
      </c>
      <c r="F8" s="101"/>
      <c r="G8" s="40" t="s">
        <v>151</v>
      </c>
      <c r="H8" s="55" t="s">
        <v>152</v>
      </c>
      <c r="I8" s="69" t="s">
        <v>154</v>
      </c>
      <c r="J8" s="155"/>
      <c r="K8" s="37">
        <v>43988.0</v>
      </c>
      <c r="L8" s="37">
        <v>44030.0</v>
      </c>
      <c r="M8" s="73" t="s">
        <v>158</v>
      </c>
      <c r="N8" s="73" t="s">
        <v>159</v>
      </c>
      <c r="O8" s="113">
        <v>43875.0</v>
      </c>
      <c r="P8" s="37">
        <v>43875.0</v>
      </c>
      <c r="Q8" s="22"/>
      <c r="R8" s="22"/>
      <c r="S8" s="117"/>
      <c r="T8" s="157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3"/>
      <c r="AI8" s="163"/>
      <c r="AJ8" s="163"/>
      <c r="AK8" s="163"/>
      <c r="AL8" s="163"/>
      <c r="AM8" s="163"/>
      <c r="AN8" s="161"/>
      <c r="AO8" s="161"/>
      <c r="AP8" s="161"/>
      <c r="AQ8" s="172" t="s">
        <v>97</v>
      </c>
      <c r="AR8" s="161"/>
      <c r="AS8" s="119"/>
    </row>
    <row r="9">
      <c r="A9" s="137">
        <v>3.0</v>
      </c>
      <c r="B9" s="173"/>
      <c r="C9" s="104" t="s">
        <v>161</v>
      </c>
      <c r="D9" s="105" t="s">
        <v>48</v>
      </c>
      <c r="E9" s="107" t="s">
        <v>48</v>
      </c>
      <c r="F9" s="101"/>
      <c r="G9" s="40" t="s">
        <v>162</v>
      </c>
      <c r="H9" s="55" t="s">
        <v>163</v>
      </c>
      <c r="I9" s="175" t="s">
        <v>168</v>
      </c>
      <c r="J9" s="155"/>
      <c r="K9" s="37">
        <v>44119.0</v>
      </c>
      <c r="L9" s="37">
        <v>44122.0</v>
      </c>
      <c r="M9" s="73" t="s">
        <v>170</v>
      </c>
      <c r="N9" s="73" t="s">
        <v>29</v>
      </c>
      <c r="O9" s="113">
        <v>43831.0</v>
      </c>
      <c r="P9" s="37">
        <v>43956.0</v>
      </c>
      <c r="Q9" s="22"/>
      <c r="R9" s="22"/>
      <c r="S9" s="117"/>
      <c r="T9" s="157"/>
      <c r="U9" s="176" t="s">
        <v>97</v>
      </c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3"/>
      <c r="AI9" s="163"/>
      <c r="AJ9" s="163"/>
      <c r="AK9" s="163"/>
      <c r="AL9" s="163"/>
      <c r="AM9" s="163"/>
      <c r="AN9" s="161"/>
      <c r="AO9" s="161"/>
      <c r="AP9" s="161"/>
      <c r="AQ9" s="161"/>
      <c r="AR9" s="161"/>
      <c r="AS9" s="119"/>
    </row>
    <row r="10">
      <c r="A10" s="137">
        <v>4.0</v>
      </c>
      <c r="B10" s="177"/>
      <c r="C10" s="104" t="s">
        <v>175</v>
      </c>
      <c r="D10" s="105" t="s">
        <v>48</v>
      </c>
      <c r="E10" s="107" t="s">
        <v>48</v>
      </c>
      <c r="F10" s="178"/>
      <c r="G10" s="77" t="s">
        <v>180</v>
      </c>
      <c r="H10" s="32" t="s">
        <v>181</v>
      </c>
      <c r="I10" s="84" t="str">
        <f>HYPERLINK("https://filmfreeway.com/AdventureFilmFestival","https://filmfreeway.com/AdventureFilmFestival")</f>
        <v>https://filmfreeway.com/AdventureFilmFestival</v>
      </c>
      <c r="J10" s="155"/>
      <c r="K10" s="37">
        <v>43916.0</v>
      </c>
      <c r="L10" s="37">
        <v>43918.0</v>
      </c>
      <c r="M10" s="85" t="s">
        <v>185</v>
      </c>
      <c r="N10" s="85" t="s">
        <v>110</v>
      </c>
      <c r="O10" s="113">
        <v>43576.0</v>
      </c>
      <c r="P10" s="37">
        <v>43733.0</v>
      </c>
      <c r="Q10" s="22"/>
      <c r="R10" s="22"/>
      <c r="S10" s="117"/>
      <c r="T10" s="181"/>
      <c r="U10" s="182" t="s">
        <v>97</v>
      </c>
      <c r="V10" s="184"/>
      <c r="W10" s="184"/>
      <c r="X10" s="184"/>
      <c r="Y10" s="184"/>
      <c r="Z10" s="184"/>
      <c r="AA10" s="184"/>
      <c r="AB10" s="184"/>
      <c r="AC10" s="184"/>
      <c r="AD10" s="186"/>
      <c r="AE10" s="187"/>
      <c r="AF10" s="184"/>
      <c r="AG10" s="187"/>
      <c r="AH10" s="189"/>
      <c r="AI10" s="189"/>
      <c r="AJ10" s="189"/>
      <c r="AK10" s="189"/>
      <c r="AL10" s="189"/>
      <c r="AM10" s="189"/>
      <c r="AN10" s="187"/>
      <c r="AO10" s="187"/>
      <c r="AP10" s="184"/>
      <c r="AQ10" s="187"/>
      <c r="AR10" s="187"/>
      <c r="AS10" s="119"/>
    </row>
    <row r="11">
      <c r="A11" s="101">
        <v>5.0</v>
      </c>
      <c r="B11" s="177"/>
      <c r="C11" s="104" t="s">
        <v>195</v>
      </c>
      <c r="D11" s="105" t="s">
        <v>51</v>
      </c>
      <c r="E11" s="107" t="s">
        <v>51</v>
      </c>
      <c r="F11" s="190"/>
      <c r="G11" s="192" t="s">
        <v>199</v>
      </c>
      <c r="H11" s="32" t="s">
        <v>204</v>
      </c>
      <c r="I11" s="84" t="str">
        <f>HYPERLINK("https://filmfreeway.com/AFIDOCS","https://filmfreeway.com/AFIDOCS")</f>
        <v>https://filmfreeway.com/AFIDOCS</v>
      </c>
      <c r="J11" s="155"/>
      <c r="K11" s="37">
        <v>43999.0</v>
      </c>
      <c r="L11" s="37">
        <v>44003.0</v>
      </c>
      <c r="M11" s="73" t="s">
        <v>209</v>
      </c>
      <c r="N11" s="73" t="s">
        <v>132</v>
      </c>
      <c r="O11" s="113">
        <v>43798.0</v>
      </c>
      <c r="P11" s="37">
        <v>43903.0</v>
      </c>
      <c r="Q11" s="22"/>
      <c r="R11" s="22"/>
      <c r="S11" s="193" t="s">
        <v>97</v>
      </c>
      <c r="T11" s="157"/>
      <c r="U11" s="194"/>
      <c r="V11" s="195" t="s">
        <v>97</v>
      </c>
      <c r="W11" s="194"/>
      <c r="X11" s="194"/>
      <c r="Y11" s="194"/>
      <c r="Z11" s="194"/>
      <c r="AA11" s="194"/>
      <c r="AB11" s="194"/>
      <c r="AC11" s="194"/>
      <c r="AD11" s="186"/>
      <c r="AE11" s="187"/>
      <c r="AF11" s="194"/>
      <c r="AG11" s="187"/>
      <c r="AH11" s="189"/>
      <c r="AI11" s="189"/>
      <c r="AJ11" s="189"/>
      <c r="AK11" s="189"/>
      <c r="AL11" s="189"/>
      <c r="AM11" s="189"/>
      <c r="AN11" s="187"/>
      <c r="AO11" s="187"/>
      <c r="AP11" s="194"/>
      <c r="AQ11" s="187"/>
      <c r="AR11" s="187"/>
      <c r="AS11" s="119"/>
    </row>
    <row r="12">
      <c r="A12" s="137">
        <v>6.0</v>
      </c>
      <c r="B12" s="197">
        <v>11.0</v>
      </c>
      <c r="C12" s="104" t="s">
        <v>215</v>
      </c>
      <c r="D12" s="105" t="s">
        <v>48</v>
      </c>
      <c r="E12" s="107" t="s">
        <v>48</v>
      </c>
      <c r="F12" s="178"/>
      <c r="G12" s="77" t="s">
        <v>216</v>
      </c>
      <c r="H12" s="81" t="s">
        <v>217</v>
      </c>
      <c r="I12" s="34" t="s">
        <v>219</v>
      </c>
      <c r="J12" s="155"/>
      <c r="K12" s="37">
        <v>44119.0</v>
      </c>
      <c r="L12" s="37">
        <v>44126.0</v>
      </c>
      <c r="M12" s="85" t="s">
        <v>221</v>
      </c>
      <c r="N12" s="85" t="s">
        <v>72</v>
      </c>
      <c r="O12" s="37">
        <v>43889.0</v>
      </c>
      <c r="P12" s="37">
        <v>43987.0</v>
      </c>
      <c r="Q12" s="200" t="s">
        <v>222</v>
      </c>
      <c r="R12" s="201"/>
      <c r="S12" s="203" t="s">
        <v>97</v>
      </c>
      <c r="T12" s="181"/>
      <c r="U12" s="182" t="s">
        <v>97</v>
      </c>
      <c r="V12" s="184"/>
      <c r="W12" s="184"/>
      <c r="X12" s="184"/>
      <c r="Y12" s="184"/>
      <c r="Z12" s="184"/>
      <c r="AA12" s="184"/>
      <c r="AB12" s="184"/>
      <c r="AC12" s="184"/>
      <c r="AD12" s="186"/>
      <c r="AE12" s="187"/>
      <c r="AF12" s="184"/>
      <c r="AG12" s="187"/>
      <c r="AH12" s="189"/>
      <c r="AI12" s="189"/>
      <c r="AJ12" s="189"/>
      <c r="AK12" s="189"/>
      <c r="AL12" s="189"/>
      <c r="AM12" s="189"/>
      <c r="AN12" s="187"/>
      <c r="AO12" s="187"/>
      <c r="AP12" s="184"/>
      <c r="AQ12" s="187"/>
      <c r="AR12" s="187"/>
      <c r="AS12" s="119"/>
    </row>
    <row r="13">
      <c r="A13" s="137">
        <v>7.0</v>
      </c>
      <c r="B13" s="197">
        <v>11.0</v>
      </c>
      <c r="C13" s="104" t="s">
        <v>226</v>
      </c>
      <c r="D13" s="138" t="s">
        <v>56</v>
      </c>
      <c r="E13" s="156" t="s">
        <v>227</v>
      </c>
      <c r="F13" s="204"/>
      <c r="G13" s="28" t="s">
        <v>228</v>
      </c>
      <c r="H13" s="32" t="s">
        <v>234</v>
      </c>
      <c r="I13" s="34" t="s">
        <v>235</v>
      </c>
      <c r="J13" s="155"/>
      <c r="K13" s="22" t="s">
        <v>27</v>
      </c>
      <c r="L13" s="22" t="s">
        <v>27</v>
      </c>
      <c r="M13" s="156" t="s">
        <v>196</v>
      </c>
      <c r="N13" s="38" t="s">
        <v>29</v>
      </c>
      <c r="O13" s="22" t="s">
        <v>27</v>
      </c>
      <c r="P13" s="22" t="s">
        <v>27</v>
      </c>
      <c r="Q13" s="201"/>
      <c r="R13" s="201"/>
      <c r="S13" s="203" t="s">
        <v>97</v>
      </c>
      <c r="T13" s="208"/>
      <c r="U13" s="212"/>
      <c r="V13" s="212"/>
      <c r="W13" s="212"/>
      <c r="X13" s="212"/>
      <c r="Y13" s="212"/>
      <c r="Z13" s="212"/>
      <c r="AA13" s="213" t="s">
        <v>97</v>
      </c>
      <c r="AB13" s="212"/>
      <c r="AC13" s="212"/>
      <c r="AD13" s="186"/>
      <c r="AE13" s="187"/>
      <c r="AF13" s="212"/>
      <c r="AG13" s="187"/>
      <c r="AH13" s="189"/>
      <c r="AI13" s="189"/>
      <c r="AJ13" s="189"/>
      <c r="AK13" s="189"/>
      <c r="AL13" s="189"/>
      <c r="AM13" s="189"/>
      <c r="AN13" s="187"/>
      <c r="AO13" s="187"/>
      <c r="AP13" s="212"/>
      <c r="AQ13" s="187"/>
      <c r="AR13" s="187"/>
      <c r="AS13" s="119"/>
    </row>
    <row r="14">
      <c r="A14" s="101">
        <v>8.0</v>
      </c>
      <c r="B14" s="214">
        <v>5.0</v>
      </c>
      <c r="C14" s="104" t="s">
        <v>245</v>
      </c>
      <c r="D14" s="138" t="s">
        <v>56</v>
      </c>
      <c r="E14" s="156" t="s">
        <v>227</v>
      </c>
      <c r="F14" s="204"/>
      <c r="G14" s="28" t="s">
        <v>247</v>
      </c>
      <c r="H14" s="81" t="s">
        <v>249</v>
      </c>
      <c r="I14" s="217" t="s">
        <v>254</v>
      </c>
      <c r="J14" s="155"/>
      <c r="K14" s="22" t="s">
        <v>27</v>
      </c>
      <c r="L14" s="22" t="s">
        <v>27</v>
      </c>
      <c r="M14" s="38" t="s">
        <v>196</v>
      </c>
      <c r="N14" s="38" t="s">
        <v>29</v>
      </c>
      <c r="O14" s="22" t="s">
        <v>27</v>
      </c>
      <c r="P14" s="22" t="s">
        <v>27</v>
      </c>
      <c r="Q14" s="22"/>
      <c r="R14" s="22"/>
      <c r="S14" s="117"/>
      <c r="T14" s="208"/>
      <c r="U14" s="212"/>
      <c r="V14" s="212"/>
      <c r="W14" s="212"/>
      <c r="X14" s="212"/>
      <c r="Y14" s="212"/>
      <c r="Z14" s="212"/>
      <c r="AA14" s="213" t="s">
        <v>97</v>
      </c>
      <c r="AB14" s="212"/>
      <c r="AC14" s="212"/>
      <c r="AD14" s="186"/>
      <c r="AE14" s="187"/>
      <c r="AF14" s="212"/>
      <c r="AG14" s="187"/>
      <c r="AH14" s="189"/>
      <c r="AI14" s="189"/>
      <c r="AJ14" s="189"/>
      <c r="AK14" s="189"/>
      <c r="AL14" s="189"/>
      <c r="AM14" s="189"/>
      <c r="AN14" s="187"/>
      <c r="AO14" s="187"/>
      <c r="AP14" s="212"/>
      <c r="AQ14" s="187"/>
      <c r="AR14" s="187"/>
      <c r="AS14" s="119"/>
    </row>
    <row r="15">
      <c r="A15" s="137">
        <v>9.0</v>
      </c>
      <c r="B15" s="150"/>
      <c r="C15" s="104" t="s">
        <v>259</v>
      </c>
      <c r="D15" s="138" t="s">
        <v>56</v>
      </c>
      <c r="E15" s="156" t="s">
        <v>227</v>
      </c>
      <c r="F15" s="101"/>
      <c r="G15" s="40" t="s">
        <v>260</v>
      </c>
      <c r="H15" s="55" t="s">
        <v>261</v>
      </c>
      <c r="I15" s="69" t="s">
        <v>263</v>
      </c>
      <c r="J15" s="155"/>
      <c r="K15" s="37">
        <v>43983.0</v>
      </c>
      <c r="L15" s="37">
        <v>43988.0</v>
      </c>
      <c r="M15" s="174" t="s">
        <v>268</v>
      </c>
      <c r="N15" s="73" t="s">
        <v>102</v>
      </c>
      <c r="O15" s="113">
        <v>43769.0</v>
      </c>
      <c r="P15" s="37">
        <v>43850.0</v>
      </c>
      <c r="Q15" s="22"/>
      <c r="R15" s="22"/>
      <c r="S15" s="117"/>
      <c r="T15" s="157"/>
      <c r="U15" s="161"/>
      <c r="V15" s="161"/>
      <c r="W15" s="161"/>
      <c r="X15" s="161"/>
      <c r="Y15" s="161"/>
      <c r="Z15" s="161"/>
      <c r="AA15" s="218" t="s">
        <v>97</v>
      </c>
      <c r="AB15" s="161"/>
      <c r="AC15" s="161"/>
      <c r="AD15" s="161"/>
      <c r="AE15" s="161"/>
      <c r="AF15" s="161"/>
      <c r="AG15" s="161"/>
      <c r="AH15" s="163"/>
      <c r="AI15" s="163"/>
      <c r="AJ15" s="163"/>
      <c r="AK15" s="163"/>
      <c r="AL15" s="163"/>
      <c r="AM15" s="163"/>
      <c r="AN15" s="161"/>
      <c r="AO15" s="161"/>
      <c r="AP15" s="161"/>
      <c r="AQ15" s="161"/>
      <c r="AR15" s="161"/>
      <c r="AS15" s="119"/>
    </row>
    <row r="16">
      <c r="A16" s="137">
        <v>10.0</v>
      </c>
      <c r="B16" s="150"/>
      <c r="C16" s="104" t="s">
        <v>270</v>
      </c>
      <c r="D16" s="105" t="s">
        <v>52</v>
      </c>
      <c r="E16" s="107" t="s">
        <v>52</v>
      </c>
      <c r="F16" s="101"/>
      <c r="G16" s="40" t="s">
        <v>274</v>
      </c>
      <c r="H16" s="55" t="s">
        <v>276</v>
      </c>
      <c r="I16" s="69" t="s">
        <v>277</v>
      </c>
      <c r="J16" s="20" t="s">
        <v>26</v>
      </c>
      <c r="K16" s="37">
        <v>43911.0</v>
      </c>
      <c r="L16" s="37">
        <v>43919.0</v>
      </c>
      <c r="M16" s="73" t="s">
        <v>279</v>
      </c>
      <c r="N16" s="73" t="s">
        <v>72</v>
      </c>
      <c r="O16" s="113">
        <v>43716.0</v>
      </c>
      <c r="P16" s="37">
        <v>43776.0</v>
      </c>
      <c r="Q16" s="22"/>
      <c r="R16" s="22"/>
      <c r="S16" s="117"/>
      <c r="T16" s="157"/>
      <c r="U16" s="161"/>
      <c r="V16" s="161"/>
      <c r="W16" s="120" t="s">
        <v>97</v>
      </c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3"/>
      <c r="AI16" s="163"/>
      <c r="AJ16" s="163"/>
      <c r="AK16" s="163"/>
      <c r="AL16" s="163"/>
      <c r="AM16" s="163"/>
      <c r="AN16" s="161"/>
      <c r="AO16" s="161"/>
      <c r="AP16" s="161"/>
      <c r="AQ16" s="161"/>
      <c r="AR16" s="161"/>
      <c r="AS16" s="119"/>
    </row>
    <row r="17">
      <c r="A17" s="137">
        <v>830.0</v>
      </c>
      <c r="B17" s="103">
        <v>11.0</v>
      </c>
      <c r="C17" s="104" t="s">
        <v>281</v>
      </c>
      <c r="D17" s="105" t="s">
        <v>48</v>
      </c>
      <c r="E17" s="107" t="s">
        <v>48</v>
      </c>
      <c r="F17" s="109"/>
      <c r="G17" s="10" t="s">
        <v>285</v>
      </c>
      <c r="H17" s="17" t="s">
        <v>286</v>
      </c>
      <c r="I17" s="111" t="s">
        <v>288</v>
      </c>
      <c r="J17" s="155"/>
      <c r="K17" s="22" t="s">
        <v>27</v>
      </c>
      <c r="L17" s="22" t="s">
        <v>27</v>
      </c>
      <c r="M17" s="24" t="s">
        <v>290</v>
      </c>
      <c r="N17" s="24" t="s">
        <v>291</v>
      </c>
      <c r="O17" s="22" t="s">
        <v>27</v>
      </c>
      <c r="P17" s="22" t="s">
        <v>27</v>
      </c>
      <c r="Q17" s="223"/>
      <c r="R17" s="223"/>
      <c r="S17" s="224"/>
      <c r="T17" s="118"/>
      <c r="U17" s="176" t="s">
        <v>97</v>
      </c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21"/>
      <c r="AI17" s="121"/>
      <c r="AJ17" s="121"/>
      <c r="AK17" s="121"/>
      <c r="AL17" s="121"/>
      <c r="AM17" s="121"/>
      <c r="AN17" s="119"/>
      <c r="AO17" s="119"/>
      <c r="AP17" s="119"/>
      <c r="AQ17" s="119"/>
      <c r="AR17" s="119"/>
      <c r="AS17" s="119"/>
    </row>
    <row r="18">
      <c r="A18" s="101">
        <v>11.0</v>
      </c>
      <c r="B18" s="150"/>
      <c r="C18" s="104" t="s">
        <v>296</v>
      </c>
      <c r="D18" s="105" t="s">
        <v>70</v>
      </c>
      <c r="E18" s="107" t="s">
        <v>70</v>
      </c>
      <c r="F18" s="101"/>
      <c r="G18" s="40" t="s">
        <v>297</v>
      </c>
      <c r="H18" s="55" t="s">
        <v>298</v>
      </c>
      <c r="I18" s="69" t="s">
        <v>300</v>
      </c>
      <c r="J18" s="155"/>
      <c r="K18" s="37">
        <v>44113.0</v>
      </c>
      <c r="L18" s="37">
        <v>44115.0</v>
      </c>
      <c r="M18" s="73" t="s">
        <v>196</v>
      </c>
      <c r="N18" s="73" t="s">
        <v>29</v>
      </c>
      <c r="O18" s="113">
        <v>43922.0</v>
      </c>
      <c r="P18" s="37">
        <v>44015.0</v>
      </c>
      <c r="Q18" s="22"/>
      <c r="R18" s="22"/>
      <c r="S18" s="117"/>
      <c r="T18" s="157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3"/>
      <c r="AI18" s="163"/>
      <c r="AJ18" s="163"/>
      <c r="AK18" s="163"/>
      <c r="AL18" s="149" t="s">
        <v>97</v>
      </c>
      <c r="AM18" s="163"/>
      <c r="AN18" s="161"/>
      <c r="AO18" s="161"/>
      <c r="AP18" s="161"/>
      <c r="AQ18" s="161"/>
      <c r="AR18" s="161"/>
      <c r="AS18" s="119"/>
    </row>
    <row r="19">
      <c r="A19" s="137">
        <v>51.0</v>
      </c>
      <c r="B19" s="177">
        <v>8.0</v>
      </c>
      <c r="C19" s="104" t="s">
        <v>307</v>
      </c>
      <c r="D19" s="226" t="s">
        <v>54</v>
      </c>
      <c r="E19" s="227" t="s">
        <v>54</v>
      </c>
      <c r="F19" s="228"/>
      <c r="G19" s="183" t="s">
        <v>313</v>
      </c>
      <c r="H19" s="81" t="s">
        <v>314</v>
      </c>
      <c r="I19" s="84" t="str">
        <f>HYPERLINK("https://filmfreeway.com/AustinGLIFF","https://filmfreeway.com/AustinGLIFF")</f>
        <v>https://filmfreeway.com/AustinGLIFF</v>
      </c>
      <c r="J19" s="155"/>
      <c r="K19" s="37">
        <v>44049.0</v>
      </c>
      <c r="L19" s="37">
        <v>44052.0</v>
      </c>
      <c r="M19" s="85" t="s">
        <v>165</v>
      </c>
      <c r="N19" s="85" t="s">
        <v>102</v>
      </c>
      <c r="O19" s="113">
        <v>43842.0</v>
      </c>
      <c r="P19" s="37">
        <v>43989.0</v>
      </c>
      <c r="Q19" s="229"/>
      <c r="R19" s="229"/>
      <c r="S19" s="231" t="s">
        <v>97</v>
      </c>
      <c r="T19" s="181"/>
      <c r="U19" s="184"/>
      <c r="V19" s="184"/>
      <c r="W19" s="184"/>
      <c r="X19" s="184"/>
      <c r="Y19" s="233" t="s">
        <v>97</v>
      </c>
      <c r="Z19" s="184"/>
      <c r="AA19" s="184"/>
      <c r="AB19" s="184"/>
      <c r="AC19" s="184"/>
      <c r="AD19" s="186"/>
      <c r="AE19" s="187"/>
      <c r="AF19" s="184"/>
      <c r="AG19" s="187"/>
      <c r="AH19" s="189"/>
      <c r="AI19" s="189"/>
      <c r="AJ19" s="189"/>
      <c r="AK19" s="189"/>
      <c r="AL19" s="189"/>
      <c r="AM19" s="189"/>
      <c r="AN19" s="187"/>
      <c r="AO19" s="187"/>
      <c r="AP19" s="184"/>
      <c r="AQ19" s="187"/>
      <c r="AR19" s="187"/>
      <c r="AS19" s="119"/>
    </row>
    <row r="20">
      <c r="A20" s="137">
        <v>1006.0</v>
      </c>
      <c r="B20" s="173">
        <v>8.0</v>
      </c>
      <c r="C20" s="104" t="s">
        <v>325</v>
      </c>
      <c r="D20" s="107" t="s">
        <v>91</v>
      </c>
      <c r="E20" s="107" t="s">
        <v>326</v>
      </c>
      <c r="F20" s="101"/>
      <c r="G20" s="40" t="s">
        <v>327</v>
      </c>
      <c r="H20" s="234" t="s">
        <v>328</v>
      </c>
      <c r="I20" s="235" t="s">
        <v>332</v>
      </c>
      <c r="J20" s="155"/>
      <c r="K20" s="22" t="s">
        <v>27</v>
      </c>
      <c r="L20" s="22" t="s">
        <v>27</v>
      </c>
      <c r="M20" s="73" t="s">
        <v>335</v>
      </c>
      <c r="N20" s="179" t="s">
        <v>336</v>
      </c>
      <c r="O20" s="22" t="s">
        <v>27</v>
      </c>
      <c r="P20" s="22" t="s">
        <v>27</v>
      </c>
      <c r="Q20" s="22"/>
      <c r="R20" s="22"/>
      <c r="S20" s="117"/>
      <c r="T20" s="236"/>
      <c r="U20" s="161"/>
      <c r="V20" s="161"/>
      <c r="W20" s="120" t="s">
        <v>97</v>
      </c>
      <c r="X20" s="161"/>
      <c r="Y20" s="161"/>
      <c r="Z20" s="161"/>
      <c r="AA20" s="161"/>
      <c r="AB20" s="161"/>
      <c r="AC20" s="161"/>
      <c r="AD20" s="161"/>
      <c r="AE20" s="161"/>
      <c r="AF20" s="161"/>
      <c r="AG20" s="237"/>
      <c r="AH20" s="163"/>
      <c r="AI20" s="163"/>
      <c r="AJ20" s="163"/>
      <c r="AK20" s="163"/>
      <c r="AL20" s="163"/>
      <c r="AM20" s="163"/>
      <c r="AN20" s="161"/>
      <c r="AO20" s="161"/>
      <c r="AP20" s="161"/>
      <c r="AQ20" s="161"/>
      <c r="AR20" s="161"/>
      <c r="AS20" s="238" t="s">
        <v>97</v>
      </c>
    </row>
    <row r="21">
      <c r="A21" s="137">
        <v>12.0</v>
      </c>
      <c r="B21" s="197"/>
      <c r="C21" s="104" t="s">
        <v>341</v>
      </c>
      <c r="D21" s="138" t="s">
        <v>56</v>
      </c>
      <c r="E21" s="156" t="s">
        <v>227</v>
      </c>
      <c r="F21" s="204"/>
      <c r="G21" s="28" t="s">
        <v>30</v>
      </c>
      <c r="H21" s="32" t="s">
        <v>36</v>
      </c>
      <c r="I21" s="34" t="s">
        <v>39</v>
      </c>
      <c r="J21" s="20" t="s">
        <v>42</v>
      </c>
      <c r="K21" s="37">
        <v>43999.0</v>
      </c>
      <c r="L21" s="37">
        <v>44003.0</v>
      </c>
      <c r="M21" s="38" t="s">
        <v>44</v>
      </c>
      <c r="N21" s="38" t="s">
        <v>46</v>
      </c>
      <c r="O21" s="113">
        <v>43830.0</v>
      </c>
      <c r="P21" s="37">
        <v>43862.0</v>
      </c>
      <c r="Q21" s="22"/>
      <c r="R21" s="22"/>
      <c r="S21" s="117"/>
      <c r="T21" s="208"/>
      <c r="U21" s="212"/>
      <c r="V21" s="212"/>
      <c r="W21" s="212"/>
      <c r="X21" s="212"/>
      <c r="Y21" s="212"/>
      <c r="Z21" s="212"/>
      <c r="AA21" s="213" t="s">
        <v>97</v>
      </c>
      <c r="AB21" s="212"/>
      <c r="AC21" s="212"/>
      <c r="AD21" s="186"/>
      <c r="AE21" s="187"/>
      <c r="AF21" s="212"/>
      <c r="AG21" s="187"/>
      <c r="AH21" s="189"/>
      <c r="AI21" s="189"/>
      <c r="AJ21" s="189"/>
      <c r="AK21" s="189"/>
      <c r="AL21" s="189"/>
      <c r="AM21" s="189"/>
      <c r="AN21" s="187"/>
      <c r="AO21" s="187"/>
      <c r="AP21" s="212"/>
      <c r="AQ21" s="187"/>
      <c r="AR21" s="187"/>
      <c r="AS21" s="119"/>
    </row>
    <row r="22">
      <c r="A22" s="137">
        <v>13.0</v>
      </c>
      <c r="B22" s="173">
        <v>10.0</v>
      </c>
      <c r="C22" s="104" t="s">
        <v>344</v>
      </c>
      <c r="D22" s="138" t="s">
        <v>75</v>
      </c>
      <c r="E22" s="107" t="s">
        <v>345</v>
      </c>
      <c r="F22" s="101"/>
      <c r="G22" s="40" t="s">
        <v>346</v>
      </c>
      <c r="H22" s="55" t="s">
        <v>347</v>
      </c>
      <c r="I22" s="175" t="s">
        <v>354</v>
      </c>
      <c r="J22" s="155"/>
      <c r="K22" s="37">
        <v>43914.0</v>
      </c>
      <c r="L22" s="37">
        <v>43918.0</v>
      </c>
      <c r="M22" s="85" t="s">
        <v>356</v>
      </c>
      <c r="N22" s="85" t="s">
        <v>357</v>
      </c>
      <c r="O22" s="37">
        <v>43983.0</v>
      </c>
      <c r="P22" s="37">
        <v>44075.0</v>
      </c>
      <c r="Q22" s="22"/>
      <c r="R22" s="22"/>
      <c r="S22" s="117"/>
      <c r="T22" s="181" t="s">
        <v>50</v>
      </c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3"/>
      <c r="AI22" s="163"/>
      <c r="AJ22" s="163"/>
      <c r="AK22" s="163"/>
      <c r="AL22" s="163"/>
      <c r="AM22" s="163"/>
      <c r="AN22" s="143" t="s">
        <v>97</v>
      </c>
      <c r="AO22" s="161"/>
      <c r="AP22" s="161"/>
      <c r="AQ22" s="161"/>
      <c r="AR22" s="161"/>
      <c r="AS22" s="119"/>
    </row>
    <row r="23">
      <c r="A23" s="137">
        <v>763.0</v>
      </c>
      <c r="B23" s="103"/>
      <c r="C23" s="104" t="s">
        <v>358</v>
      </c>
      <c r="D23" s="105" t="s">
        <v>51</v>
      </c>
      <c r="E23" s="107" t="s">
        <v>362</v>
      </c>
      <c r="F23" s="109"/>
      <c r="G23" s="10" t="s">
        <v>363</v>
      </c>
      <c r="H23" s="17" t="s">
        <v>364</v>
      </c>
      <c r="I23" s="111" t="s">
        <v>366</v>
      </c>
      <c r="J23" s="222" t="s">
        <v>371</v>
      </c>
      <c r="K23" s="113">
        <v>43917.0</v>
      </c>
      <c r="L23" s="113">
        <v>43921.0</v>
      </c>
      <c r="M23" s="24" t="s">
        <v>372</v>
      </c>
      <c r="N23" s="24" t="s">
        <v>72</v>
      </c>
      <c r="O23" s="114">
        <v>43632.0</v>
      </c>
      <c r="P23" s="114">
        <v>43842.0</v>
      </c>
      <c r="Q23" s="115"/>
      <c r="R23" s="200" t="s">
        <v>222</v>
      </c>
      <c r="S23" s="224"/>
      <c r="T23" s="118"/>
      <c r="U23" s="119"/>
      <c r="V23" s="241" t="s">
        <v>97</v>
      </c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21"/>
      <c r="AI23" s="121"/>
      <c r="AJ23" s="242" t="s">
        <v>97</v>
      </c>
      <c r="AK23" s="121"/>
      <c r="AL23" s="121"/>
      <c r="AM23" s="121"/>
      <c r="AN23" s="119"/>
      <c r="AO23" s="119"/>
      <c r="AP23" s="119"/>
      <c r="AQ23" s="119"/>
      <c r="AR23" s="119"/>
      <c r="AS23" s="119"/>
    </row>
    <row r="24">
      <c r="A24" s="101">
        <v>14.0</v>
      </c>
      <c r="B24" s="150"/>
      <c r="C24" s="104" t="s">
        <v>374</v>
      </c>
      <c r="D24" s="105" t="s">
        <v>64</v>
      </c>
      <c r="E24" s="107" t="s">
        <v>64</v>
      </c>
      <c r="F24" s="101"/>
      <c r="G24" s="40" t="s">
        <v>375</v>
      </c>
      <c r="H24" s="55" t="s">
        <v>376</v>
      </c>
      <c r="I24" s="69" t="s">
        <v>382</v>
      </c>
      <c r="J24" s="155"/>
      <c r="K24" s="37">
        <v>43841.0</v>
      </c>
      <c r="L24" s="37">
        <v>43841.0</v>
      </c>
      <c r="M24" s="73" t="s">
        <v>383</v>
      </c>
      <c r="N24" s="73" t="s">
        <v>179</v>
      </c>
      <c r="O24" s="113">
        <v>43505.0</v>
      </c>
      <c r="P24" s="37">
        <v>43700.0</v>
      </c>
      <c r="Q24" s="22"/>
      <c r="R24" s="22"/>
      <c r="S24" s="117"/>
      <c r="T24" s="157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246" t="s">
        <v>97</v>
      </c>
      <c r="AI24" s="163"/>
      <c r="AJ24" s="163"/>
      <c r="AK24" s="163"/>
      <c r="AL24" s="163"/>
      <c r="AM24" s="163"/>
      <c r="AN24" s="161"/>
      <c r="AO24" s="161"/>
      <c r="AP24" s="161"/>
      <c r="AQ24" s="161"/>
      <c r="AR24" s="161"/>
      <c r="AS24" s="119"/>
    </row>
    <row r="25">
      <c r="A25" s="137">
        <v>15.0</v>
      </c>
      <c r="B25" s="214">
        <v>10.0</v>
      </c>
      <c r="C25" s="104" t="s">
        <v>385</v>
      </c>
      <c r="D25" s="138" t="s">
        <v>60</v>
      </c>
      <c r="E25" s="107" t="s">
        <v>390</v>
      </c>
      <c r="F25" s="204"/>
      <c r="G25" s="28" t="s">
        <v>392</v>
      </c>
      <c r="H25" s="81" t="s">
        <v>393</v>
      </c>
      <c r="I25" s="217" t="s">
        <v>397</v>
      </c>
      <c r="J25" s="155"/>
      <c r="K25" s="37">
        <v>44138.0</v>
      </c>
      <c r="L25" s="37">
        <v>44142.0</v>
      </c>
      <c r="M25" s="38" t="s">
        <v>399</v>
      </c>
      <c r="N25" s="38" t="s">
        <v>72</v>
      </c>
      <c r="O25" s="37">
        <v>43921.0</v>
      </c>
      <c r="P25" s="37">
        <v>44043.0</v>
      </c>
      <c r="Q25" s="22"/>
      <c r="R25" s="22"/>
      <c r="S25" s="117"/>
      <c r="T25" s="208"/>
      <c r="U25" s="212"/>
      <c r="V25" s="212"/>
      <c r="W25" s="212"/>
      <c r="X25" s="212"/>
      <c r="Y25" s="212"/>
      <c r="Z25" s="212"/>
      <c r="AA25" s="212"/>
      <c r="AB25" s="212"/>
      <c r="AC25" s="212"/>
      <c r="AD25" s="248" t="s">
        <v>97</v>
      </c>
      <c r="AE25" s="187"/>
      <c r="AF25" s="212"/>
      <c r="AG25" s="187"/>
      <c r="AH25" s="189"/>
      <c r="AI25" s="189"/>
      <c r="AJ25" s="189"/>
      <c r="AK25" s="189"/>
      <c r="AL25" s="189"/>
      <c r="AM25" s="189"/>
      <c r="AN25" s="187"/>
      <c r="AO25" s="187"/>
      <c r="AP25" s="212"/>
      <c r="AQ25" s="187"/>
      <c r="AR25" s="187"/>
      <c r="AS25" s="119"/>
    </row>
    <row r="26">
      <c r="A26" s="137">
        <v>16.0</v>
      </c>
      <c r="B26" s="150"/>
      <c r="C26" s="104" t="s">
        <v>401</v>
      </c>
      <c r="D26" s="105" t="s">
        <v>70</v>
      </c>
      <c r="E26" s="107" t="s">
        <v>70</v>
      </c>
      <c r="F26" s="101"/>
      <c r="G26" s="40" t="s">
        <v>402</v>
      </c>
      <c r="H26" s="55" t="s">
        <v>403</v>
      </c>
      <c r="I26" s="69" t="s">
        <v>409</v>
      </c>
      <c r="J26" s="155"/>
      <c r="K26" s="37">
        <v>44007.0</v>
      </c>
      <c r="L26" s="37">
        <v>44010.0</v>
      </c>
      <c r="M26" s="85" t="s">
        <v>322</v>
      </c>
      <c r="N26" s="73" t="s">
        <v>19</v>
      </c>
      <c r="O26" s="113">
        <v>43848.0</v>
      </c>
      <c r="P26" s="37">
        <v>43925.0</v>
      </c>
      <c r="Q26" s="22"/>
      <c r="R26" s="22"/>
      <c r="S26" s="117"/>
      <c r="T26" s="157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3"/>
      <c r="AI26" s="163"/>
      <c r="AJ26" s="163"/>
      <c r="AK26" s="163"/>
      <c r="AL26" s="149" t="s">
        <v>97</v>
      </c>
      <c r="AM26" s="163"/>
      <c r="AN26" s="161"/>
      <c r="AO26" s="161"/>
      <c r="AP26" s="161"/>
      <c r="AQ26" s="161"/>
      <c r="AR26" s="161"/>
      <c r="AS26" s="119"/>
    </row>
    <row r="27">
      <c r="A27" s="101">
        <v>831.0</v>
      </c>
      <c r="B27" s="103">
        <v>12.0</v>
      </c>
      <c r="C27" s="104" t="s">
        <v>415</v>
      </c>
      <c r="D27" s="105" t="s">
        <v>48</v>
      </c>
      <c r="E27" s="107" t="s">
        <v>48</v>
      </c>
      <c r="F27" s="109"/>
      <c r="G27" s="10" t="s">
        <v>416</v>
      </c>
      <c r="H27" s="17" t="s">
        <v>417</v>
      </c>
      <c r="I27" s="111" t="s">
        <v>418</v>
      </c>
      <c r="J27" s="155"/>
      <c r="K27" s="37">
        <v>44169.0</v>
      </c>
      <c r="L27" s="37">
        <v>44178.0</v>
      </c>
      <c r="M27" s="24" t="s">
        <v>422</v>
      </c>
      <c r="N27" s="24" t="s">
        <v>423</v>
      </c>
      <c r="O27" s="37">
        <v>43952.0</v>
      </c>
      <c r="P27" s="37">
        <v>44089.0</v>
      </c>
      <c r="Q27" s="223"/>
      <c r="R27" s="223"/>
      <c r="S27" s="203" t="s">
        <v>97</v>
      </c>
      <c r="T27" s="118"/>
      <c r="U27" s="176" t="s">
        <v>97</v>
      </c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21"/>
      <c r="AI27" s="121"/>
      <c r="AJ27" s="121"/>
      <c r="AK27" s="121"/>
      <c r="AL27" s="121"/>
      <c r="AM27" s="121"/>
      <c r="AN27" s="119"/>
      <c r="AO27" s="119"/>
      <c r="AP27" s="119"/>
      <c r="AQ27" s="119"/>
      <c r="AR27" s="119"/>
      <c r="AS27" s="119"/>
    </row>
    <row r="28">
      <c r="A28" s="101">
        <v>17.0</v>
      </c>
      <c r="B28" s="150"/>
      <c r="C28" s="104" t="s">
        <v>425</v>
      </c>
      <c r="D28" s="105" t="s">
        <v>70</v>
      </c>
      <c r="E28" s="107" t="s">
        <v>426</v>
      </c>
      <c r="F28" s="101"/>
      <c r="G28" s="40" t="s">
        <v>427</v>
      </c>
      <c r="H28" s="55" t="s">
        <v>428</v>
      </c>
      <c r="I28" s="69" t="s">
        <v>433</v>
      </c>
      <c r="J28" s="155"/>
      <c r="K28" s="37">
        <v>44123.0</v>
      </c>
      <c r="L28" s="37">
        <v>44123.0</v>
      </c>
      <c r="M28" s="73" t="s">
        <v>435</v>
      </c>
      <c r="N28" s="73" t="s">
        <v>231</v>
      </c>
      <c r="O28" s="37">
        <v>43997.0</v>
      </c>
      <c r="P28" s="37">
        <v>44043.0</v>
      </c>
      <c r="Q28" s="22"/>
      <c r="R28" s="22"/>
      <c r="S28" s="117"/>
      <c r="T28" s="157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3"/>
      <c r="AI28" s="163"/>
      <c r="AJ28" s="242" t="s">
        <v>97</v>
      </c>
      <c r="AK28" s="163"/>
      <c r="AL28" s="149" t="s">
        <v>97</v>
      </c>
      <c r="AM28" s="163"/>
      <c r="AN28" s="161"/>
      <c r="AO28" s="161"/>
      <c r="AP28" s="161"/>
      <c r="AQ28" s="161"/>
      <c r="AR28" s="161"/>
      <c r="AS28" s="119"/>
    </row>
    <row r="29">
      <c r="A29" s="137">
        <v>18.0</v>
      </c>
      <c r="B29" s="150">
        <v>10.0</v>
      </c>
      <c r="C29" s="104" t="s">
        <v>436</v>
      </c>
      <c r="D29" s="138" t="s">
        <v>75</v>
      </c>
      <c r="E29" s="107" t="s">
        <v>345</v>
      </c>
      <c r="F29" s="101"/>
      <c r="G29" s="40" t="s">
        <v>437</v>
      </c>
      <c r="H29" s="55" t="s">
        <v>438</v>
      </c>
      <c r="I29" s="69" t="s">
        <v>442</v>
      </c>
      <c r="J29" s="155"/>
      <c r="K29" s="22" t="s">
        <v>27</v>
      </c>
      <c r="L29" s="22" t="s">
        <v>27</v>
      </c>
      <c r="M29" s="73" t="s">
        <v>444</v>
      </c>
      <c r="N29" s="73" t="s">
        <v>72</v>
      </c>
      <c r="O29" s="22" t="s">
        <v>27</v>
      </c>
      <c r="P29" s="22" t="s">
        <v>27</v>
      </c>
      <c r="Q29" s="22"/>
      <c r="R29" s="22"/>
      <c r="S29" s="117"/>
      <c r="T29" s="157" t="s">
        <v>50</v>
      </c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3"/>
      <c r="AI29" s="163"/>
      <c r="AJ29" s="163"/>
      <c r="AK29" s="163"/>
      <c r="AL29" s="163"/>
      <c r="AM29" s="163"/>
      <c r="AN29" s="143" t="s">
        <v>97</v>
      </c>
      <c r="AO29" s="161"/>
      <c r="AP29" s="161"/>
      <c r="AQ29" s="161"/>
      <c r="AR29" s="161"/>
      <c r="AS29" s="119"/>
    </row>
    <row r="30">
      <c r="A30" s="137">
        <v>19.0</v>
      </c>
      <c r="B30" s="150"/>
      <c r="C30" s="104" t="s">
        <v>446</v>
      </c>
      <c r="D30" s="105" t="s">
        <v>66</v>
      </c>
      <c r="E30" s="107" t="s">
        <v>451</v>
      </c>
      <c r="F30" s="101"/>
      <c r="G30" s="40" t="s">
        <v>452</v>
      </c>
      <c r="H30" s="55" t="s">
        <v>453</v>
      </c>
      <c r="I30" s="69" t="s">
        <v>456</v>
      </c>
      <c r="J30" s="155"/>
      <c r="K30" s="37">
        <v>43848.0</v>
      </c>
      <c r="L30" s="37">
        <v>43848.0</v>
      </c>
      <c r="M30" s="73" t="s">
        <v>293</v>
      </c>
      <c r="N30" s="73" t="s">
        <v>179</v>
      </c>
      <c r="O30" s="113">
        <v>43677.0</v>
      </c>
      <c r="P30" s="37">
        <v>43784.0</v>
      </c>
      <c r="Q30" s="22"/>
      <c r="R30" s="22"/>
      <c r="S30" s="117"/>
      <c r="T30" s="157"/>
      <c r="U30" s="161"/>
      <c r="V30" s="161"/>
      <c r="W30" s="120" t="s">
        <v>97</v>
      </c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3"/>
      <c r="AI30" s="163"/>
      <c r="AJ30" s="242" t="s">
        <v>97</v>
      </c>
      <c r="AK30" s="163"/>
      <c r="AL30" s="163"/>
      <c r="AM30" s="163"/>
      <c r="AN30" s="161"/>
      <c r="AO30" s="161"/>
      <c r="AP30" s="161"/>
      <c r="AQ30" s="161"/>
      <c r="AR30" s="161"/>
      <c r="AS30" s="119"/>
    </row>
    <row r="31">
      <c r="A31" s="101">
        <v>20.0</v>
      </c>
      <c r="B31" s="197">
        <v>9.0</v>
      </c>
      <c r="C31" s="104" t="s">
        <v>458</v>
      </c>
      <c r="D31" s="105" t="s">
        <v>66</v>
      </c>
      <c r="E31" s="107" t="s">
        <v>66</v>
      </c>
      <c r="F31" s="204"/>
      <c r="G31" s="28" t="s">
        <v>459</v>
      </c>
      <c r="H31" s="32" t="s">
        <v>460</v>
      </c>
      <c r="I31" s="34" t="s">
        <v>462</v>
      </c>
      <c r="J31" s="155"/>
      <c r="K31" s="22" t="s">
        <v>27</v>
      </c>
      <c r="L31" s="22" t="s">
        <v>27</v>
      </c>
      <c r="M31" s="38" t="s">
        <v>28</v>
      </c>
      <c r="N31" s="38" t="s">
        <v>29</v>
      </c>
      <c r="O31" s="22" t="s">
        <v>27</v>
      </c>
      <c r="P31" s="22" t="s">
        <v>27</v>
      </c>
      <c r="Q31" s="201"/>
      <c r="R31" s="201"/>
      <c r="S31" s="224"/>
      <c r="T31" s="208"/>
      <c r="U31" s="212"/>
      <c r="V31" s="212"/>
      <c r="W31" s="212"/>
      <c r="X31" s="212"/>
      <c r="Y31" s="212"/>
      <c r="Z31" s="212"/>
      <c r="AA31" s="212"/>
      <c r="AB31" s="212"/>
      <c r="AC31" s="212"/>
      <c r="AD31" s="186"/>
      <c r="AE31" s="187"/>
      <c r="AF31" s="212"/>
      <c r="AG31" s="187"/>
      <c r="AH31" s="189"/>
      <c r="AI31" s="189"/>
      <c r="AJ31" s="242" t="s">
        <v>97</v>
      </c>
      <c r="AK31" s="189"/>
      <c r="AL31" s="189"/>
      <c r="AM31" s="189"/>
      <c r="AN31" s="187"/>
      <c r="AO31" s="187"/>
      <c r="AP31" s="212"/>
      <c r="AQ31" s="187"/>
      <c r="AR31" s="187"/>
      <c r="AS31" s="119"/>
    </row>
    <row r="32">
      <c r="A32" s="251">
        <v>1029.0</v>
      </c>
      <c r="B32" s="252"/>
      <c r="C32" s="254" t="s">
        <v>468</v>
      </c>
      <c r="D32" s="254" t="s">
        <v>66</v>
      </c>
      <c r="E32" s="255" t="s">
        <v>469</v>
      </c>
      <c r="F32" s="254"/>
      <c r="G32" s="256" t="s">
        <v>473</v>
      </c>
      <c r="H32" s="258" t="s">
        <v>475</v>
      </c>
      <c r="I32" s="259" t="s">
        <v>480</v>
      </c>
      <c r="J32" s="260"/>
      <c r="K32" s="261">
        <v>44107.0</v>
      </c>
      <c r="L32" s="262">
        <v>44108.0</v>
      </c>
      <c r="M32" s="264" t="s">
        <v>196</v>
      </c>
      <c r="N32" s="254" t="s">
        <v>29</v>
      </c>
      <c r="O32" s="262">
        <v>43678.0</v>
      </c>
      <c r="P32" s="262">
        <v>44042.0</v>
      </c>
      <c r="Q32" s="132"/>
      <c r="R32" s="132"/>
      <c r="S32" s="132"/>
      <c r="T32" s="265"/>
      <c r="U32" s="266"/>
      <c r="V32" s="266"/>
      <c r="W32" s="267" t="s">
        <v>97</v>
      </c>
      <c r="X32" s="266"/>
      <c r="Y32" s="266"/>
      <c r="Z32" s="266"/>
      <c r="AA32" s="266"/>
      <c r="AB32" s="266"/>
      <c r="AC32" s="266"/>
      <c r="AD32" s="266"/>
      <c r="AE32" s="266"/>
      <c r="AF32" s="266"/>
      <c r="AG32" s="266"/>
      <c r="AH32" s="266"/>
      <c r="AI32" s="266"/>
      <c r="AJ32" s="268" t="s">
        <v>97</v>
      </c>
      <c r="AK32" s="266"/>
      <c r="AL32" s="266"/>
      <c r="AM32" s="266"/>
      <c r="AN32" s="266"/>
      <c r="AO32" s="266"/>
      <c r="AP32" s="266"/>
      <c r="AQ32" s="266"/>
      <c r="AR32" s="266"/>
      <c r="AS32" s="269"/>
    </row>
    <row r="33">
      <c r="A33" s="137">
        <v>21.0</v>
      </c>
      <c r="B33" s="197"/>
      <c r="C33" s="104" t="s">
        <v>496</v>
      </c>
      <c r="D33" s="105" t="s">
        <v>48</v>
      </c>
      <c r="E33" s="107" t="s">
        <v>48</v>
      </c>
      <c r="F33" s="204"/>
      <c r="G33" s="28" t="s">
        <v>497</v>
      </c>
      <c r="H33" s="81" t="s">
        <v>498</v>
      </c>
      <c r="I33" s="34" t="s">
        <v>501</v>
      </c>
      <c r="J33" s="20" t="s">
        <v>505</v>
      </c>
      <c r="K33" s="37">
        <v>43914.0</v>
      </c>
      <c r="L33" s="37">
        <v>43919.0</v>
      </c>
      <c r="M33" s="38" t="s">
        <v>506</v>
      </c>
      <c r="N33" s="38" t="s">
        <v>155</v>
      </c>
      <c r="O33" s="37">
        <v>43677.0</v>
      </c>
      <c r="P33" s="37">
        <v>43747.0</v>
      </c>
      <c r="Q33" s="200" t="s">
        <v>222</v>
      </c>
      <c r="R33" s="22"/>
      <c r="S33" s="193" t="s">
        <v>97</v>
      </c>
      <c r="T33" s="208"/>
      <c r="U33" s="271" t="s">
        <v>97</v>
      </c>
      <c r="V33" s="212"/>
      <c r="W33" s="212"/>
      <c r="X33" s="212"/>
      <c r="Y33" s="212"/>
      <c r="Z33" s="212"/>
      <c r="AA33" s="212"/>
      <c r="AB33" s="212"/>
      <c r="AC33" s="212"/>
      <c r="AD33" s="186"/>
      <c r="AE33" s="187"/>
      <c r="AF33" s="212"/>
      <c r="AG33" s="187"/>
      <c r="AH33" s="189"/>
      <c r="AI33" s="189"/>
      <c r="AJ33" s="189"/>
      <c r="AK33" s="189"/>
      <c r="AL33" s="189"/>
      <c r="AM33" s="189"/>
      <c r="AN33" s="187"/>
      <c r="AO33" s="187"/>
      <c r="AP33" s="212"/>
      <c r="AQ33" s="187"/>
      <c r="AR33" s="187"/>
      <c r="AS33" s="119"/>
    </row>
    <row r="34">
      <c r="A34" s="137">
        <v>22.0</v>
      </c>
      <c r="B34" s="177"/>
      <c r="C34" s="104" t="s">
        <v>511</v>
      </c>
      <c r="D34" s="105" t="s">
        <v>48</v>
      </c>
      <c r="E34" s="107" t="s">
        <v>48</v>
      </c>
      <c r="F34" s="178"/>
      <c r="G34" s="77" t="s">
        <v>514</v>
      </c>
      <c r="H34" s="32" t="s">
        <v>515</v>
      </c>
      <c r="I34" s="84" t="s">
        <v>519</v>
      </c>
      <c r="J34" s="20" t="s">
        <v>521</v>
      </c>
      <c r="K34" s="37">
        <v>43916.0</v>
      </c>
      <c r="L34" s="37">
        <v>43919.0</v>
      </c>
      <c r="M34" s="85" t="s">
        <v>522</v>
      </c>
      <c r="N34" s="85" t="s">
        <v>379</v>
      </c>
      <c r="O34" s="113">
        <v>43723.0</v>
      </c>
      <c r="P34" s="37">
        <v>43814.0</v>
      </c>
      <c r="Q34" s="22"/>
      <c r="R34" s="22"/>
      <c r="S34" s="117"/>
      <c r="T34" s="181"/>
      <c r="U34" s="182" t="s">
        <v>97</v>
      </c>
      <c r="V34" s="184"/>
      <c r="W34" s="184"/>
      <c r="X34" s="184"/>
      <c r="Y34" s="184"/>
      <c r="Z34" s="184"/>
      <c r="AA34" s="184"/>
      <c r="AB34" s="184"/>
      <c r="AC34" s="184"/>
      <c r="AD34" s="186"/>
      <c r="AE34" s="187"/>
      <c r="AF34" s="184"/>
      <c r="AG34" s="187"/>
      <c r="AH34" s="189"/>
      <c r="AI34" s="189"/>
      <c r="AJ34" s="189"/>
      <c r="AK34" s="189"/>
      <c r="AL34" s="189"/>
      <c r="AM34" s="189"/>
      <c r="AN34" s="187"/>
      <c r="AO34" s="187"/>
      <c r="AP34" s="184"/>
      <c r="AQ34" s="187"/>
      <c r="AR34" s="187"/>
      <c r="AS34" s="119"/>
    </row>
    <row r="35">
      <c r="A35" s="137">
        <v>813.0</v>
      </c>
      <c r="B35" s="103">
        <v>12.0</v>
      </c>
      <c r="C35" s="104" t="s">
        <v>524</v>
      </c>
      <c r="D35" s="138" t="s">
        <v>48</v>
      </c>
      <c r="E35" s="107" t="s">
        <v>48</v>
      </c>
      <c r="F35" s="109"/>
      <c r="G35" s="10" t="s">
        <v>525</v>
      </c>
      <c r="H35" s="17" t="s">
        <v>526</v>
      </c>
      <c r="I35" s="111" t="s">
        <v>531</v>
      </c>
      <c r="J35" s="155"/>
      <c r="K35" s="37">
        <v>44164.0</v>
      </c>
      <c r="L35" s="37">
        <v>44178.0</v>
      </c>
      <c r="M35" s="24" t="s">
        <v>399</v>
      </c>
      <c r="N35" s="24" t="s">
        <v>72</v>
      </c>
      <c r="O35" s="37">
        <v>43890.0</v>
      </c>
      <c r="P35" s="37">
        <v>44119.0</v>
      </c>
      <c r="Q35" s="115"/>
      <c r="R35" s="115"/>
      <c r="S35" s="193" t="s">
        <v>97</v>
      </c>
      <c r="T35" s="118"/>
      <c r="U35" s="182" t="s">
        <v>97</v>
      </c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237"/>
      <c r="AH35" s="121"/>
      <c r="AI35" s="121"/>
      <c r="AJ35" s="121"/>
      <c r="AK35" s="121"/>
      <c r="AL35" s="121"/>
      <c r="AM35" s="121"/>
      <c r="AN35" s="119"/>
      <c r="AO35" s="119"/>
      <c r="AP35" s="119"/>
      <c r="AQ35" s="119"/>
      <c r="AR35" s="119"/>
      <c r="AS35" s="119"/>
    </row>
    <row r="36">
      <c r="A36" s="137">
        <v>23.0</v>
      </c>
      <c r="B36" s="150"/>
      <c r="C36" s="104" t="s">
        <v>533</v>
      </c>
      <c r="D36" s="138" t="s">
        <v>71</v>
      </c>
      <c r="E36" s="107" t="s">
        <v>71</v>
      </c>
      <c r="F36" s="101"/>
      <c r="G36" s="40" t="s">
        <v>535</v>
      </c>
      <c r="H36" s="55" t="s">
        <v>538</v>
      </c>
      <c r="I36" s="69" t="s">
        <v>541</v>
      </c>
      <c r="J36" s="155"/>
      <c r="K36" s="37">
        <v>44025.0</v>
      </c>
      <c r="L36" s="37">
        <v>44028.0</v>
      </c>
      <c r="M36" s="73" t="s">
        <v>543</v>
      </c>
      <c r="N36" s="73" t="s">
        <v>29</v>
      </c>
      <c r="O36" s="113">
        <v>43844.0</v>
      </c>
      <c r="P36" s="37">
        <v>43934.0</v>
      </c>
      <c r="Q36" s="22"/>
      <c r="R36" s="22"/>
      <c r="S36" s="117"/>
      <c r="T36" s="157"/>
      <c r="U36" s="161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61"/>
      <c r="AH36" s="121"/>
      <c r="AI36" s="163"/>
      <c r="AJ36" s="163"/>
      <c r="AK36" s="163"/>
      <c r="AL36" s="121"/>
      <c r="AM36" s="165" t="s">
        <v>97</v>
      </c>
      <c r="AN36" s="161"/>
      <c r="AO36" s="161"/>
      <c r="AP36" s="119"/>
      <c r="AQ36" s="161"/>
      <c r="AR36" s="161"/>
      <c r="AS36" s="119"/>
    </row>
    <row r="37">
      <c r="A37" s="101">
        <v>24.0</v>
      </c>
      <c r="B37" s="150"/>
      <c r="C37" s="104" t="s">
        <v>548</v>
      </c>
      <c r="D37" s="138" t="s">
        <v>63</v>
      </c>
      <c r="E37" s="107" t="s">
        <v>550</v>
      </c>
      <c r="F37" s="101"/>
      <c r="G37" s="40" t="s">
        <v>551</v>
      </c>
      <c r="H37" s="55" t="s">
        <v>552</v>
      </c>
      <c r="I37" s="69" t="s">
        <v>553</v>
      </c>
      <c r="J37" s="155"/>
      <c r="K37" s="37">
        <v>44113.0</v>
      </c>
      <c r="L37" s="37">
        <v>44115.0</v>
      </c>
      <c r="M37" s="73" t="s">
        <v>556</v>
      </c>
      <c r="N37" s="73" t="s">
        <v>179</v>
      </c>
      <c r="O37" s="113">
        <v>43831.0</v>
      </c>
      <c r="P37" s="37">
        <v>44058.0</v>
      </c>
      <c r="Q37" s="22"/>
      <c r="R37" s="22"/>
      <c r="S37" s="117"/>
      <c r="T37" s="157"/>
      <c r="U37" s="161"/>
      <c r="V37" s="161"/>
      <c r="W37" s="120" t="s">
        <v>97</v>
      </c>
      <c r="X37" s="161"/>
      <c r="Y37" s="161"/>
      <c r="Z37" s="161"/>
      <c r="AA37" s="161"/>
      <c r="AB37" s="161"/>
      <c r="AC37" s="161"/>
      <c r="AD37" s="161"/>
      <c r="AE37" s="161"/>
      <c r="AF37" s="161"/>
      <c r="AG37" s="275" t="s">
        <v>97</v>
      </c>
      <c r="AH37" s="163"/>
      <c r="AI37" s="163"/>
      <c r="AJ37" s="163"/>
      <c r="AK37" s="163"/>
      <c r="AL37" s="163"/>
      <c r="AM37" s="163"/>
      <c r="AN37" s="161"/>
      <c r="AO37" s="161"/>
      <c r="AP37" s="161"/>
      <c r="AQ37" s="161"/>
      <c r="AR37" s="161"/>
      <c r="AS37" s="119"/>
    </row>
    <row r="38">
      <c r="A38" s="137">
        <v>25.0</v>
      </c>
      <c r="B38" s="150">
        <v>10.0</v>
      </c>
      <c r="C38" s="104" t="s">
        <v>558</v>
      </c>
      <c r="D38" s="138" t="s">
        <v>61</v>
      </c>
      <c r="E38" s="107" t="s">
        <v>477</v>
      </c>
      <c r="F38" s="101"/>
      <c r="G38" s="40" t="s">
        <v>564</v>
      </c>
      <c r="H38" s="55" t="s">
        <v>565</v>
      </c>
      <c r="I38" s="69" t="s">
        <v>567</v>
      </c>
      <c r="J38" s="155"/>
      <c r="K38" s="22" t="s">
        <v>27</v>
      </c>
      <c r="L38" s="22" t="s">
        <v>27</v>
      </c>
      <c r="M38" s="73" t="s">
        <v>399</v>
      </c>
      <c r="N38" s="73" t="s">
        <v>72</v>
      </c>
      <c r="O38" s="22" t="s">
        <v>27</v>
      </c>
      <c r="P38" s="22" t="s">
        <v>27</v>
      </c>
      <c r="Q38" s="22"/>
      <c r="R38" s="22"/>
      <c r="S38" s="117"/>
      <c r="T38" s="157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277" t="s">
        <v>97</v>
      </c>
      <c r="AF38" s="161"/>
      <c r="AG38" s="161"/>
      <c r="AH38" s="163"/>
      <c r="AI38" s="163"/>
      <c r="AJ38" s="163"/>
      <c r="AK38" s="163"/>
      <c r="AL38" s="163"/>
      <c r="AM38" s="163"/>
      <c r="AN38" s="161"/>
      <c r="AO38" s="161"/>
      <c r="AP38" s="161"/>
      <c r="AQ38" s="161"/>
      <c r="AR38" s="161"/>
      <c r="AS38" s="119"/>
    </row>
    <row r="39">
      <c r="A39" s="137">
        <v>26.0</v>
      </c>
      <c r="B39" s="150"/>
      <c r="C39" s="104" t="s">
        <v>571</v>
      </c>
      <c r="D39" s="138" t="s">
        <v>61</v>
      </c>
      <c r="E39" s="107" t="s">
        <v>477</v>
      </c>
      <c r="F39" s="101"/>
      <c r="G39" s="40" t="s">
        <v>572</v>
      </c>
      <c r="H39" s="55" t="s">
        <v>573</v>
      </c>
      <c r="I39" s="69" t="s">
        <v>575</v>
      </c>
      <c r="J39" s="155"/>
      <c r="K39" s="37">
        <v>43987.0</v>
      </c>
      <c r="L39" s="37">
        <v>43996.0</v>
      </c>
      <c r="M39" s="73" t="s">
        <v>576</v>
      </c>
      <c r="N39" s="73" t="s">
        <v>155</v>
      </c>
      <c r="O39" s="113">
        <v>43863.0</v>
      </c>
      <c r="P39" s="37">
        <v>43891.0</v>
      </c>
      <c r="Q39" s="22"/>
      <c r="R39" s="22"/>
      <c r="S39" s="117"/>
      <c r="T39" s="157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277" t="s">
        <v>97</v>
      </c>
      <c r="AF39" s="161"/>
      <c r="AG39" s="161"/>
      <c r="AH39" s="163"/>
      <c r="AI39" s="163"/>
      <c r="AJ39" s="163"/>
      <c r="AK39" s="163"/>
      <c r="AL39" s="163"/>
      <c r="AM39" s="163"/>
      <c r="AN39" s="161"/>
      <c r="AO39" s="161"/>
      <c r="AP39" s="161"/>
      <c r="AQ39" s="161"/>
      <c r="AR39" s="161"/>
      <c r="AS39" s="119"/>
    </row>
    <row r="40">
      <c r="A40" s="137">
        <v>969.0</v>
      </c>
      <c r="B40" s="122">
        <v>10.0</v>
      </c>
      <c r="C40" s="123" t="s">
        <v>581</v>
      </c>
      <c r="D40" s="138" t="s">
        <v>61</v>
      </c>
      <c r="E40" s="138" t="s">
        <v>61</v>
      </c>
      <c r="F40" s="127"/>
      <c r="G40" s="128" t="s">
        <v>582</v>
      </c>
      <c r="H40" s="89" t="s">
        <v>583</v>
      </c>
      <c r="I40" s="91" t="str">
        <f>HYPERLINK("https://filmfreeway.com/ArabianSights","https://filmfreeway.com/ArabianSights")</f>
        <v>https://filmfreeway.com/ArabianSights</v>
      </c>
      <c r="J40" s="155"/>
      <c r="K40" s="22" t="s">
        <v>27</v>
      </c>
      <c r="L40" s="22" t="s">
        <v>27</v>
      </c>
      <c r="M40" s="130" t="s">
        <v>585</v>
      </c>
      <c r="N40" s="279" t="s">
        <v>132</v>
      </c>
      <c r="O40" s="22" t="s">
        <v>27</v>
      </c>
      <c r="P40" s="22" t="s">
        <v>27</v>
      </c>
      <c r="Q40" s="131"/>
      <c r="R40" s="132"/>
      <c r="S40" s="132"/>
      <c r="T40" s="118"/>
      <c r="U40" s="119"/>
      <c r="V40" s="119"/>
      <c r="W40" s="119"/>
      <c r="X40" s="119"/>
      <c r="Y40" s="134"/>
      <c r="Z40" s="119"/>
      <c r="AA40" s="119"/>
      <c r="AB40" s="119"/>
      <c r="AC40" s="119"/>
      <c r="AD40" s="119"/>
      <c r="AE40" s="277" t="s">
        <v>97</v>
      </c>
      <c r="AF40" s="119"/>
      <c r="AG40" s="119"/>
      <c r="AH40" s="121"/>
      <c r="AI40" s="121"/>
      <c r="AJ40" s="121"/>
      <c r="AK40" s="121"/>
      <c r="AL40" s="121"/>
      <c r="AM40" s="135"/>
      <c r="AN40" s="119"/>
      <c r="AO40" s="119"/>
      <c r="AP40" s="119"/>
      <c r="AQ40" s="119"/>
      <c r="AR40" s="119"/>
      <c r="AS40" s="119"/>
    </row>
    <row r="41">
      <c r="A41" s="101">
        <v>27.0</v>
      </c>
      <c r="B41" s="150"/>
      <c r="C41" s="104" t="s">
        <v>587</v>
      </c>
      <c r="D41" s="138" t="s">
        <v>71</v>
      </c>
      <c r="E41" s="107" t="s">
        <v>71</v>
      </c>
      <c r="F41" s="101"/>
      <c r="G41" s="40" t="s">
        <v>588</v>
      </c>
      <c r="H41" s="55" t="s">
        <v>589</v>
      </c>
      <c r="I41" s="69" t="s">
        <v>591</v>
      </c>
      <c r="J41" s="155"/>
      <c r="K41" s="37">
        <v>43964.0</v>
      </c>
      <c r="L41" s="37">
        <v>43968.0</v>
      </c>
      <c r="M41" s="73" t="s">
        <v>593</v>
      </c>
      <c r="N41" s="73" t="s">
        <v>594</v>
      </c>
      <c r="O41" s="113">
        <v>43784.0</v>
      </c>
      <c r="P41" s="37">
        <v>43784.0</v>
      </c>
      <c r="Q41" s="22"/>
      <c r="R41" s="22"/>
      <c r="S41" s="117"/>
      <c r="T41" s="157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3"/>
      <c r="AI41" s="163"/>
      <c r="AJ41" s="163"/>
      <c r="AK41" s="163"/>
      <c r="AL41" s="163"/>
      <c r="AM41" s="165" t="s">
        <v>97</v>
      </c>
      <c r="AN41" s="161"/>
      <c r="AO41" s="161"/>
      <c r="AP41" s="161"/>
      <c r="AQ41" s="161"/>
      <c r="AR41" s="161"/>
      <c r="AS41" s="119"/>
    </row>
    <row r="42">
      <c r="A42" s="137">
        <v>28.0</v>
      </c>
      <c r="B42" s="177"/>
      <c r="C42" s="104" t="s">
        <v>595</v>
      </c>
      <c r="D42" s="105" t="s">
        <v>48</v>
      </c>
      <c r="E42" s="107" t="s">
        <v>48</v>
      </c>
      <c r="F42" s="178"/>
      <c r="G42" s="77" t="s">
        <v>284</v>
      </c>
      <c r="H42" s="81" t="s">
        <v>287</v>
      </c>
      <c r="I42" s="84" t="s">
        <v>289</v>
      </c>
      <c r="J42" s="20" t="s">
        <v>292</v>
      </c>
      <c r="K42" s="37">
        <v>43936.0</v>
      </c>
      <c r="L42" s="37">
        <v>43947.0</v>
      </c>
      <c r="M42" s="85" t="s">
        <v>293</v>
      </c>
      <c r="N42" s="85" t="s">
        <v>179</v>
      </c>
      <c r="O42" s="113">
        <v>43840.0</v>
      </c>
      <c r="P42" s="37">
        <v>43881.0</v>
      </c>
      <c r="Q42" s="22"/>
      <c r="R42" s="22"/>
      <c r="S42" s="117"/>
      <c r="T42" s="181"/>
      <c r="U42" s="182" t="s">
        <v>97</v>
      </c>
      <c r="V42" s="184"/>
      <c r="W42" s="184"/>
      <c r="X42" s="184"/>
      <c r="Y42" s="184"/>
      <c r="Z42" s="184"/>
      <c r="AA42" s="184"/>
      <c r="AB42" s="184"/>
      <c r="AC42" s="184"/>
      <c r="AD42" s="186"/>
      <c r="AE42" s="187"/>
      <c r="AF42" s="184"/>
      <c r="AG42" s="187"/>
      <c r="AH42" s="189"/>
      <c r="AI42" s="189"/>
      <c r="AJ42" s="189"/>
      <c r="AK42" s="189"/>
      <c r="AL42" s="189"/>
      <c r="AM42" s="189"/>
      <c r="AN42" s="187"/>
      <c r="AO42" s="187"/>
      <c r="AP42" s="184"/>
      <c r="AQ42" s="187"/>
      <c r="AR42" s="187"/>
      <c r="AS42" s="119"/>
    </row>
    <row r="43">
      <c r="A43" s="137">
        <v>832.0</v>
      </c>
      <c r="B43" s="103">
        <v>9.0</v>
      </c>
      <c r="C43" s="104" t="s">
        <v>602</v>
      </c>
      <c r="D43" s="105" t="s">
        <v>65</v>
      </c>
      <c r="E43" s="107" t="s">
        <v>65</v>
      </c>
      <c r="F43" s="109"/>
      <c r="G43" s="10" t="s">
        <v>603</v>
      </c>
      <c r="H43" s="17" t="s">
        <v>604</v>
      </c>
      <c r="I43" s="111" t="s">
        <v>606</v>
      </c>
      <c r="J43" s="155"/>
      <c r="K43" s="22" t="s">
        <v>27</v>
      </c>
      <c r="L43" s="22" t="s">
        <v>27</v>
      </c>
      <c r="M43" s="24" t="s">
        <v>611</v>
      </c>
      <c r="N43" s="24" t="s">
        <v>179</v>
      </c>
      <c r="O43" s="22" t="s">
        <v>27</v>
      </c>
      <c r="P43" s="22" t="s">
        <v>27</v>
      </c>
      <c r="Q43" s="223"/>
      <c r="R43" s="223"/>
      <c r="S43" s="224"/>
      <c r="T43" s="118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21"/>
      <c r="AI43" s="283" t="s">
        <v>97</v>
      </c>
      <c r="AJ43" s="121"/>
      <c r="AK43" s="121"/>
      <c r="AL43" s="121"/>
      <c r="AM43" s="121"/>
      <c r="AN43" s="119"/>
      <c r="AO43" s="119"/>
      <c r="AP43" s="119"/>
      <c r="AQ43" s="119"/>
      <c r="AR43" s="119"/>
      <c r="AS43" s="119"/>
    </row>
    <row r="44">
      <c r="A44" s="101">
        <v>938.0</v>
      </c>
      <c r="B44" s="284"/>
      <c r="C44" s="123" t="s">
        <v>613</v>
      </c>
      <c r="D44" s="285" t="s">
        <v>52</v>
      </c>
      <c r="E44" s="287" t="s">
        <v>52</v>
      </c>
      <c r="F44" s="127"/>
      <c r="G44" s="128" t="s">
        <v>617</v>
      </c>
      <c r="H44" s="89" t="s">
        <v>618</v>
      </c>
      <c r="I44" s="91" t="str">
        <f>HYPERLINK("https://filmfreeway.com/ArkansasShorts","https://filmfreeway.com/ArkansasShorts")</f>
        <v>https://filmfreeway.com/ArkansasShorts</v>
      </c>
      <c r="J44" s="288"/>
      <c r="K44" s="145">
        <v>43834.0</v>
      </c>
      <c r="L44" s="145">
        <v>43834.0</v>
      </c>
      <c r="M44" s="130" t="s">
        <v>625</v>
      </c>
      <c r="N44" s="130" t="s">
        <v>626</v>
      </c>
      <c r="O44" s="145">
        <v>43678.0</v>
      </c>
      <c r="P44" s="282">
        <v>43770.0</v>
      </c>
      <c r="Q44" s="131"/>
      <c r="R44" s="132"/>
      <c r="S44" s="132"/>
      <c r="T44" s="118"/>
      <c r="U44" s="119"/>
      <c r="V44" s="119"/>
      <c r="W44" s="120" t="s">
        <v>97</v>
      </c>
      <c r="X44" s="119"/>
      <c r="Y44" s="134"/>
      <c r="Z44" s="119"/>
      <c r="AA44" s="119"/>
      <c r="AB44" s="119"/>
      <c r="AC44" s="119"/>
      <c r="AD44" s="119"/>
      <c r="AE44" s="119"/>
      <c r="AF44" s="119"/>
      <c r="AG44" s="119"/>
      <c r="AH44" s="121"/>
      <c r="AI44" s="121"/>
      <c r="AJ44" s="121"/>
      <c r="AK44" s="121"/>
      <c r="AL44" s="121"/>
      <c r="AM44" s="135"/>
      <c r="AN44" s="119"/>
      <c r="AO44" s="119"/>
      <c r="AP44" s="119"/>
      <c r="AQ44" s="119"/>
      <c r="AR44" s="119"/>
      <c r="AS44" s="119"/>
    </row>
    <row r="45">
      <c r="A45" s="137">
        <v>29.0</v>
      </c>
      <c r="B45" s="150">
        <v>11.0</v>
      </c>
      <c r="C45" s="104" t="s">
        <v>627</v>
      </c>
      <c r="D45" s="105" t="s">
        <v>48</v>
      </c>
      <c r="E45" s="107" t="s">
        <v>48</v>
      </c>
      <c r="F45" s="101"/>
      <c r="G45" s="40" t="s">
        <v>628</v>
      </c>
      <c r="H45" s="55" t="s">
        <v>629</v>
      </c>
      <c r="I45" s="69" t="s">
        <v>630</v>
      </c>
      <c r="J45" s="155"/>
      <c r="K45" s="37">
        <v>44140.0</v>
      </c>
      <c r="L45" s="37">
        <v>44143.0</v>
      </c>
      <c r="M45" s="73" t="s">
        <v>632</v>
      </c>
      <c r="N45" s="73" t="s">
        <v>80</v>
      </c>
      <c r="O45" s="37">
        <v>43890.0</v>
      </c>
      <c r="P45" s="37">
        <v>43981.0</v>
      </c>
      <c r="Q45" s="22"/>
      <c r="R45" s="22"/>
      <c r="S45" s="193" t="s">
        <v>97</v>
      </c>
      <c r="T45" s="157"/>
      <c r="U45" s="176" t="s">
        <v>97</v>
      </c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3"/>
      <c r="AI45" s="163"/>
      <c r="AJ45" s="163"/>
      <c r="AK45" s="163"/>
      <c r="AL45" s="163"/>
      <c r="AM45" s="163"/>
      <c r="AN45" s="161"/>
      <c r="AO45" s="161"/>
      <c r="AP45" s="161"/>
      <c r="AQ45" s="161"/>
      <c r="AR45" s="161"/>
      <c r="AS45" s="119"/>
    </row>
    <row r="46">
      <c r="A46" s="137">
        <v>833.0</v>
      </c>
      <c r="B46" s="103">
        <v>11.0</v>
      </c>
      <c r="C46" s="104" t="s">
        <v>634</v>
      </c>
      <c r="D46" s="138" t="s">
        <v>71</v>
      </c>
      <c r="E46" s="107" t="s">
        <v>71</v>
      </c>
      <c r="F46" s="109"/>
      <c r="G46" s="10" t="s">
        <v>635</v>
      </c>
      <c r="H46" s="17" t="s">
        <v>636</v>
      </c>
      <c r="I46" s="111" t="s">
        <v>638</v>
      </c>
      <c r="J46" s="155"/>
      <c r="K46" s="22" t="s">
        <v>27</v>
      </c>
      <c r="L46" s="22" t="s">
        <v>27</v>
      </c>
      <c r="M46" s="24" t="s">
        <v>221</v>
      </c>
      <c r="N46" s="24" t="s">
        <v>72</v>
      </c>
      <c r="O46" s="22" t="s">
        <v>27</v>
      </c>
      <c r="P46" s="22" t="s">
        <v>27</v>
      </c>
      <c r="Q46" s="223"/>
      <c r="R46" s="223"/>
      <c r="S46" s="224"/>
      <c r="T46" s="118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21"/>
      <c r="AI46" s="121"/>
      <c r="AJ46" s="121"/>
      <c r="AK46" s="121"/>
      <c r="AL46" s="121"/>
      <c r="AM46" s="165" t="s">
        <v>97</v>
      </c>
      <c r="AN46" s="119"/>
      <c r="AO46" s="119"/>
      <c r="AP46" s="119"/>
      <c r="AQ46" s="119"/>
      <c r="AR46" s="119"/>
      <c r="AS46" s="119"/>
    </row>
    <row r="47">
      <c r="A47" s="101">
        <v>30.0</v>
      </c>
      <c r="B47" s="292"/>
      <c r="C47" s="104" t="s">
        <v>641</v>
      </c>
      <c r="D47" s="105" t="s">
        <v>48</v>
      </c>
      <c r="E47" s="107" t="s">
        <v>48</v>
      </c>
      <c r="F47" s="190"/>
      <c r="G47" s="192" t="s">
        <v>642</v>
      </c>
      <c r="H47" s="81" t="s">
        <v>643</v>
      </c>
      <c r="I47" s="158" t="s">
        <v>645</v>
      </c>
      <c r="J47" s="155"/>
      <c r="K47" s="37">
        <v>43983.0</v>
      </c>
      <c r="L47" s="37">
        <v>43989.0</v>
      </c>
      <c r="M47" s="73" t="s">
        <v>28</v>
      </c>
      <c r="N47" s="73" t="s">
        <v>29</v>
      </c>
      <c r="O47" s="113">
        <v>43770.0</v>
      </c>
      <c r="P47" s="37">
        <v>43942.0</v>
      </c>
      <c r="Q47" s="22"/>
      <c r="R47" s="22"/>
      <c r="S47" s="117"/>
      <c r="T47" s="157"/>
      <c r="U47" s="293" t="s">
        <v>97</v>
      </c>
      <c r="V47" s="194"/>
      <c r="W47" s="194"/>
      <c r="X47" s="194"/>
      <c r="Y47" s="194"/>
      <c r="Z47" s="194"/>
      <c r="AA47" s="194"/>
      <c r="AB47" s="194"/>
      <c r="AC47" s="194"/>
      <c r="AD47" s="186"/>
      <c r="AE47" s="187"/>
      <c r="AF47" s="194"/>
      <c r="AG47" s="187"/>
      <c r="AH47" s="189"/>
      <c r="AI47" s="189"/>
      <c r="AJ47" s="189"/>
      <c r="AK47" s="189"/>
      <c r="AL47" s="189"/>
      <c r="AM47" s="189"/>
      <c r="AN47" s="187"/>
      <c r="AO47" s="187"/>
      <c r="AP47" s="194"/>
      <c r="AQ47" s="187"/>
      <c r="AR47" s="187"/>
      <c r="AS47" s="119"/>
    </row>
    <row r="48">
      <c r="A48" s="137">
        <v>31.0</v>
      </c>
      <c r="B48" s="292"/>
      <c r="C48" s="104" t="s">
        <v>653</v>
      </c>
      <c r="D48" s="105" t="s">
        <v>53</v>
      </c>
      <c r="E48" s="107" t="s">
        <v>53</v>
      </c>
      <c r="F48" s="190"/>
      <c r="G48" s="192" t="s">
        <v>655</v>
      </c>
      <c r="H48" s="81" t="s">
        <v>656</v>
      </c>
      <c r="I48" s="158" t="s">
        <v>660</v>
      </c>
      <c r="J48" s="155"/>
      <c r="K48" s="37">
        <v>43943.0</v>
      </c>
      <c r="L48" s="37">
        <v>43946.0</v>
      </c>
      <c r="M48" s="73" t="s">
        <v>662</v>
      </c>
      <c r="N48" s="73" t="s">
        <v>72</v>
      </c>
      <c r="O48" s="113">
        <v>43646.0</v>
      </c>
      <c r="P48" s="37">
        <v>43799.0</v>
      </c>
      <c r="Q48" s="22"/>
      <c r="R48" s="22"/>
      <c r="S48" s="117"/>
      <c r="T48" s="157"/>
      <c r="U48" s="194"/>
      <c r="V48" s="194"/>
      <c r="W48" s="194"/>
      <c r="X48" s="295" t="s">
        <v>97</v>
      </c>
      <c r="Y48" s="194"/>
      <c r="Z48" s="194"/>
      <c r="AA48" s="194"/>
      <c r="AB48" s="194"/>
      <c r="AC48" s="194"/>
      <c r="AD48" s="186"/>
      <c r="AE48" s="187"/>
      <c r="AF48" s="194"/>
      <c r="AG48" s="187"/>
      <c r="AH48" s="189"/>
      <c r="AI48" s="189"/>
      <c r="AJ48" s="189"/>
      <c r="AK48" s="189"/>
      <c r="AL48" s="189"/>
      <c r="AM48" s="189"/>
      <c r="AN48" s="187"/>
      <c r="AO48" s="187"/>
      <c r="AP48" s="194"/>
      <c r="AQ48" s="187"/>
      <c r="AR48" s="187"/>
      <c r="AS48" s="119"/>
    </row>
    <row r="49">
      <c r="A49" s="137">
        <v>32.0</v>
      </c>
      <c r="B49" s="150">
        <v>10.0</v>
      </c>
      <c r="C49" s="104" t="s">
        <v>664</v>
      </c>
      <c r="D49" s="105" t="s">
        <v>48</v>
      </c>
      <c r="E49" s="107" t="s">
        <v>48</v>
      </c>
      <c r="F49" s="101"/>
      <c r="G49" s="40" t="s">
        <v>665</v>
      </c>
      <c r="H49" s="55" t="s">
        <v>666</v>
      </c>
      <c r="I49" s="69" t="s">
        <v>667</v>
      </c>
      <c r="J49" s="155"/>
      <c r="K49" s="37">
        <v>44119.0</v>
      </c>
      <c r="L49" s="37">
        <v>44121.0</v>
      </c>
      <c r="M49" s="73" t="s">
        <v>196</v>
      </c>
      <c r="N49" s="73" t="s">
        <v>29</v>
      </c>
      <c r="O49" s="37">
        <v>43845.0</v>
      </c>
      <c r="P49" s="37">
        <v>43982.0</v>
      </c>
      <c r="Q49" s="22"/>
      <c r="R49" s="22"/>
      <c r="S49" s="117"/>
      <c r="T49" s="157"/>
      <c r="U49" s="176" t="s">
        <v>97</v>
      </c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3"/>
      <c r="AI49" s="163"/>
      <c r="AJ49" s="163"/>
      <c r="AK49" s="163"/>
      <c r="AL49" s="163"/>
      <c r="AM49" s="163"/>
      <c r="AN49" s="161"/>
      <c r="AO49" s="161"/>
      <c r="AP49" s="161"/>
      <c r="AQ49" s="161"/>
      <c r="AR49" s="161"/>
      <c r="AS49" s="119"/>
    </row>
    <row r="50">
      <c r="A50" s="101">
        <v>33.0</v>
      </c>
      <c r="B50" s="173">
        <v>3.0</v>
      </c>
      <c r="C50" s="104" t="s">
        <v>674</v>
      </c>
      <c r="D50" s="296" t="s">
        <v>55</v>
      </c>
      <c r="E50" s="297" t="s">
        <v>55</v>
      </c>
      <c r="F50" s="101"/>
      <c r="G50" s="40" t="s">
        <v>676</v>
      </c>
      <c r="H50" s="55" t="s">
        <v>677</v>
      </c>
      <c r="I50" s="289" t="s">
        <v>24</v>
      </c>
      <c r="J50" s="155"/>
      <c r="K50" s="22" t="s">
        <v>27</v>
      </c>
      <c r="L50" s="22" t="s">
        <v>27</v>
      </c>
      <c r="M50" s="290" t="s">
        <v>679</v>
      </c>
      <c r="N50" s="290" t="s">
        <v>159</v>
      </c>
      <c r="O50" s="22" t="s">
        <v>27</v>
      </c>
      <c r="P50" s="22" t="s">
        <v>27</v>
      </c>
      <c r="Q50" s="223"/>
      <c r="R50" s="223"/>
      <c r="S50" s="224"/>
      <c r="T50" s="141"/>
      <c r="U50" s="119"/>
      <c r="V50" s="119"/>
      <c r="W50" s="119"/>
      <c r="X50" s="119"/>
      <c r="Y50" s="119"/>
      <c r="Z50" s="299" t="s">
        <v>97</v>
      </c>
      <c r="AA50" s="119"/>
      <c r="AB50" s="119"/>
      <c r="AC50" s="119"/>
      <c r="AD50" s="119"/>
      <c r="AE50" s="119"/>
      <c r="AF50" s="119"/>
      <c r="AG50" s="119"/>
      <c r="AH50" s="121"/>
      <c r="AI50" s="121"/>
      <c r="AJ50" s="121"/>
      <c r="AK50" s="121"/>
      <c r="AL50" s="121"/>
      <c r="AM50" s="121"/>
      <c r="AN50" s="119"/>
      <c r="AO50" s="119"/>
      <c r="AP50" s="119"/>
      <c r="AQ50" s="119"/>
      <c r="AR50" s="119"/>
      <c r="AS50" s="119"/>
    </row>
    <row r="51">
      <c r="A51" s="137">
        <v>34.0</v>
      </c>
      <c r="B51" s="197"/>
      <c r="C51" s="104" t="s">
        <v>680</v>
      </c>
      <c r="D51" s="105" t="s">
        <v>48</v>
      </c>
      <c r="E51" s="107" t="s">
        <v>48</v>
      </c>
      <c r="F51" s="178"/>
      <c r="G51" s="77" t="s">
        <v>681</v>
      </c>
      <c r="H51" s="32" t="s">
        <v>682</v>
      </c>
      <c r="I51" s="34" t="s">
        <v>683</v>
      </c>
      <c r="J51" s="20" t="s">
        <v>686</v>
      </c>
      <c r="K51" s="37">
        <v>43937.0</v>
      </c>
      <c r="L51" s="37">
        <v>43941.0</v>
      </c>
      <c r="M51" s="85" t="s">
        <v>687</v>
      </c>
      <c r="N51" s="85" t="s">
        <v>594</v>
      </c>
      <c r="O51" s="113">
        <v>43756.0</v>
      </c>
      <c r="P51" s="37">
        <v>43798.0</v>
      </c>
      <c r="Q51" s="22"/>
      <c r="R51" s="22"/>
      <c r="S51" s="193" t="s">
        <v>97</v>
      </c>
      <c r="T51" s="181"/>
      <c r="U51" s="182" t="s">
        <v>97</v>
      </c>
      <c r="V51" s="184"/>
      <c r="W51" s="184"/>
      <c r="X51" s="184"/>
      <c r="Y51" s="184"/>
      <c r="Z51" s="184"/>
      <c r="AA51" s="184"/>
      <c r="AB51" s="184"/>
      <c r="AC51" s="184"/>
      <c r="AD51" s="186"/>
      <c r="AE51" s="187"/>
      <c r="AF51" s="184"/>
      <c r="AG51" s="187"/>
      <c r="AH51" s="189"/>
      <c r="AI51" s="189"/>
      <c r="AJ51" s="189"/>
      <c r="AK51" s="189"/>
      <c r="AL51" s="189"/>
      <c r="AM51" s="189"/>
      <c r="AN51" s="187"/>
      <c r="AO51" s="187"/>
      <c r="AP51" s="184"/>
      <c r="AQ51" s="187"/>
      <c r="AR51" s="187"/>
      <c r="AS51" s="119"/>
    </row>
    <row r="52">
      <c r="A52" s="137">
        <v>35.0</v>
      </c>
      <c r="B52" s="173">
        <v>7.0</v>
      </c>
      <c r="C52" s="104" t="s">
        <v>688</v>
      </c>
      <c r="D52" s="138" t="s">
        <v>57</v>
      </c>
      <c r="E52" s="107" t="s">
        <v>306</v>
      </c>
      <c r="F52" s="101"/>
      <c r="G52" s="40" t="s">
        <v>691</v>
      </c>
      <c r="H52" s="55" t="s">
        <v>692</v>
      </c>
      <c r="I52" s="289" t="s">
        <v>24</v>
      </c>
      <c r="J52" s="155"/>
      <c r="K52" s="22" t="s">
        <v>27</v>
      </c>
      <c r="L52" s="22" t="s">
        <v>27</v>
      </c>
      <c r="M52" s="73" t="s">
        <v>28</v>
      </c>
      <c r="N52" s="179" t="s">
        <v>29</v>
      </c>
      <c r="O52" s="22" t="s">
        <v>27</v>
      </c>
      <c r="P52" s="22" t="s">
        <v>27</v>
      </c>
      <c r="Q52" s="22"/>
      <c r="R52" s="22"/>
      <c r="S52" s="117"/>
      <c r="T52" s="236"/>
      <c r="U52" s="161"/>
      <c r="V52" s="161"/>
      <c r="W52" s="161"/>
      <c r="X52" s="161"/>
      <c r="Y52" s="161"/>
      <c r="Z52" s="161"/>
      <c r="AA52" s="161"/>
      <c r="AB52" s="307" t="s">
        <v>97</v>
      </c>
      <c r="AC52" s="161"/>
      <c r="AD52" s="161"/>
      <c r="AE52" s="161"/>
      <c r="AF52" s="161"/>
      <c r="AG52" s="161"/>
      <c r="AH52" s="163"/>
      <c r="AI52" s="163"/>
      <c r="AJ52" s="163"/>
      <c r="AK52" s="163"/>
      <c r="AL52" s="163"/>
      <c r="AM52" s="163"/>
      <c r="AN52" s="161"/>
      <c r="AO52" s="161"/>
      <c r="AP52" s="161"/>
      <c r="AQ52" s="161"/>
      <c r="AR52" s="161"/>
      <c r="AS52" s="119"/>
    </row>
    <row r="53">
      <c r="A53" s="137">
        <v>964.0</v>
      </c>
      <c r="B53" s="284"/>
      <c r="C53" s="123" t="s">
        <v>693</v>
      </c>
      <c r="D53" s="309" t="s">
        <v>57</v>
      </c>
      <c r="E53" s="311" t="s">
        <v>57</v>
      </c>
      <c r="F53" s="312"/>
      <c r="G53" s="216" t="s">
        <v>697</v>
      </c>
      <c r="H53" s="89" t="s">
        <v>698</v>
      </c>
      <c r="I53" s="91" t="str">
        <f>HYPERLINK("https://filmfreeway.com/FAAIM","https://filmfreeway.com/FAAIM")</f>
        <v>https://filmfreeway.com/FAAIM</v>
      </c>
      <c r="J53" s="288"/>
      <c r="K53" s="145">
        <v>43924.0</v>
      </c>
      <c r="L53" s="145">
        <v>43937.0</v>
      </c>
      <c r="M53" s="130" t="s">
        <v>230</v>
      </c>
      <c r="N53" s="130" t="s">
        <v>231</v>
      </c>
      <c r="O53" s="145">
        <v>43861.0</v>
      </c>
      <c r="P53" s="145">
        <v>43890.0</v>
      </c>
      <c r="Q53" s="131"/>
      <c r="R53" s="132"/>
      <c r="S53" s="132"/>
      <c r="T53" s="118"/>
      <c r="U53" s="119"/>
      <c r="V53" s="119"/>
      <c r="W53" s="119"/>
      <c r="X53" s="119"/>
      <c r="Y53" s="134"/>
      <c r="Z53" s="119"/>
      <c r="AA53" s="119"/>
      <c r="AB53" s="307" t="s">
        <v>97</v>
      </c>
      <c r="AC53" s="119"/>
      <c r="AD53" s="119"/>
      <c r="AE53" s="119"/>
      <c r="AF53" s="119"/>
      <c r="AG53" s="119"/>
      <c r="AH53" s="121"/>
      <c r="AI53" s="121"/>
      <c r="AJ53" s="121"/>
      <c r="AK53" s="121"/>
      <c r="AL53" s="121"/>
      <c r="AM53" s="135"/>
      <c r="AN53" s="119"/>
      <c r="AO53" s="119"/>
      <c r="AP53" s="119"/>
      <c r="AQ53" s="119"/>
      <c r="AR53" s="119"/>
      <c r="AS53" s="119"/>
    </row>
    <row r="54">
      <c r="A54" s="101">
        <v>36.0</v>
      </c>
      <c r="B54" s="150"/>
      <c r="C54" s="104" t="s">
        <v>703</v>
      </c>
      <c r="D54" s="138" t="s">
        <v>57</v>
      </c>
      <c r="E54" s="107" t="s">
        <v>306</v>
      </c>
      <c r="F54" s="101"/>
      <c r="G54" s="40" t="s">
        <v>704</v>
      </c>
      <c r="H54" s="55" t="s">
        <v>705</v>
      </c>
      <c r="I54" s="69" t="s">
        <v>706</v>
      </c>
      <c r="J54" s="155"/>
      <c r="K54" s="37">
        <v>44028.0</v>
      </c>
      <c r="L54" s="37">
        <v>44035.0</v>
      </c>
      <c r="M54" s="73" t="s">
        <v>268</v>
      </c>
      <c r="N54" s="73" t="s">
        <v>102</v>
      </c>
      <c r="O54" s="113">
        <v>43876.0</v>
      </c>
      <c r="P54" s="37">
        <v>43921.0</v>
      </c>
      <c r="Q54" s="22"/>
      <c r="R54" s="22"/>
      <c r="S54" s="117"/>
      <c r="T54" s="157"/>
      <c r="U54" s="161"/>
      <c r="V54" s="161"/>
      <c r="W54" s="161"/>
      <c r="X54" s="161"/>
      <c r="Y54" s="161"/>
      <c r="Z54" s="161"/>
      <c r="AA54" s="161"/>
      <c r="AB54" s="307" t="s">
        <v>97</v>
      </c>
      <c r="AC54" s="161"/>
      <c r="AD54" s="161"/>
      <c r="AE54" s="161"/>
      <c r="AF54" s="161"/>
      <c r="AG54" s="161"/>
      <c r="AH54" s="163"/>
      <c r="AI54" s="163"/>
      <c r="AJ54" s="163"/>
      <c r="AK54" s="163"/>
      <c r="AL54" s="163"/>
      <c r="AM54" s="163"/>
      <c r="AN54" s="161"/>
      <c r="AO54" s="161"/>
      <c r="AP54" s="161"/>
      <c r="AQ54" s="161"/>
      <c r="AR54" s="161"/>
      <c r="AS54" s="119"/>
    </row>
    <row r="55">
      <c r="A55" s="137">
        <v>921.0</v>
      </c>
      <c r="B55" s="284"/>
      <c r="C55" s="123" t="s">
        <v>709</v>
      </c>
      <c r="D55" s="124" t="s">
        <v>66</v>
      </c>
      <c r="E55" s="126" t="s">
        <v>469</v>
      </c>
      <c r="F55" s="312"/>
      <c r="G55" s="216" t="s">
        <v>710</v>
      </c>
      <c r="H55" s="89" t="s">
        <v>711</v>
      </c>
      <c r="I55" s="91" t="str">
        <f>HYPERLINK("https://filmfreeway.com/asifasouth","https://filmfreeway.com/asifasouth")</f>
        <v>https://filmfreeway.com/asifasouth</v>
      </c>
      <c r="J55" s="288"/>
      <c r="K55" s="145">
        <v>43988.0</v>
      </c>
      <c r="L55" s="145">
        <v>43989.0</v>
      </c>
      <c r="M55" s="130" t="s">
        <v>322</v>
      </c>
      <c r="N55" s="130" t="s">
        <v>19</v>
      </c>
      <c r="O55" s="145">
        <v>43586.0</v>
      </c>
      <c r="P55" s="145">
        <v>43799.0</v>
      </c>
      <c r="Q55" s="131"/>
      <c r="R55" s="132"/>
      <c r="S55" s="132"/>
      <c r="T55" s="118"/>
      <c r="U55" s="119"/>
      <c r="V55" s="119"/>
      <c r="W55" s="120" t="s">
        <v>97</v>
      </c>
      <c r="X55" s="119"/>
      <c r="Y55" s="134"/>
      <c r="Z55" s="119"/>
      <c r="AA55" s="119"/>
      <c r="AB55" s="119"/>
      <c r="AC55" s="119"/>
      <c r="AD55" s="119"/>
      <c r="AE55" s="119"/>
      <c r="AF55" s="119"/>
      <c r="AG55" s="119"/>
      <c r="AH55" s="121"/>
      <c r="AI55" s="121"/>
      <c r="AJ55" s="242" t="s">
        <v>97</v>
      </c>
      <c r="AK55" s="121"/>
      <c r="AL55" s="121"/>
      <c r="AM55" s="135"/>
      <c r="AN55" s="119"/>
      <c r="AO55" s="119"/>
      <c r="AP55" s="119"/>
      <c r="AQ55" s="119"/>
      <c r="AR55" s="119"/>
      <c r="AS55" s="119"/>
    </row>
    <row r="56">
      <c r="A56" s="137">
        <v>37.0</v>
      </c>
      <c r="B56" s="315">
        <v>9.0</v>
      </c>
      <c r="C56" s="104" t="s">
        <v>713</v>
      </c>
      <c r="D56" s="105" t="s">
        <v>48</v>
      </c>
      <c r="E56" s="107" t="s">
        <v>48</v>
      </c>
      <c r="F56" s="178"/>
      <c r="G56" s="77" t="s">
        <v>714</v>
      </c>
      <c r="H56" s="81" t="s">
        <v>715</v>
      </c>
      <c r="I56" s="316" t="s">
        <v>24</v>
      </c>
      <c r="J56" s="155"/>
      <c r="K56" s="37">
        <v>44095.0</v>
      </c>
      <c r="L56" s="37">
        <v>44100.0</v>
      </c>
      <c r="M56" s="85" t="s">
        <v>718</v>
      </c>
      <c r="N56" s="85" t="s">
        <v>110</v>
      </c>
      <c r="O56" s="22" t="s">
        <v>27</v>
      </c>
      <c r="P56" s="22" t="s">
        <v>27</v>
      </c>
      <c r="Q56" s="201"/>
      <c r="R56" s="201"/>
      <c r="S56" s="203" t="s">
        <v>97</v>
      </c>
      <c r="T56" s="181"/>
      <c r="U56" s="182" t="s">
        <v>97</v>
      </c>
      <c r="V56" s="184"/>
      <c r="W56" s="184"/>
      <c r="X56" s="184"/>
      <c r="Y56" s="184"/>
      <c r="Z56" s="184"/>
      <c r="AA56" s="184"/>
      <c r="AB56" s="184"/>
      <c r="AC56" s="184"/>
      <c r="AD56" s="186"/>
      <c r="AE56" s="187"/>
      <c r="AF56" s="184"/>
      <c r="AG56" s="187"/>
      <c r="AH56" s="189"/>
      <c r="AI56" s="189"/>
      <c r="AJ56" s="189"/>
      <c r="AK56" s="189"/>
      <c r="AL56" s="189"/>
      <c r="AM56" s="189"/>
      <c r="AN56" s="187"/>
      <c r="AO56" s="187"/>
      <c r="AP56" s="184"/>
      <c r="AQ56" s="187"/>
      <c r="AR56" s="187"/>
      <c r="AS56" s="119"/>
    </row>
    <row r="57">
      <c r="A57" s="137">
        <v>38.0</v>
      </c>
      <c r="B57" s="197"/>
      <c r="C57" s="104" t="s">
        <v>713</v>
      </c>
      <c r="D57" s="105" t="s">
        <v>52</v>
      </c>
      <c r="E57" s="107" t="s">
        <v>52</v>
      </c>
      <c r="F57" s="178"/>
      <c r="G57" s="77" t="s">
        <v>720</v>
      </c>
      <c r="H57" s="81" t="s">
        <v>715</v>
      </c>
      <c r="I57" s="34" t="s">
        <v>724</v>
      </c>
      <c r="J57" s="20" t="s">
        <v>725</v>
      </c>
      <c r="K57" s="37">
        <v>43921.0</v>
      </c>
      <c r="L57" s="37">
        <v>43926.0</v>
      </c>
      <c r="M57" s="85" t="s">
        <v>718</v>
      </c>
      <c r="N57" s="85" t="s">
        <v>110</v>
      </c>
      <c r="O57" s="113">
        <v>43693.0</v>
      </c>
      <c r="P57" s="37">
        <v>43777.0</v>
      </c>
      <c r="Q57" s="200" t="s">
        <v>222</v>
      </c>
      <c r="R57" s="200" t="s">
        <v>222</v>
      </c>
      <c r="S57" s="203" t="s">
        <v>97</v>
      </c>
      <c r="T57" s="181"/>
      <c r="U57" s="184"/>
      <c r="V57" s="184"/>
      <c r="W57" s="319" t="s">
        <v>97</v>
      </c>
      <c r="X57" s="184"/>
      <c r="Y57" s="184"/>
      <c r="Z57" s="184"/>
      <c r="AA57" s="184"/>
      <c r="AB57" s="184"/>
      <c r="AC57" s="184"/>
      <c r="AD57" s="186"/>
      <c r="AE57" s="187"/>
      <c r="AF57" s="184"/>
      <c r="AG57" s="187"/>
      <c r="AH57" s="189"/>
      <c r="AI57" s="189"/>
      <c r="AJ57" s="189"/>
      <c r="AK57" s="189"/>
      <c r="AL57" s="189"/>
      <c r="AM57" s="189"/>
      <c r="AN57" s="187"/>
      <c r="AO57" s="187"/>
      <c r="AP57" s="184"/>
      <c r="AQ57" s="187"/>
      <c r="AR57" s="187"/>
      <c r="AS57" s="119"/>
    </row>
    <row r="58">
      <c r="A58" s="101">
        <v>39.0</v>
      </c>
      <c r="B58" s="292"/>
      <c r="C58" s="104" t="s">
        <v>727</v>
      </c>
      <c r="D58" s="105" t="s">
        <v>53</v>
      </c>
      <c r="E58" s="107" t="s">
        <v>53</v>
      </c>
      <c r="F58" s="190"/>
      <c r="G58" s="192" t="s">
        <v>731</v>
      </c>
      <c r="H58" s="81" t="s">
        <v>732</v>
      </c>
      <c r="I58" s="158" t="s">
        <v>734</v>
      </c>
      <c r="J58" s="155"/>
      <c r="K58" s="37">
        <v>43888.0</v>
      </c>
      <c r="L58" s="37">
        <v>43891.0</v>
      </c>
      <c r="M58" s="85" t="s">
        <v>196</v>
      </c>
      <c r="N58" s="73" t="s">
        <v>29</v>
      </c>
      <c r="O58" s="113">
        <v>43678.0</v>
      </c>
      <c r="P58" s="37">
        <v>43699.0</v>
      </c>
      <c r="Q58" s="22"/>
      <c r="R58" s="22"/>
      <c r="S58" s="193" t="s">
        <v>97</v>
      </c>
      <c r="T58" s="157"/>
      <c r="U58" s="194"/>
      <c r="V58" s="194"/>
      <c r="W58" s="194"/>
      <c r="X58" s="295" t="s">
        <v>97</v>
      </c>
      <c r="Y58" s="194"/>
      <c r="Z58" s="194"/>
      <c r="AA58" s="194"/>
      <c r="AB58" s="194"/>
      <c r="AC58" s="194"/>
      <c r="AD58" s="186"/>
      <c r="AE58" s="187"/>
      <c r="AF58" s="194"/>
      <c r="AG58" s="187"/>
      <c r="AH58" s="189"/>
      <c r="AI58" s="189"/>
      <c r="AJ58" s="189"/>
      <c r="AK58" s="189"/>
      <c r="AL58" s="189"/>
      <c r="AM58" s="189"/>
      <c r="AN58" s="187"/>
      <c r="AO58" s="187"/>
      <c r="AP58" s="194"/>
      <c r="AQ58" s="187"/>
      <c r="AR58" s="187"/>
      <c r="AS58" s="119"/>
    </row>
    <row r="59">
      <c r="A59" s="137">
        <v>40.0</v>
      </c>
      <c r="B59" s="214"/>
      <c r="C59" s="321" t="s">
        <v>736</v>
      </c>
      <c r="D59" s="105" t="s">
        <v>48</v>
      </c>
      <c r="E59" s="107" t="s">
        <v>48</v>
      </c>
      <c r="F59" s="322"/>
      <c r="G59" s="323" t="s">
        <v>737</v>
      </c>
      <c r="H59" s="81" t="s">
        <v>739</v>
      </c>
      <c r="I59" s="217" t="s">
        <v>741</v>
      </c>
      <c r="J59" s="20" t="s">
        <v>743</v>
      </c>
      <c r="K59" s="37">
        <v>43927.0</v>
      </c>
      <c r="L59" s="37">
        <v>43933.0</v>
      </c>
      <c r="M59" s="325" t="s">
        <v>744</v>
      </c>
      <c r="N59" s="325" t="s">
        <v>622</v>
      </c>
      <c r="O59" s="113">
        <v>43709.0</v>
      </c>
      <c r="P59" s="37">
        <v>43800.0</v>
      </c>
      <c r="Q59" s="200" t="s">
        <v>222</v>
      </c>
      <c r="R59" s="22"/>
      <c r="S59" s="117"/>
      <c r="T59" s="326"/>
      <c r="U59" s="327" t="s">
        <v>97</v>
      </c>
      <c r="V59" s="328"/>
      <c r="W59" s="328"/>
      <c r="X59" s="328"/>
      <c r="Y59" s="328"/>
      <c r="Z59" s="328"/>
      <c r="AA59" s="328"/>
      <c r="AB59" s="328"/>
      <c r="AC59" s="328"/>
      <c r="AD59" s="186"/>
      <c r="AE59" s="187"/>
      <c r="AF59" s="328"/>
      <c r="AG59" s="187"/>
      <c r="AH59" s="189"/>
      <c r="AI59" s="189"/>
      <c r="AJ59" s="189"/>
      <c r="AK59" s="189"/>
      <c r="AL59" s="189"/>
      <c r="AM59" s="189"/>
      <c r="AN59" s="187"/>
      <c r="AO59" s="187"/>
      <c r="AP59" s="328"/>
      <c r="AQ59" s="187"/>
      <c r="AR59" s="187"/>
      <c r="AS59" s="119"/>
    </row>
    <row r="60">
      <c r="A60" s="137">
        <v>41.0</v>
      </c>
      <c r="B60" s="150">
        <v>12.0</v>
      </c>
      <c r="C60" s="104" t="s">
        <v>748</v>
      </c>
      <c r="D60" s="105" t="s">
        <v>69</v>
      </c>
      <c r="E60" s="107" t="s">
        <v>69</v>
      </c>
      <c r="F60" s="101"/>
      <c r="G60" s="40" t="s">
        <v>750</v>
      </c>
      <c r="H60" s="55" t="s">
        <v>751</v>
      </c>
      <c r="I60" s="69" t="s">
        <v>753</v>
      </c>
      <c r="J60" s="155"/>
      <c r="K60" s="37">
        <v>44043.0</v>
      </c>
      <c r="L60" s="37">
        <v>44043.0</v>
      </c>
      <c r="M60" s="85" t="s">
        <v>322</v>
      </c>
      <c r="N60" s="73" t="s">
        <v>19</v>
      </c>
      <c r="O60" s="37">
        <v>43830.0</v>
      </c>
      <c r="P60" s="37">
        <v>43982.0</v>
      </c>
      <c r="Q60" s="22"/>
      <c r="R60" s="22"/>
      <c r="S60" s="117"/>
      <c r="T60" s="157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3"/>
      <c r="AI60" s="163"/>
      <c r="AJ60" s="163"/>
      <c r="AK60" s="332" t="s">
        <v>97</v>
      </c>
      <c r="AL60" s="163"/>
      <c r="AM60" s="163"/>
      <c r="AN60" s="161"/>
      <c r="AO60" s="161"/>
      <c r="AP60" s="161"/>
      <c r="AQ60" s="161"/>
      <c r="AR60" s="161"/>
      <c r="AS60" s="119"/>
    </row>
    <row r="61">
      <c r="A61" s="101">
        <v>42.0</v>
      </c>
      <c r="B61" s="150">
        <v>11.0</v>
      </c>
      <c r="C61" s="104" t="s">
        <v>758</v>
      </c>
      <c r="D61" s="105" t="s">
        <v>51</v>
      </c>
      <c r="E61" s="107" t="s">
        <v>51</v>
      </c>
      <c r="F61" s="101"/>
      <c r="G61" s="40" t="s">
        <v>759</v>
      </c>
      <c r="H61" s="55" t="s">
        <v>760</v>
      </c>
      <c r="I61" s="69" t="s">
        <v>763</v>
      </c>
      <c r="J61" s="155"/>
      <c r="K61" s="37">
        <v>44140.0</v>
      </c>
      <c r="L61" s="37">
        <v>44142.0</v>
      </c>
      <c r="M61" s="85" t="s">
        <v>322</v>
      </c>
      <c r="N61" s="73" t="s">
        <v>19</v>
      </c>
      <c r="O61" s="37">
        <v>43830.0</v>
      </c>
      <c r="P61" s="37">
        <v>44111.0</v>
      </c>
      <c r="Q61" s="22"/>
      <c r="R61" s="22"/>
      <c r="S61" s="117"/>
      <c r="T61" s="157"/>
      <c r="U61" s="161"/>
      <c r="V61" s="241" t="s">
        <v>97</v>
      </c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3"/>
      <c r="AI61" s="163"/>
      <c r="AJ61" s="163"/>
      <c r="AK61" s="163"/>
      <c r="AL61" s="163"/>
      <c r="AM61" s="163"/>
      <c r="AN61" s="161"/>
      <c r="AO61" s="161"/>
      <c r="AP61" s="161"/>
      <c r="AQ61" s="161"/>
      <c r="AR61" s="161"/>
      <c r="AS61" s="119"/>
    </row>
    <row r="62">
      <c r="A62" s="137">
        <v>43.0</v>
      </c>
      <c r="B62" s="177"/>
      <c r="C62" s="104" t="s">
        <v>764</v>
      </c>
      <c r="D62" s="105" t="s">
        <v>48</v>
      </c>
      <c r="E62" s="107" t="s">
        <v>48</v>
      </c>
      <c r="F62" s="178"/>
      <c r="G62" s="77" t="s">
        <v>318</v>
      </c>
      <c r="H62" s="81" t="s">
        <v>319</v>
      </c>
      <c r="I62" s="84" t="s">
        <v>320</v>
      </c>
      <c r="J62" s="20" t="s">
        <v>321</v>
      </c>
      <c r="K62" s="37">
        <v>43951.0</v>
      </c>
      <c r="L62" s="37">
        <v>43961.0</v>
      </c>
      <c r="M62" s="85" t="s">
        <v>322</v>
      </c>
      <c r="N62" s="85" t="s">
        <v>19</v>
      </c>
      <c r="O62" s="113">
        <v>43622.0</v>
      </c>
      <c r="P62" s="37">
        <v>43783.0</v>
      </c>
      <c r="Q62" s="200" t="s">
        <v>222</v>
      </c>
      <c r="R62" s="200" t="s">
        <v>222</v>
      </c>
      <c r="S62" s="231" t="s">
        <v>97</v>
      </c>
      <c r="T62" s="181"/>
      <c r="U62" s="182" t="s">
        <v>97</v>
      </c>
      <c r="V62" s="184"/>
      <c r="W62" s="184"/>
      <c r="X62" s="184"/>
      <c r="Y62" s="184"/>
      <c r="Z62" s="184"/>
      <c r="AA62" s="184"/>
      <c r="AB62" s="184"/>
      <c r="AC62" s="184"/>
      <c r="AD62" s="186"/>
      <c r="AE62" s="187"/>
      <c r="AF62" s="184"/>
      <c r="AG62" s="187"/>
      <c r="AH62" s="189"/>
      <c r="AI62" s="189"/>
      <c r="AJ62" s="189"/>
      <c r="AK62" s="189"/>
      <c r="AL62" s="189"/>
      <c r="AM62" s="189"/>
      <c r="AN62" s="187"/>
      <c r="AO62" s="187"/>
      <c r="AP62" s="184"/>
      <c r="AQ62" s="187"/>
      <c r="AR62" s="187"/>
      <c r="AS62" s="119"/>
    </row>
    <row r="63">
      <c r="A63" s="137">
        <v>44.0</v>
      </c>
      <c r="B63" s="177"/>
      <c r="C63" s="104" t="s">
        <v>765</v>
      </c>
      <c r="D63" s="105" t="s">
        <v>64</v>
      </c>
      <c r="E63" s="107" t="s">
        <v>64</v>
      </c>
      <c r="F63" s="178"/>
      <c r="G63" s="77" t="s">
        <v>768</v>
      </c>
      <c r="H63" s="81" t="s">
        <v>770</v>
      </c>
      <c r="I63" s="84" t="s">
        <v>775</v>
      </c>
      <c r="J63" s="155"/>
      <c r="K63" s="37">
        <v>44091.0</v>
      </c>
      <c r="L63" s="37">
        <v>44093.0</v>
      </c>
      <c r="M63" s="85" t="s">
        <v>322</v>
      </c>
      <c r="N63" s="85" t="s">
        <v>19</v>
      </c>
      <c r="O63" s="113">
        <v>43789.0</v>
      </c>
      <c r="P63" s="37">
        <v>44062.0</v>
      </c>
      <c r="Q63" s="22"/>
      <c r="R63" s="22"/>
      <c r="S63" s="117"/>
      <c r="T63" s="181"/>
      <c r="U63" s="184"/>
      <c r="V63" s="184"/>
      <c r="W63" s="184"/>
      <c r="X63" s="184"/>
      <c r="Y63" s="184"/>
      <c r="Z63" s="184"/>
      <c r="AA63" s="184"/>
      <c r="AB63" s="184"/>
      <c r="AC63" s="184"/>
      <c r="AD63" s="186"/>
      <c r="AE63" s="187"/>
      <c r="AF63" s="184"/>
      <c r="AG63" s="187"/>
      <c r="AH63" s="246" t="s">
        <v>97</v>
      </c>
      <c r="AI63" s="189"/>
      <c r="AJ63" s="189"/>
      <c r="AK63" s="189"/>
      <c r="AL63" s="189"/>
      <c r="AM63" s="189"/>
      <c r="AN63" s="187"/>
      <c r="AO63" s="187"/>
      <c r="AP63" s="184"/>
      <c r="AQ63" s="187"/>
      <c r="AR63" s="187"/>
      <c r="AS63" s="119"/>
    </row>
    <row r="64">
      <c r="A64" s="137">
        <v>45.0</v>
      </c>
      <c r="B64" s="150"/>
      <c r="C64" s="104" t="s">
        <v>777</v>
      </c>
      <c r="D64" s="296" t="s">
        <v>55</v>
      </c>
      <c r="E64" s="297" t="s">
        <v>55</v>
      </c>
      <c r="F64" s="101"/>
      <c r="G64" s="40" t="s">
        <v>780</v>
      </c>
      <c r="H64" s="55" t="s">
        <v>781</v>
      </c>
      <c r="I64" s="69" t="s">
        <v>783</v>
      </c>
      <c r="J64" s="155"/>
      <c r="K64" s="37">
        <v>43866.0</v>
      </c>
      <c r="L64" s="37">
        <v>43886.0</v>
      </c>
      <c r="M64" s="85" t="s">
        <v>322</v>
      </c>
      <c r="N64" s="73" t="s">
        <v>19</v>
      </c>
      <c r="O64" s="113">
        <v>43707.0</v>
      </c>
      <c r="P64" s="37">
        <v>43763.0</v>
      </c>
      <c r="Q64" s="22"/>
      <c r="R64" s="22"/>
      <c r="S64" s="193" t="s">
        <v>97</v>
      </c>
      <c r="T64" s="157"/>
      <c r="U64" s="161"/>
      <c r="V64" s="161"/>
      <c r="W64" s="161"/>
      <c r="X64" s="161"/>
      <c r="Y64" s="161"/>
      <c r="Z64" s="299" t="s">
        <v>97</v>
      </c>
      <c r="AA64" s="161"/>
      <c r="AB64" s="161"/>
      <c r="AC64" s="161"/>
      <c r="AD64" s="161"/>
      <c r="AE64" s="161"/>
      <c r="AF64" s="161"/>
      <c r="AG64" s="161"/>
      <c r="AH64" s="163"/>
      <c r="AI64" s="163"/>
      <c r="AJ64" s="163"/>
      <c r="AK64" s="163"/>
      <c r="AL64" s="163"/>
      <c r="AM64" s="163"/>
      <c r="AN64" s="161"/>
      <c r="AO64" s="161"/>
      <c r="AP64" s="161"/>
      <c r="AQ64" s="161"/>
      <c r="AR64" s="161"/>
      <c r="AS64" s="119"/>
    </row>
    <row r="65">
      <c r="A65" s="101">
        <v>46.0</v>
      </c>
      <c r="B65" s="150"/>
      <c r="C65" s="104" t="s">
        <v>787</v>
      </c>
      <c r="D65" s="105" t="s">
        <v>52</v>
      </c>
      <c r="E65" s="107" t="s">
        <v>52</v>
      </c>
      <c r="F65" s="101"/>
      <c r="G65" s="40" t="s">
        <v>788</v>
      </c>
      <c r="H65" s="55" t="s">
        <v>789</v>
      </c>
      <c r="I65" s="69" t="s">
        <v>793</v>
      </c>
      <c r="J65" s="155"/>
      <c r="K65" s="37">
        <v>44028.0</v>
      </c>
      <c r="L65" s="37">
        <v>44030.0</v>
      </c>
      <c r="M65" s="85" t="s">
        <v>322</v>
      </c>
      <c r="N65" s="73" t="s">
        <v>19</v>
      </c>
      <c r="O65" s="113">
        <v>43708.0</v>
      </c>
      <c r="P65" s="37">
        <v>43992.0</v>
      </c>
      <c r="Q65" s="22"/>
      <c r="R65" s="22"/>
      <c r="S65" s="117"/>
      <c r="T65" s="157"/>
      <c r="U65" s="161"/>
      <c r="V65" s="161"/>
      <c r="W65" s="120" t="s">
        <v>97</v>
      </c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3"/>
      <c r="AI65" s="163"/>
      <c r="AJ65" s="163"/>
      <c r="AK65" s="163"/>
      <c r="AL65" s="163"/>
      <c r="AM65" s="163"/>
      <c r="AN65" s="161"/>
      <c r="AO65" s="161"/>
      <c r="AP65" s="161"/>
      <c r="AQ65" s="161"/>
      <c r="AR65" s="161"/>
      <c r="AS65" s="119"/>
    </row>
    <row r="66">
      <c r="A66" s="137">
        <v>47.0</v>
      </c>
      <c r="B66" s="177"/>
      <c r="C66" s="104" t="s">
        <v>796</v>
      </c>
      <c r="D66" s="105" t="s">
        <v>65</v>
      </c>
      <c r="E66" s="107" t="s">
        <v>65</v>
      </c>
      <c r="F66" s="178"/>
      <c r="G66" s="77" t="s">
        <v>800</v>
      </c>
      <c r="H66" s="81" t="s">
        <v>801</v>
      </c>
      <c r="I66" s="84" t="s">
        <v>803</v>
      </c>
      <c r="J66" s="155"/>
      <c r="K66" s="37">
        <v>44056.0</v>
      </c>
      <c r="L66" s="37">
        <v>44058.0</v>
      </c>
      <c r="M66" s="85" t="s">
        <v>322</v>
      </c>
      <c r="N66" s="85" t="s">
        <v>19</v>
      </c>
      <c r="O66" s="113">
        <v>43769.0</v>
      </c>
      <c r="P66" s="37">
        <v>44025.0</v>
      </c>
      <c r="Q66" s="22"/>
      <c r="R66" s="22"/>
      <c r="S66" s="117"/>
      <c r="T66" s="181"/>
      <c r="U66" s="184"/>
      <c r="V66" s="184"/>
      <c r="W66" s="184"/>
      <c r="X66" s="184"/>
      <c r="Y66" s="184"/>
      <c r="Z66" s="184"/>
      <c r="AA66" s="184"/>
      <c r="AB66" s="184"/>
      <c r="AC66" s="184"/>
      <c r="AD66" s="186"/>
      <c r="AE66" s="187"/>
      <c r="AF66" s="184"/>
      <c r="AG66" s="187"/>
      <c r="AH66" s="189"/>
      <c r="AI66" s="342" t="s">
        <v>97</v>
      </c>
      <c r="AJ66" s="189"/>
      <c r="AK66" s="189"/>
      <c r="AL66" s="189"/>
      <c r="AM66" s="189"/>
      <c r="AN66" s="187"/>
      <c r="AO66" s="187"/>
      <c r="AP66" s="184"/>
      <c r="AQ66" s="187"/>
      <c r="AR66" s="187"/>
      <c r="AS66" s="119"/>
    </row>
    <row r="67">
      <c r="A67" s="137">
        <v>805.0</v>
      </c>
      <c r="B67" s="103">
        <v>10.0</v>
      </c>
      <c r="C67" s="104" t="s">
        <v>809</v>
      </c>
      <c r="D67" s="105" t="s">
        <v>48</v>
      </c>
      <c r="E67" s="107" t="s">
        <v>48</v>
      </c>
      <c r="F67" s="109"/>
      <c r="G67" s="10" t="s">
        <v>810</v>
      </c>
      <c r="H67" s="17" t="s">
        <v>812</v>
      </c>
      <c r="I67" s="111" t="s">
        <v>815</v>
      </c>
      <c r="J67" s="155"/>
      <c r="K67" s="22" t="s">
        <v>27</v>
      </c>
      <c r="L67" s="22" t="s">
        <v>27</v>
      </c>
      <c r="M67" s="24" t="s">
        <v>820</v>
      </c>
      <c r="N67" s="24" t="s">
        <v>412</v>
      </c>
      <c r="O67" s="22" t="s">
        <v>27</v>
      </c>
      <c r="P67" s="22" t="s">
        <v>27</v>
      </c>
      <c r="Q67" s="115"/>
      <c r="R67" s="115"/>
      <c r="S67" s="117"/>
      <c r="T67" s="118"/>
      <c r="U67" s="176" t="s">
        <v>97</v>
      </c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21"/>
      <c r="AI67" s="121"/>
      <c r="AJ67" s="121"/>
      <c r="AK67" s="121"/>
      <c r="AL67" s="121"/>
      <c r="AM67" s="121"/>
      <c r="AN67" s="119"/>
      <c r="AO67" s="119"/>
      <c r="AP67" s="119"/>
      <c r="AQ67" s="119"/>
      <c r="AR67" s="119"/>
      <c r="AS67" s="119"/>
    </row>
    <row r="68">
      <c r="A68" s="137">
        <v>48.0</v>
      </c>
      <c r="B68" s="173"/>
      <c r="C68" s="104" t="s">
        <v>822</v>
      </c>
      <c r="D68" s="138" t="s">
        <v>57</v>
      </c>
      <c r="E68" s="107" t="s">
        <v>306</v>
      </c>
      <c r="F68" s="101"/>
      <c r="G68" s="40" t="s">
        <v>823</v>
      </c>
      <c r="H68" s="55" t="s">
        <v>824</v>
      </c>
      <c r="I68" s="175" t="s">
        <v>827</v>
      </c>
      <c r="J68" s="344"/>
      <c r="K68" s="152">
        <v>43993.0</v>
      </c>
      <c r="L68" s="152">
        <v>43996.0</v>
      </c>
      <c r="M68" s="174" t="s">
        <v>165</v>
      </c>
      <c r="N68" s="179" t="s">
        <v>102</v>
      </c>
      <c r="O68" s="114">
        <v>43784.0</v>
      </c>
      <c r="P68" s="152">
        <v>43889.0</v>
      </c>
      <c r="Q68" s="345"/>
      <c r="R68" s="345"/>
      <c r="S68" s="117"/>
      <c r="T68" s="236"/>
      <c r="U68" s="161"/>
      <c r="V68" s="161"/>
      <c r="W68" s="161"/>
      <c r="X68" s="161"/>
      <c r="Y68" s="161"/>
      <c r="Z68" s="161"/>
      <c r="AA68" s="161"/>
      <c r="AB68" s="307" t="s">
        <v>97</v>
      </c>
      <c r="AC68" s="161"/>
      <c r="AD68" s="161"/>
      <c r="AE68" s="161"/>
      <c r="AF68" s="161"/>
      <c r="AG68" s="161"/>
      <c r="AH68" s="163"/>
      <c r="AI68" s="163"/>
      <c r="AJ68" s="163"/>
      <c r="AK68" s="163"/>
      <c r="AL68" s="163"/>
      <c r="AM68" s="163"/>
      <c r="AN68" s="161"/>
      <c r="AO68" s="161"/>
      <c r="AP68" s="161"/>
      <c r="AQ68" s="161"/>
      <c r="AR68" s="161"/>
      <c r="AS68" s="119"/>
    </row>
    <row r="69">
      <c r="A69" s="101">
        <v>49.0</v>
      </c>
      <c r="B69" s="150"/>
      <c r="C69" s="104" t="s">
        <v>832</v>
      </c>
      <c r="D69" s="105" t="s">
        <v>69</v>
      </c>
      <c r="E69" s="107" t="s">
        <v>834</v>
      </c>
      <c r="F69" s="101"/>
      <c r="G69" s="40" t="s">
        <v>156</v>
      </c>
      <c r="H69" s="55" t="s">
        <v>157</v>
      </c>
      <c r="I69" s="69" t="s">
        <v>160</v>
      </c>
      <c r="J69" s="20" t="s">
        <v>164</v>
      </c>
      <c r="K69" s="37">
        <v>43940.0</v>
      </c>
      <c r="L69" s="37">
        <v>43940.0</v>
      </c>
      <c r="M69" s="174" t="s">
        <v>165</v>
      </c>
      <c r="N69" s="73" t="s">
        <v>102</v>
      </c>
      <c r="O69" s="113">
        <v>43738.0</v>
      </c>
      <c r="P69" s="37">
        <v>43890.0</v>
      </c>
      <c r="Q69" s="22"/>
      <c r="R69" s="22"/>
      <c r="S69" s="117"/>
      <c r="T69" s="157"/>
      <c r="U69" s="161"/>
      <c r="V69" s="161"/>
      <c r="W69" s="120" t="s">
        <v>97</v>
      </c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  <c r="AH69" s="163"/>
      <c r="AI69" s="163"/>
      <c r="AJ69" s="163"/>
      <c r="AK69" s="332" t="s">
        <v>97</v>
      </c>
      <c r="AL69" s="163"/>
      <c r="AM69" s="163"/>
      <c r="AN69" s="161"/>
      <c r="AO69" s="161"/>
      <c r="AP69" s="161"/>
      <c r="AQ69" s="161"/>
      <c r="AR69" s="161"/>
      <c r="AS69" s="119"/>
    </row>
    <row r="70">
      <c r="A70" s="137">
        <v>50.0</v>
      </c>
      <c r="B70" s="177">
        <v>10.0</v>
      </c>
      <c r="C70" s="104" t="s">
        <v>842</v>
      </c>
      <c r="D70" s="105" t="s">
        <v>48</v>
      </c>
      <c r="E70" s="107" t="s">
        <v>48</v>
      </c>
      <c r="F70" s="178"/>
      <c r="G70" s="77" t="s">
        <v>844</v>
      </c>
      <c r="H70" s="32" t="s">
        <v>845</v>
      </c>
      <c r="I70" s="84" t="s">
        <v>848</v>
      </c>
      <c r="J70" s="155"/>
      <c r="K70" s="37">
        <v>44126.0</v>
      </c>
      <c r="L70" s="37">
        <v>44133.0</v>
      </c>
      <c r="M70" s="85" t="s">
        <v>165</v>
      </c>
      <c r="N70" s="85" t="s">
        <v>102</v>
      </c>
      <c r="O70" s="37">
        <v>43917.0</v>
      </c>
      <c r="P70" s="37">
        <v>44018.0</v>
      </c>
      <c r="Q70" s="200" t="s">
        <v>222</v>
      </c>
      <c r="R70" s="200" t="s">
        <v>222</v>
      </c>
      <c r="S70" s="224"/>
      <c r="T70" s="181"/>
      <c r="U70" s="182" t="s">
        <v>97</v>
      </c>
      <c r="V70" s="184"/>
      <c r="W70" s="184"/>
      <c r="X70" s="184"/>
      <c r="Y70" s="184"/>
      <c r="Z70" s="184"/>
      <c r="AA70" s="184"/>
      <c r="AB70" s="184"/>
      <c r="AC70" s="184"/>
      <c r="AD70" s="186"/>
      <c r="AE70" s="187"/>
      <c r="AF70" s="184"/>
      <c r="AG70" s="187"/>
      <c r="AH70" s="189"/>
      <c r="AI70" s="189"/>
      <c r="AJ70" s="189"/>
      <c r="AK70" s="189"/>
      <c r="AL70" s="189"/>
      <c r="AM70" s="189"/>
      <c r="AN70" s="187"/>
      <c r="AO70" s="187"/>
      <c r="AP70" s="184"/>
      <c r="AQ70" s="187"/>
      <c r="AR70" s="187"/>
      <c r="AS70" s="119"/>
    </row>
    <row r="71">
      <c r="A71" s="101">
        <v>52.0</v>
      </c>
      <c r="B71" s="173">
        <v>11.0</v>
      </c>
      <c r="C71" s="104" t="s">
        <v>854</v>
      </c>
      <c r="D71" s="296" t="s">
        <v>55</v>
      </c>
      <c r="E71" s="297" t="s">
        <v>55</v>
      </c>
      <c r="F71" s="101"/>
      <c r="G71" s="40" t="s">
        <v>855</v>
      </c>
      <c r="H71" s="55" t="s">
        <v>856</v>
      </c>
      <c r="I71" s="289" t="s">
        <v>24</v>
      </c>
      <c r="J71" s="155"/>
      <c r="K71" s="22" t="s">
        <v>27</v>
      </c>
      <c r="L71" s="22" t="s">
        <v>27</v>
      </c>
      <c r="M71" s="174" t="s">
        <v>165</v>
      </c>
      <c r="N71" s="290" t="s">
        <v>102</v>
      </c>
      <c r="O71" s="22" t="s">
        <v>27</v>
      </c>
      <c r="P71" s="22" t="s">
        <v>27</v>
      </c>
      <c r="Q71" s="348"/>
      <c r="R71" s="348"/>
      <c r="S71" s="224"/>
      <c r="T71" s="141"/>
      <c r="U71" s="119"/>
      <c r="V71" s="119"/>
      <c r="W71" s="119"/>
      <c r="X71" s="119"/>
      <c r="Y71" s="119"/>
      <c r="Z71" s="299" t="s">
        <v>97</v>
      </c>
      <c r="AA71" s="119"/>
      <c r="AB71" s="119"/>
      <c r="AC71" s="119"/>
      <c r="AD71" s="119"/>
      <c r="AE71" s="119"/>
      <c r="AF71" s="119"/>
      <c r="AG71" s="119"/>
      <c r="AH71" s="121"/>
      <c r="AI71" s="121"/>
      <c r="AJ71" s="121"/>
      <c r="AK71" s="121"/>
      <c r="AL71" s="121"/>
      <c r="AM71" s="121"/>
      <c r="AN71" s="119"/>
      <c r="AO71" s="119"/>
      <c r="AP71" s="119"/>
      <c r="AQ71" s="119"/>
      <c r="AR71" s="119"/>
      <c r="AS71" s="119"/>
    </row>
    <row r="72">
      <c r="A72" s="137">
        <v>53.0</v>
      </c>
      <c r="B72" s="150"/>
      <c r="C72" s="104" t="s">
        <v>859</v>
      </c>
      <c r="D72" s="105" t="s">
        <v>48</v>
      </c>
      <c r="E72" s="107" t="s">
        <v>48</v>
      </c>
      <c r="F72" s="101"/>
      <c r="G72" s="40" t="s">
        <v>860</v>
      </c>
      <c r="H72" s="55" t="s">
        <v>861</v>
      </c>
      <c r="I72" s="69" t="s">
        <v>863</v>
      </c>
      <c r="J72" s="155"/>
      <c r="K72" s="37">
        <v>44083.0</v>
      </c>
      <c r="L72" s="37">
        <v>44086.0</v>
      </c>
      <c r="M72" s="73" t="s">
        <v>165</v>
      </c>
      <c r="N72" s="73" t="s">
        <v>102</v>
      </c>
      <c r="O72" s="113">
        <v>43769.0</v>
      </c>
      <c r="P72" s="37">
        <v>44002.0</v>
      </c>
      <c r="Q72" s="22"/>
      <c r="R72" s="22"/>
      <c r="S72" s="193" t="s">
        <v>97</v>
      </c>
      <c r="T72" s="157"/>
      <c r="U72" s="176" t="s">
        <v>97</v>
      </c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3"/>
      <c r="AI72" s="163"/>
      <c r="AJ72" s="163"/>
      <c r="AK72" s="163"/>
      <c r="AL72" s="163"/>
      <c r="AM72" s="163"/>
      <c r="AN72" s="161"/>
      <c r="AO72" s="161"/>
      <c r="AP72" s="161"/>
      <c r="AQ72" s="161"/>
      <c r="AR72" s="161"/>
      <c r="AS72" s="119"/>
    </row>
    <row r="73">
      <c r="A73" s="137">
        <v>54.0</v>
      </c>
      <c r="B73" s="150"/>
      <c r="C73" s="104" t="s">
        <v>865</v>
      </c>
      <c r="D73" s="138" t="s">
        <v>77</v>
      </c>
      <c r="E73" s="107" t="s">
        <v>869</v>
      </c>
      <c r="F73" s="101"/>
      <c r="G73" s="40" t="s">
        <v>870</v>
      </c>
      <c r="H73" s="55" t="s">
        <v>871</v>
      </c>
      <c r="I73" s="69" t="s">
        <v>873</v>
      </c>
      <c r="J73" s="155"/>
      <c r="K73" s="37">
        <v>44105.0</v>
      </c>
      <c r="L73" s="37">
        <v>44115.0</v>
      </c>
      <c r="M73" s="73" t="s">
        <v>221</v>
      </c>
      <c r="N73" s="73" t="s">
        <v>72</v>
      </c>
      <c r="O73" s="113">
        <v>43837.0</v>
      </c>
      <c r="P73" s="37">
        <v>44048.0</v>
      </c>
      <c r="Q73" s="22"/>
      <c r="R73" s="22"/>
      <c r="S73" s="117"/>
      <c r="T73" s="157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3"/>
      <c r="AI73" s="163"/>
      <c r="AJ73" s="163"/>
      <c r="AK73" s="163"/>
      <c r="AL73" s="163"/>
      <c r="AM73" s="163"/>
      <c r="AN73" s="161"/>
      <c r="AO73" s="351" t="s">
        <v>97</v>
      </c>
      <c r="AP73" s="161"/>
      <c r="AQ73" s="161"/>
      <c r="AR73" s="161"/>
      <c r="AS73" s="119"/>
    </row>
    <row r="74">
      <c r="A74" s="101">
        <v>869.0</v>
      </c>
      <c r="B74" s="353"/>
      <c r="C74" s="355" t="s">
        <v>879</v>
      </c>
      <c r="D74" s="357" t="s">
        <v>48</v>
      </c>
      <c r="E74" s="358" t="s">
        <v>48</v>
      </c>
      <c r="F74" s="359"/>
      <c r="G74" s="159" t="s">
        <v>478</v>
      </c>
      <c r="H74" s="166" t="s">
        <v>479</v>
      </c>
      <c r="I74" s="167" t="s">
        <v>481</v>
      </c>
      <c r="J74" s="168" t="s">
        <v>482</v>
      </c>
      <c r="K74" s="169">
        <v>43924.0</v>
      </c>
      <c r="L74" s="169">
        <v>43925.0</v>
      </c>
      <c r="M74" s="170" t="s">
        <v>483</v>
      </c>
      <c r="N74" s="170" t="s">
        <v>484</v>
      </c>
      <c r="O74" s="169">
        <v>43631.0</v>
      </c>
      <c r="P74" s="169">
        <v>43845.0</v>
      </c>
      <c r="Q74" s="361"/>
      <c r="R74" s="361"/>
      <c r="S74" s="117"/>
      <c r="T74" s="362"/>
      <c r="U74" s="363" t="s">
        <v>97</v>
      </c>
      <c r="V74" s="269"/>
      <c r="W74" s="269"/>
      <c r="X74" s="269"/>
      <c r="Y74" s="269"/>
      <c r="Z74" s="269"/>
      <c r="AA74" s="266"/>
      <c r="AB74" s="269"/>
      <c r="AC74" s="269"/>
      <c r="AD74" s="269"/>
      <c r="AE74" s="269"/>
      <c r="AF74" s="269"/>
      <c r="AG74" s="269"/>
      <c r="AH74" s="269"/>
      <c r="AI74" s="269"/>
      <c r="AJ74" s="269"/>
      <c r="AK74" s="269"/>
      <c r="AL74" s="269"/>
      <c r="AM74" s="269"/>
      <c r="AN74" s="269"/>
      <c r="AO74" s="269"/>
      <c r="AP74" s="269"/>
      <c r="AQ74" s="269"/>
      <c r="AR74" s="269"/>
      <c r="AS74" s="119"/>
    </row>
    <row r="75">
      <c r="A75" s="101">
        <v>55.0</v>
      </c>
      <c r="B75" s="150"/>
      <c r="C75" s="104" t="s">
        <v>892</v>
      </c>
      <c r="D75" s="138" t="s">
        <v>63</v>
      </c>
      <c r="E75" s="107" t="s">
        <v>550</v>
      </c>
      <c r="F75" s="101"/>
      <c r="G75" s="40" t="s">
        <v>893</v>
      </c>
      <c r="H75" s="55" t="s">
        <v>894</v>
      </c>
      <c r="I75" s="69" t="s">
        <v>896</v>
      </c>
      <c r="J75" s="155"/>
      <c r="K75" s="37">
        <v>43975.0</v>
      </c>
      <c r="L75" s="37">
        <v>43975.0</v>
      </c>
      <c r="M75" s="85" t="s">
        <v>900</v>
      </c>
      <c r="N75" s="73" t="s">
        <v>379</v>
      </c>
      <c r="O75" s="113">
        <v>43889.0</v>
      </c>
      <c r="P75" s="37">
        <v>43921.0</v>
      </c>
      <c r="Q75" s="22"/>
      <c r="R75" s="22"/>
      <c r="S75" s="117"/>
      <c r="T75" s="157"/>
      <c r="U75" s="161"/>
      <c r="V75" s="161"/>
      <c r="W75" s="120" t="s">
        <v>97</v>
      </c>
      <c r="X75" s="161"/>
      <c r="Y75" s="161"/>
      <c r="Z75" s="161"/>
      <c r="AA75" s="161"/>
      <c r="AB75" s="161"/>
      <c r="AC75" s="161"/>
      <c r="AD75" s="161"/>
      <c r="AE75" s="161"/>
      <c r="AF75" s="161"/>
      <c r="AG75" s="275" t="s">
        <v>97</v>
      </c>
      <c r="AH75" s="163"/>
      <c r="AI75" s="163"/>
      <c r="AJ75" s="163"/>
      <c r="AK75" s="163"/>
      <c r="AL75" s="163"/>
      <c r="AM75" s="163"/>
      <c r="AN75" s="161"/>
      <c r="AO75" s="161"/>
      <c r="AP75" s="161"/>
      <c r="AQ75" s="161"/>
      <c r="AR75" s="161"/>
      <c r="AS75" s="119"/>
    </row>
    <row r="76">
      <c r="A76" s="137">
        <v>56.0</v>
      </c>
      <c r="B76" s="150"/>
      <c r="C76" s="104" t="s">
        <v>901</v>
      </c>
      <c r="D76" s="138" t="s">
        <v>56</v>
      </c>
      <c r="E76" s="156" t="s">
        <v>227</v>
      </c>
      <c r="F76" s="101"/>
      <c r="G76" s="40" t="s">
        <v>903</v>
      </c>
      <c r="H76" s="55" t="s">
        <v>904</v>
      </c>
      <c r="I76" s="69" t="s">
        <v>905</v>
      </c>
      <c r="J76" s="155"/>
      <c r="K76" s="37">
        <v>44111.0</v>
      </c>
      <c r="L76" s="37">
        <v>44116.0</v>
      </c>
      <c r="M76" s="85" t="s">
        <v>900</v>
      </c>
      <c r="N76" s="73" t="s">
        <v>379</v>
      </c>
      <c r="O76" s="113">
        <v>43814.0</v>
      </c>
      <c r="P76" s="37">
        <v>44080.0</v>
      </c>
      <c r="Q76" s="22"/>
      <c r="R76" s="22"/>
      <c r="S76" s="117"/>
      <c r="T76" s="157"/>
      <c r="U76" s="161"/>
      <c r="V76" s="161"/>
      <c r="W76" s="161"/>
      <c r="X76" s="161"/>
      <c r="Y76" s="161"/>
      <c r="Z76" s="161"/>
      <c r="AA76" s="218" t="s">
        <v>97</v>
      </c>
      <c r="AB76" s="161"/>
      <c r="AC76" s="161"/>
      <c r="AD76" s="161"/>
      <c r="AE76" s="161"/>
      <c r="AF76" s="161"/>
      <c r="AG76" s="161"/>
      <c r="AH76" s="163"/>
      <c r="AI76" s="163"/>
      <c r="AJ76" s="163"/>
      <c r="AK76" s="163"/>
      <c r="AL76" s="163"/>
      <c r="AM76" s="163"/>
      <c r="AN76" s="161"/>
      <c r="AO76" s="161"/>
      <c r="AP76" s="161"/>
      <c r="AQ76" s="161"/>
      <c r="AR76" s="161"/>
      <c r="AS76" s="119"/>
    </row>
    <row r="77">
      <c r="A77" s="137">
        <v>770.0</v>
      </c>
      <c r="B77" s="103">
        <v>7.0</v>
      </c>
      <c r="C77" s="104" t="s">
        <v>458</v>
      </c>
      <c r="D77" s="105" t="s">
        <v>48</v>
      </c>
      <c r="E77" s="107" t="s">
        <v>48</v>
      </c>
      <c r="F77" s="109"/>
      <c r="G77" s="10" t="s">
        <v>11</v>
      </c>
      <c r="H77" s="17" t="s">
        <v>12</v>
      </c>
      <c r="I77" s="19" t="s">
        <v>24</v>
      </c>
      <c r="J77" s="20" t="s">
        <v>26</v>
      </c>
      <c r="K77" s="22" t="s">
        <v>27</v>
      </c>
      <c r="L77" s="22" t="s">
        <v>27</v>
      </c>
      <c r="M77" s="24" t="s">
        <v>28</v>
      </c>
      <c r="N77" s="24" t="s">
        <v>29</v>
      </c>
      <c r="O77" s="22" t="s">
        <v>27</v>
      </c>
      <c r="P77" s="22" t="s">
        <v>27</v>
      </c>
      <c r="Q77" s="115"/>
      <c r="R77" s="115"/>
      <c r="S77" s="117"/>
      <c r="T77" s="118"/>
      <c r="U77" s="176" t="s">
        <v>97</v>
      </c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21"/>
      <c r="AI77" s="121"/>
      <c r="AJ77" s="121"/>
      <c r="AK77" s="121"/>
      <c r="AL77" s="121"/>
      <c r="AM77" s="121"/>
      <c r="AN77" s="119"/>
      <c r="AO77" s="119"/>
      <c r="AP77" s="119"/>
      <c r="AQ77" s="119"/>
      <c r="AR77" s="119"/>
      <c r="AS77" s="119"/>
    </row>
    <row r="78">
      <c r="A78" s="137">
        <v>766.0</v>
      </c>
      <c r="B78" s="103"/>
      <c r="C78" s="104" t="s">
        <v>910</v>
      </c>
      <c r="D78" s="105" t="s">
        <v>48</v>
      </c>
      <c r="E78" s="107" t="s">
        <v>48</v>
      </c>
      <c r="F78" s="109"/>
      <c r="G78" s="10" t="s">
        <v>273</v>
      </c>
      <c r="H78" s="17" t="s">
        <v>275</v>
      </c>
      <c r="I78" s="175" t="s">
        <v>278</v>
      </c>
      <c r="J78" s="222" t="s">
        <v>280</v>
      </c>
      <c r="K78" s="113">
        <v>43942.0</v>
      </c>
      <c r="L78" s="113">
        <v>43947.0</v>
      </c>
      <c r="M78" s="24" t="s">
        <v>282</v>
      </c>
      <c r="N78" s="24" t="s">
        <v>283</v>
      </c>
      <c r="O78" s="114">
        <v>43677.0</v>
      </c>
      <c r="P78" s="114">
        <v>43830.0</v>
      </c>
      <c r="Q78" s="115"/>
      <c r="R78" s="115"/>
      <c r="S78" s="117"/>
      <c r="T78" s="118"/>
      <c r="U78" s="176" t="s">
        <v>97</v>
      </c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21"/>
      <c r="AI78" s="121"/>
      <c r="AJ78" s="121"/>
      <c r="AK78" s="121"/>
      <c r="AL78" s="121"/>
      <c r="AM78" s="121"/>
      <c r="AN78" s="119"/>
      <c r="AO78" s="119"/>
      <c r="AP78" s="119"/>
      <c r="AQ78" s="119"/>
      <c r="AR78" s="119"/>
      <c r="AS78" s="119"/>
    </row>
    <row r="79">
      <c r="A79" s="137">
        <v>57.0</v>
      </c>
      <c r="B79" s="173"/>
      <c r="C79" s="104" t="s">
        <v>915</v>
      </c>
      <c r="D79" s="296" t="s">
        <v>55</v>
      </c>
      <c r="E79" s="297" t="s">
        <v>55</v>
      </c>
      <c r="F79" s="101"/>
      <c r="G79" s="40" t="s">
        <v>916</v>
      </c>
      <c r="H79" s="55" t="s">
        <v>917</v>
      </c>
      <c r="I79" s="289" t="s">
        <v>24</v>
      </c>
      <c r="J79" s="155"/>
      <c r="K79" s="37">
        <v>43845.0</v>
      </c>
      <c r="L79" s="37">
        <v>43850.0</v>
      </c>
      <c r="M79" s="290" t="s">
        <v>920</v>
      </c>
      <c r="N79" s="290" t="s">
        <v>537</v>
      </c>
      <c r="O79" s="114" t="s">
        <v>24</v>
      </c>
      <c r="P79" s="114" t="s">
        <v>24</v>
      </c>
      <c r="Q79" s="223"/>
      <c r="R79" s="223"/>
      <c r="S79" s="224"/>
      <c r="T79" s="141"/>
      <c r="U79" s="119"/>
      <c r="V79" s="119"/>
      <c r="W79" s="119"/>
      <c r="X79" s="119"/>
      <c r="Y79" s="119"/>
      <c r="Z79" s="299" t="s">
        <v>97</v>
      </c>
      <c r="AA79" s="119"/>
      <c r="AB79" s="119"/>
      <c r="AC79" s="119"/>
      <c r="AD79" s="119"/>
      <c r="AE79" s="119"/>
      <c r="AF79" s="119"/>
      <c r="AG79" s="119"/>
      <c r="AH79" s="121"/>
      <c r="AI79" s="121"/>
      <c r="AJ79" s="121"/>
      <c r="AK79" s="121"/>
      <c r="AL79" s="121"/>
      <c r="AM79" s="121"/>
      <c r="AN79" s="119"/>
      <c r="AO79" s="119"/>
      <c r="AP79" s="119"/>
      <c r="AQ79" s="119"/>
      <c r="AR79" s="119"/>
      <c r="AS79" s="119"/>
    </row>
    <row r="80">
      <c r="A80" s="101">
        <v>58.0</v>
      </c>
      <c r="B80" s="150"/>
      <c r="C80" s="104" t="s">
        <v>921</v>
      </c>
      <c r="D80" s="105" t="s">
        <v>88</v>
      </c>
      <c r="E80" s="107" t="s">
        <v>88</v>
      </c>
      <c r="F80" s="101"/>
      <c r="G80" s="40" t="s">
        <v>922</v>
      </c>
      <c r="H80" s="55" t="s">
        <v>923</v>
      </c>
      <c r="I80" s="69" t="s">
        <v>925</v>
      </c>
      <c r="J80" s="155"/>
      <c r="K80" s="37">
        <v>43876.0</v>
      </c>
      <c r="L80" s="37">
        <v>43877.0</v>
      </c>
      <c r="M80" s="73" t="s">
        <v>927</v>
      </c>
      <c r="N80" s="73" t="s">
        <v>72</v>
      </c>
      <c r="O80" s="113">
        <v>43708.0</v>
      </c>
      <c r="P80" s="37">
        <v>43738.0</v>
      </c>
      <c r="Q80" s="22"/>
      <c r="R80" s="22"/>
      <c r="S80" s="117"/>
      <c r="T80" s="157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3"/>
      <c r="AI80" s="163"/>
      <c r="AJ80" s="163"/>
      <c r="AK80" s="163"/>
      <c r="AL80" s="163"/>
      <c r="AM80" s="163"/>
      <c r="AN80" s="161"/>
      <c r="AO80" s="161"/>
      <c r="AP80" s="368" t="s">
        <v>97</v>
      </c>
      <c r="AQ80" s="161"/>
      <c r="AR80" s="161"/>
      <c r="AS80" s="119"/>
    </row>
    <row r="81">
      <c r="A81" s="137">
        <v>59.0</v>
      </c>
      <c r="B81" s="177"/>
      <c r="C81" s="104" t="s">
        <v>928</v>
      </c>
      <c r="D81" s="105" t="s">
        <v>48</v>
      </c>
      <c r="E81" s="107" t="s">
        <v>48</v>
      </c>
      <c r="F81" s="178"/>
      <c r="G81" s="77" t="s">
        <v>931</v>
      </c>
      <c r="H81" s="81" t="s">
        <v>933</v>
      </c>
      <c r="I81" s="84" t="s">
        <v>937</v>
      </c>
      <c r="J81" s="155"/>
      <c r="K81" s="37">
        <v>43879.0</v>
      </c>
      <c r="L81" s="37">
        <v>43884.0</v>
      </c>
      <c r="M81" s="85" t="s">
        <v>939</v>
      </c>
      <c r="N81" s="85" t="s">
        <v>489</v>
      </c>
      <c r="O81" s="113">
        <v>43616.0</v>
      </c>
      <c r="P81" s="37">
        <v>43769.0</v>
      </c>
      <c r="Q81" s="22"/>
      <c r="R81" s="22"/>
      <c r="S81" s="117"/>
      <c r="T81" s="181"/>
      <c r="U81" s="182" t="s">
        <v>97</v>
      </c>
      <c r="V81" s="184"/>
      <c r="W81" s="184"/>
      <c r="X81" s="184"/>
      <c r="Y81" s="184"/>
      <c r="Z81" s="184"/>
      <c r="AA81" s="184"/>
      <c r="AB81" s="184"/>
      <c r="AC81" s="184"/>
      <c r="AD81" s="186"/>
      <c r="AE81" s="187"/>
      <c r="AF81" s="184"/>
      <c r="AG81" s="187"/>
      <c r="AH81" s="189"/>
      <c r="AI81" s="189"/>
      <c r="AJ81" s="189"/>
      <c r="AK81" s="189"/>
      <c r="AL81" s="189"/>
      <c r="AM81" s="189"/>
      <c r="AN81" s="187"/>
      <c r="AO81" s="187"/>
      <c r="AP81" s="184"/>
      <c r="AQ81" s="187"/>
      <c r="AR81" s="187"/>
      <c r="AS81" s="119"/>
    </row>
    <row r="82">
      <c r="A82" s="101">
        <v>910.0</v>
      </c>
      <c r="B82" s="284"/>
      <c r="C82" s="123" t="s">
        <v>940</v>
      </c>
      <c r="D82" s="124" t="s">
        <v>51</v>
      </c>
      <c r="E82" s="371" t="s">
        <v>941</v>
      </c>
      <c r="F82" s="127"/>
      <c r="G82" s="128" t="s">
        <v>942</v>
      </c>
      <c r="H82" s="89" t="s">
        <v>944</v>
      </c>
      <c r="I82" s="91" t="str">
        <f>HYPERLINK("https://filmfreeway.com/BellinghamHumanRightsFilm","https://filmfreeway.com/BellinghamHumanRightsFilm")</f>
        <v>https://filmfreeway.com/BellinghamHumanRightsFilm</v>
      </c>
      <c r="J82" s="288"/>
      <c r="K82" s="145">
        <v>43881.0</v>
      </c>
      <c r="L82" s="145">
        <v>43890.0</v>
      </c>
      <c r="M82" s="130" t="s">
        <v>945</v>
      </c>
      <c r="N82" s="130" t="s">
        <v>251</v>
      </c>
      <c r="O82" s="145">
        <v>43753.0</v>
      </c>
      <c r="P82" s="145">
        <v>43753.0</v>
      </c>
      <c r="Q82" s="131"/>
      <c r="R82" s="132"/>
      <c r="S82" s="132"/>
      <c r="T82" s="118"/>
      <c r="U82" s="119"/>
      <c r="V82" s="241" t="s">
        <v>97</v>
      </c>
      <c r="W82" s="119"/>
      <c r="X82" s="119"/>
      <c r="Y82" s="134"/>
      <c r="Z82" s="119"/>
      <c r="AA82" s="119"/>
      <c r="AB82" s="119"/>
      <c r="AC82" s="119"/>
      <c r="AD82" s="119"/>
      <c r="AE82" s="119"/>
      <c r="AF82" s="119"/>
      <c r="AG82" s="119"/>
      <c r="AH82" s="121"/>
      <c r="AI82" s="121"/>
      <c r="AJ82" s="121"/>
      <c r="AK82" s="121"/>
      <c r="AL82" s="121"/>
      <c r="AM82" s="135"/>
      <c r="AN82" s="119"/>
      <c r="AO82" s="351" t="s">
        <v>97</v>
      </c>
      <c r="AP82" s="119"/>
      <c r="AQ82" s="119"/>
      <c r="AR82" s="119"/>
      <c r="AS82" s="119"/>
    </row>
    <row r="83">
      <c r="A83" s="137">
        <v>60.0</v>
      </c>
      <c r="B83" s="150"/>
      <c r="C83" s="104" t="s">
        <v>946</v>
      </c>
      <c r="D83" s="105" t="s">
        <v>48</v>
      </c>
      <c r="E83" s="107" t="s">
        <v>48</v>
      </c>
      <c r="F83" s="101"/>
      <c r="G83" s="40" t="s">
        <v>948</v>
      </c>
      <c r="H83" s="55" t="s">
        <v>949</v>
      </c>
      <c r="I83" s="69" t="s">
        <v>951</v>
      </c>
      <c r="J83" s="155"/>
      <c r="K83" s="37">
        <v>43882.0</v>
      </c>
      <c r="L83" s="37">
        <v>43891.0</v>
      </c>
      <c r="M83" s="174" t="s">
        <v>953</v>
      </c>
      <c r="N83" s="73" t="s">
        <v>350</v>
      </c>
      <c r="O83" s="113">
        <v>43616.0</v>
      </c>
      <c r="P83" s="37">
        <v>43769.0</v>
      </c>
      <c r="Q83" s="22"/>
      <c r="R83" s="22"/>
      <c r="S83" s="117"/>
      <c r="T83" s="157"/>
      <c r="U83" s="176" t="s">
        <v>97</v>
      </c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63"/>
      <c r="AI83" s="163"/>
      <c r="AJ83" s="163"/>
      <c r="AK83" s="163"/>
      <c r="AL83" s="163"/>
      <c r="AM83" s="163"/>
      <c r="AN83" s="161"/>
      <c r="AO83" s="161"/>
      <c r="AP83" s="161"/>
      <c r="AQ83" s="161"/>
      <c r="AR83" s="161"/>
      <c r="AS83" s="119"/>
    </row>
    <row r="84">
      <c r="A84" s="101">
        <v>61.0</v>
      </c>
      <c r="B84" s="177"/>
      <c r="C84" s="104" t="s">
        <v>954</v>
      </c>
      <c r="D84" s="105" t="s">
        <v>48</v>
      </c>
      <c r="E84" s="107" t="s">
        <v>48</v>
      </c>
      <c r="F84" s="178"/>
      <c r="G84" s="77" t="s">
        <v>955</v>
      </c>
      <c r="H84" s="32" t="s">
        <v>958</v>
      </c>
      <c r="I84" s="84" t="s">
        <v>959</v>
      </c>
      <c r="J84" s="112"/>
      <c r="K84" s="113">
        <v>44112.0</v>
      </c>
      <c r="L84" s="37">
        <v>44115.0</v>
      </c>
      <c r="M84" s="85" t="s">
        <v>961</v>
      </c>
      <c r="N84" s="85" t="s">
        <v>594</v>
      </c>
      <c r="O84" s="113">
        <v>43873.0</v>
      </c>
      <c r="P84" s="37">
        <v>43992.0</v>
      </c>
      <c r="Q84" s="22"/>
      <c r="R84" s="22"/>
      <c r="S84" s="193" t="s">
        <v>97</v>
      </c>
      <c r="T84" s="181"/>
      <c r="U84" s="182" t="s">
        <v>97</v>
      </c>
      <c r="V84" s="184"/>
      <c r="W84" s="184"/>
      <c r="X84" s="184"/>
      <c r="Y84" s="184"/>
      <c r="Z84" s="184"/>
      <c r="AA84" s="184"/>
      <c r="AB84" s="184"/>
      <c r="AC84" s="184"/>
      <c r="AD84" s="186"/>
      <c r="AE84" s="187"/>
      <c r="AF84" s="184"/>
      <c r="AG84" s="187"/>
      <c r="AH84" s="189"/>
      <c r="AI84" s="189"/>
      <c r="AJ84" s="189"/>
      <c r="AK84" s="189"/>
      <c r="AL84" s="189"/>
      <c r="AM84" s="189"/>
      <c r="AN84" s="187"/>
      <c r="AO84" s="187"/>
      <c r="AP84" s="184"/>
      <c r="AQ84" s="187"/>
      <c r="AR84" s="187"/>
      <c r="AS84" s="119"/>
    </row>
    <row r="85">
      <c r="A85" s="101">
        <v>822.0</v>
      </c>
      <c r="B85" s="103">
        <v>10.0</v>
      </c>
      <c r="C85" s="104" t="s">
        <v>962</v>
      </c>
      <c r="D85" s="226" t="s">
        <v>54</v>
      </c>
      <c r="E85" s="227" t="s">
        <v>54</v>
      </c>
      <c r="F85" s="109"/>
      <c r="G85" s="10" t="s">
        <v>963</v>
      </c>
      <c r="H85" s="17" t="s">
        <v>965</v>
      </c>
      <c r="I85" s="175" t="s">
        <v>970</v>
      </c>
      <c r="J85" s="155"/>
      <c r="K85" s="22" t="s">
        <v>27</v>
      </c>
      <c r="L85" s="22" t="s">
        <v>27</v>
      </c>
      <c r="M85" s="24" t="s">
        <v>971</v>
      </c>
      <c r="N85" s="24" t="s">
        <v>72</v>
      </c>
      <c r="O85" s="22" t="s">
        <v>27</v>
      </c>
      <c r="P85" s="22" t="s">
        <v>27</v>
      </c>
      <c r="Q85" s="373"/>
      <c r="R85" s="373"/>
      <c r="S85" s="224"/>
      <c r="T85" s="118"/>
      <c r="U85" s="119"/>
      <c r="V85" s="119"/>
      <c r="W85" s="119"/>
      <c r="X85" s="119"/>
      <c r="Y85" s="374" t="s">
        <v>97</v>
      </c>
      <c r="Z85" s="119"/>
      <c r="AA85" s="119"/>
      <c r="AB85" s="119"/>
      <c r="AC85" s="119"/>
      <c r="AD85" s="119"/>
      <c r="AE85" s="119"/>
      <c r="AF85" s="119"/>
      <c r="AG85" s="119"/>
      <c r="AH85" s="121"/>
      <c r="AI85" s="121"/>
      <c r="AJ85" s="121"/>
      <c r="AK85" s="121"/>
      <c r="AL85" s="121"/>
      <c r="AM85" s="121"/>
      <c r="AN85" s="119"/>
      <c r="AO85" s="119"/>
      <c r="AP85" s="119"/>
      <c r="AQ85" s="119"/>
      <c r="AR85" s="119"/>
      <c r="AS85" s="119"/>
    </row>
    <row r="86">
      <c r="A86" s="137">
        <v>62.0</v>
      </c>
      <c r="B86" s="177"/>
      <c r="C86" s="104" t="s">
        <v>975</v>
      </c>
      <c r="D86" s="105" t="s">
        <v>48</v>
      </c>
      <c r="E86" s="107" t="s">
        <v>48</v>
      </c>
      <c r="F86" s="178"/>
      <c r="G86" s="77" t="s">
        <v>977</v>
      </c>
      <c r="H86" s="32" t="s">
        <v>979</v>
      </c>
      <c r="I86" s="84" t="s">
        <v>981</v>
      </c>
      <c r="J86" s="20" t="s">
        <v>983</v>
      </c>
      <c r="K86" s="37">
        <v>43950.0</v>
      </c>
      <c r="L86" s="37">
        <v>43953.0</v>
      </c>
      <c r="M86" s="85" t="s">
        <v>984</v>
      </c>
      <c r="N86" s="85" t="s">
        <v>626</v>
      </c>
      <c r="O86" s="113">
        <v>43748.0</v>
      </c>
      <c r="P86" s="37">
        <v>43845.0</v>
      </c>
      <c r="Q86" s="22"/>
      <c r="R86" s="22"/>
      <c r="S86" s="117"/>
      <c r="T86" s="181"/>
      <c r="U86" s="182" t="s">
        <v>97</v>
      </c>
      <c r="V86" s="184"/>
      <c r="W86" s="184"/>
      <c r="X86" s="184"/>
      <c r="Y86" s="184"/>
      <c r="Z86" s="184"/>
      <c r="AA86" s="184"/>
      <c r="AB86" s="184"/>
      <c r="AC86" s="184"/>
      <c r="AD86" s="186"/>
      <c r="AE86" s="187"/>
      <c r="AF86" s="184"/>
      <c r="AG86" s="187"/>
      <c r="AH86" s="189"/>
      <c r="AI86" s="189"/>
      <c r="AJ86" s="189"/>
      <c r="AK86" s="189"/>
      <c r="AL86" s="189"/>
      <c r="AM86" s="189"/>
      <c r="AN86" s="187"/>
      <c r="AO86" s="187"/>
      <c r="AP86" s="184"/>
      <c r="AQ86" s="187"/>
      <c r="AR86" s="187"/>
      <c r="AS86" s="119"/>
    </row>
    <row r="87">
      <c r="A87" s="137">
        <v>63.0</v>
      </c>
      <c r="B87" s="315">
        <v>10.0</v>
      </c>
      <c r="C87" s="104" t="s">
        <v>988</v>
      </c>
      <c r="D87" s="105" t="s">
        <v>48</v>
      </c>
      <c r="E87" s="107" t="s">
        <v>48</v>
      </c>
      <c r="F87" s="178"/>
      <c r="G87" s="77" t="s">
        <v>989</v>
      </c>
      <c r="H87" s="81" t="s">
        <v>991</v>
      </c>
      <c r="I87" s="316" t="s">
        <v>24</v>
      </c>
      <c r="K87" s="22" t="s">
        <v>27</v>
      </c>
      <c r="L87" s="22" t="s">
        <v>27</v>
      </c>
      <c r="M87" s="85" t="s">
        <v>993</v>
      </c>
      <c r="N87" s="85" t="s">
        <v>72</v>
      </c>
      <c r="O87" s="113">
        <v>44037.0</v>
      </c>
      <c r="P87" s="37">
        <v>44037.0</v>
      </c>
      <c r="Q87" s="201"/>
      <c r="R87" s="201"/>
      <c r="S87" s="224"/>
      <c r="T87" s="181"/>
      <c r="U87" s="182" t="s">
        <v>97</v>
      </c>
      <c r="V87" s="184"/>
      <c r="W87" s="184"/>
      <c r="X87" s="184"/>
      <c r="Y87" s="184"/>
      <c r="Z87" s="184"/>
      <c r="AA87" s="184"/>
      <c r="AB87" s="184"/>
      <c r="AC87" s="184"/>
      <c r="AD87" s="186"/>
      <c r="AE87" s="187"/>
      <c r="AF87" s="184"/>
      <c r="AG87" s="187"/>
      <c r="AH87" s="189"/>
      <c r="AI87" s="189"/>
      <c r="AJ87" s="189"/>
      <c r="AK87" s="189"/>
      <c r="AL87" s="189"/>
      <c r="AM87" s="189"/>
      <c r="AN87" s="187"/>
      <c r="AO87" s="187"/>
      <c r="AP87" s="184"/>
      <c r="AQ87" s="187"/>
      <c r="AR87" s="187"/>
      <c r="AS87" s="119"/>
    </row>
    <row r="88">
      <c r="A88" s="101">
        <v>64.0</v>
      </c>
      <c r="B88" s="315"/>
      <c r="C88" s="104" t="s">
        <v>995</v>
      </c>
      <c r="D88" s="105" t="s">
        <v>48</v>
      </c>
      <c r="E88" s="107" t="s">
        <v>48</v>
      </c>
      <c r="F88" s="178"/>
      <c r="G88" s="77" t="s">
        <v>517</v>
      </c>
      <c r="H88" s="81" t="s">
        <v>518</v>
      </c>
      <c r="I88" s="273" t="s">
        <v>520</v>
      </c>
      <c r="J88" s="20" t="s">
        <v>527</v>
      </c>
      <c r="K88" s="37">
        <v>43979.0</v>
      </c>
      <c r="L88" s="37">
        <v>43982.0</v>
      </c>
      <c r="M88" s="85" t="s">
        <v>528</v>
      </c>
      <c r="N88" s="85" t="s">
        <v>80</v>
      </c>
      <c r="O88" s="113">
        <v>43830.0</v>
      </c>
      <c r="P88" s="37">
        <v>43910.0</v>
      </c>
      <c r="Q88" s="22"/>
      <c r="R88" s="22"/>
      <c r="S88" s="117"/>
      <c r="T88" s="181"/>
      <c r="U88" s="182" t="s">
        <v>97</v>
      </c>
      <c r="V88" s="184"/>
      <c r="W88" s="184"/>
      <c r="X88" s="184"/>
      <c r="Y88" s="184"/>
      <c r="Z88" s="184"/>
      <c r="AA88" s="184"/>
      <c r="AB88" s="184"/>
      <c r="AC88" s="184"/>
      <c r="AD88" s="186"/>
      <c r="AE88" s="187"/>
      <c r="AF88" s="184"/>
      <c r="AG88" s="187"/>
      <c r="AH88" s="189"/>
      <c r="AI88" s="189"/>
      <c r="AJ88" s="189"/>
      <c r="AK88" s="189"/>
      <c r="AL88" s="189"/>
      <c r="AM88" s="189"/>
      <c r="AN88" s="187"/>
      <c r="AO88" s="187"/>
      <c r="AP88" s="184"/>
      <c r="AQ88" s="187"/>
      <c r="AR88" s="187"/>
      <c r="AS88" s="119"/>
    </row>
    <row r="89">
      <c r="A89" s="101">
        <v>806.0</v>
      </c>
      <c r="B89" s="103"/>
      <c r="C89" s="104" t="s">
        <v>1002</v>
      </c>
      <c r="D89" s="138" t="s">
        <v>71</v>
      </c>
      <c r="E89" s="107" t="s">
        <v>71</v>
      </c>
      <c r="F89" s="109"/>
      <c r="G89" s="10" t="s">
        <v>1005</v>
      </c>
      <c r="H89" s="17" t="s">
        <v>1006</v>
      </c>
      <c r="I89" s="111" t="s">
        <v>1008</v>
      </c>
      <c r="J89" s="112"/>
      <c r="K89" s="113">
        <v>44120.0</v>
      </c>
      <c r="L89" s="113">
        <v>44121.0</v>
      </c>
      <c r="M89" s="24" t="s">
        <v>399</v>
      </c>
      <c r="N89" s="24" t="s">
        <v>72</v>
      </c>
      <c r="O89" s="114">
        <v>43830.0</v>
      </c>
      <c r="P89" s="114">
        <v>44058.0</v>
      </c>
      <c r="Q89" s="115"/>
      <c r="R89" s="115"/>
      <c r="S89" s="117"/>
      <c r="T89" s="118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21"/>
      <c r="AI89" s="121"/>
      <c r="AJ89" s="121"/>
      <c r="AK89" s="121"/>
      <c r="AL89" s="121"/>
      <c r="AM89" s="165" t="s">
        <v>97</v>
      </c>
      <c r="AN89" s="119"/>
      <c r="AO89" s="119"/>
      <c r="AP89" s="119"/>
      <c r="AQ89" s="119"/>
      <c r="AR89" s="119"/>
      <c r="AS89" s="119"/>
    </row>
    <row r="90">
      <c r="A90" s="137">
        <v>65.0</v>
      </c>
      <c r="B90" s="150"/>
      <c r="C90" s="104" t="s">
        <v>1009</v>
      </c>
      <c r="D90" s="105" t="s">
        <v>51</v>
      </c>
      <c r="E90" s="107" t="s">
        <v>1010</v>
      </c>
      <c r="F90" s="101"/>
      <c r="G90" s="40" t="s">
        <v>494</v>
      </c>
      <c r="H90" s="55" t="s">
        <v>495</v>
      </c>
      <c r="I90" s="69" t="s">
        <v>499</v>
      </c>
      <c r="J90" s="20" t="s">
        <v>500</v>
      </c>
      <c r="K90" s="37">
        <v>43917.0</v>
      </c>
      <c r="L90" s="37">
        <v>43918.0</v>
      </c>
      <c r="M90" s="73" t="s">
        <v>502</v>
      </c>
      <c r="N90" s="73" t="s">
        <v>379</v>
      </c>
      <c r="O90" s="113">
        <v>43833.0</v>
      </c>
      <c r="P90" s="37">
        <v>43833.0</v>
      </c>
      <c r="Q90" s="22"/>
      <c r="R90" s="22"/>
      <c r="S90" s="117"/>
      <c r="T90" s="157"/>
      <c r="U90" s="161"/>
      <c r="V90" s="241" t="s">
        <v>97</v>
      </c>
      <c r="W90" s="120" t="s">
        <v>97</v>
      </c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3"/>
      <c r="AI90" s="163"/>
      <c r="AJ90" s="163"/>
      <c r="AK90" s="163"/>
      <c r="AL90" s="163"/>
      <c r="AM90" s="163"/>
      <c r="AN90" s="161"/>
      <c r="AO90" s="161"/>
      <c r="AP90" s="161"/>
      <c r="AQ90" s="161"/>
      <c r="AR90" s="161"/>
      <c r="AS90" s="119"/>
    </row>
    <row r="91">
      <c r="A91" s="137">
        <v>66.0</v>
      </c>
      <c r="B91" s="177"/>
      <c r="C91" s="104" t="s">
        <v>1014</v>
      </c>
      <c r="D91" s="105" t="s">
        <v>48</v>
      </c>
      <c r="E91" s="107" t="s">
        <v>48</v>
      </c>
      <c r="F91" s="178"/>
      <c r="G91" s="77" t="s">
        <v>1016</v>
      </c>
      <c r="H91" s="32" t="s">
        <v>1017</v>
      </c>
      <c r="I91" s="84" t="s">
        <v>1019</v>
      </c>
      <c r="J91" s="20" t="s">
        <v>280</v>
      </c>
      <c r="K91" s="37">
        <v>43922.0</v>
      </c>
      <c r="L91" s="37">
        <v>43926.0</v>
      </c>
      <c r="M91" s="85" t="s">
        <v>1022</v>
      </c>
      <c r="N91" s="85" t="s">
        <v>72</v>
      </c>
      <c r="O91" s="113">
        <v>43677.0</v>
      </c>
      <c r="P91" s="37">
        <v>43835.0</v>
      </c>
      <c r="Q91" s="22"/>
      <c r="R91" s="22"/>
      <c r="S91" s="117"/>
      <c r="T91" s="181"/>
      <c r="U91" s="182" t="s">
        <v>97</v>
      </c>
      <c r="V91" s="184"/>
      <c r="W91" s="184"/>
      <c r="X91" s="184"/>
      <c r="Y91" s="184"/>
      <c r="Z91" s="184"/>
      <c r="AA91" s="184"/>
      <c r="AB91" s="184"/>
      <c r="AC91" s="184"/>
      <c r="AD91" s="186"/>
      <c r="AE91" s="187"/>
      <c r="AF91" s="184"/>
      <c r="AG91" s="187"/>
      <c r="AH91" s="189"/>
      <c r="AI91" s="189"/>
      <c r="AJ91" s="189"/>
      <c r="AK91" s="189"/>
      <c r="AL91" s="189"/>
      <c r="AM91" s="189"/>
      <c r="AN91" s="187"/>
      <c r="AO91" s="187"/>
      <c r="AP91" s="184"/>
      <c r="AQ91" s="187"/>
      <c r="AR91" s="187"/>
      <c r="AS91" s="119"/>
    </row>
    <row r="92">
      <c r="A92" s="137">
        <v>987.0</v>
      </c>
      <c r="B92" s="122">
        <v>6.0</v>
      </c>
      <c r="C92" s="123" t="s">
        <v>1023</v>
      </c>
      <c r="D92" s="124" t="s">
        <v>71</v>
      </c>
      <c r="E92" s="126" t="s">
        <v>71</v>
      </c>
      <c r="F92" s="127"/>
      <c r="G92" s="128" t="s">
        <v>1024</v>
      </c>
      <c r="H92" s="89" t="s">
        <v>1025</v>
      </c>
      <c r="I92" s="91" t="str">
        <f>HYPERLINK("https://filmfreeway.com/BicycleFilmFestival","https://filmfreeway.com/BicycleFilmFestival")</f>
        <v>https://filmfreeway.com/BicycleFilmFestival</v>
      </c>
      <c r="J92" s="155"/>
      <c r="K92" s="37">
        <v>43998.0</v>
      </c>
      <c r="L92" s="37">
        <v>44003.0</v>
      </c>
      <c r="M92" s="130" t="s">
        <v>196</v>
      </c>
      <c r="N92" s="130" t="s">
        <v>29</v>
      </c>
      <c r="O92" s="37">
        <v>43917.0</v>
      </c>
      <c r="P92" s="37">
        <v>43917.0</v>
      </c>
      <c r="Q92" s="131"/>
      <c r="R92" s="132"/>
      <c r="S92" s="132"/>
      <c r="T92" s="118"/>
      <c r="U92" s="119"/>
      <c r="V92" s="119"/>
      <c r="W92" s="119"/>
      <c r="X92" s="119"/>
      <c r="Y92" s="134"/>
      <c r="Z92" s="119"/>
      <c r="AA92" s="119"/>
      <c r="AB92" s="119"/>
      <c r="AC92" s="119"/>
      <c r="AD92" s="119"/>
      <c r="AE92" s="119"/>
      <c r="AF92" s="119"/>
      <c r="AG92" s="119"/>
      <c r="AH92" s="121"/>
      <c r="AI92" s="121"/>
      <c r="AJ92" s="121"/>
      <c r="AK92" s="121"/>
      <c r="AL92" s="121"/>
      <c r="AM92" s="165" t="s">
        <v>97</v>
      </c>
      <c r="AN92" s="119"/>
      <c r="AO92" s="119"/>
      <c r="AP92" s="119"/>
      <c r="AQ92" s="119"/>
      <c r="AR92" s="119"/>
      <c r="AS92" s="119"/>
    </row>
    <row r="93">
      <c r="A93" s="137">
        <v>67.0</v>
      </c>
      <c r="B93" s="150"/>
      <c r="C93" s="104" t="s">
        <v>1028</v>
      </c>
      <c r="D93" s="105" t="s">
        <v>48</v>
      </c>
      <c r="E93" s="107" t="s">
        <v>48</v>
      </c>
      <c r="F93" s="101"/>
      <c r="G93" s="40" t="s">
        <v>1029</v>
      </c>
      <c r="H93" s="55" t="s">
        <v>1030</v>
      </c>
      <c r="I93" s="69" t="s">
        <v>1032</v>
      </c>
      <c r="J93" s="112"/>
      <c r="K93" s="113">
        <v>44146.0</v>
      </c>
      <c r="L93" s="37">
        <v>44150.0</v>
      </c>
      <c r="M93" s="73" t="s">
        <v>196</v>
      </c>
      <c r="N93" s="73" t="s">
        <v>29</v>
      </c>
      <c r="O93" s="113">
        <v>43794.0</v>
      </c>
      <c r="P93" s="37">
        <v>43854.0</v>
      </c>
      <c r="Q93" s="22"/>
      <c r="R93" s="22"/>
      <c r="S93" s="117"/>
      <c r="T93" s="157"/>
      <c r="U93" s="176" t="s">
        <v>97</v>
      </c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3"/>
      <c r="AI93" s="163"/>
      <c r="AJ93" s="163"/>
      <c r="AK93" s="163"/>
      <c r="AL93" s="163"/>
      <c r="AM93" s="163"/>
      <c r="AN93" s="161"/>
      <c r="AO93" s="161"/>
      <c r="AP93" s="161"/>
      <c r="AQ93" s="161"/>
      <c r="AR93" s="161"/>
      <c r="AS93" s="119"/>
    </row>
    <row r="94">
      <c r="A94" s="101">
        <v>834.0</v>
      </c>
      <c r="B94" s="103"/>
      <c r="C94" s="104" t="s">
        <v>1033</v>
      </c>
      <c r="D94" s="105" t="s">
        <v>48</v>
      </c>
      <c r="E94" s="107" t="s">
        <v>48</v>
      </c>
      <c r="F94" s="109"/>
      <c r="G94" s="10" t="s">
        <v>529</v>
      </c>
      <c r="H94" s="17" t="s">
        <v>530</v>
      </c>
      <c r="I94" s="111" t="s">
        <v>532</v>
      </c>
      <c r="J94" s="222" t="s">
        <v>534</v>
      </c>
      <c r="K94" s="113">
        <v>43917.0</v>
      </c>
      <c r="L94" s="113">
        <v>43919.0</v>
      </c>
      <c r="M94" s="24" t="s">
        <v>536</v>
      </c>
      <c r="N94" s="24" t="s">
        <v>537</v>
      </c>
      <c r="O94" s="113">
        <v>43728.0</v>
      </c>
      <c r="P94" s="113">
        <v>43861.0</v>
      </c>
      <c r="Q94" s="373"/>
      <c r="R94" s="373"/>
      <c r="S94" s="224"/>
      <c r="T94" s="118"/>
      <c r="U94" s="176" t="s">
        <v>97</v>
      </c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21"/>
      <c r="AI94" s="121"/>
      <c r="AJ94" s="121"/>
      <c r="AK94" s="121"/>
      <c r="AL94" s="121"/>
      <c r="AM94" s="121"/>
      <c r="AN94" s="119"/>
      <c r="AO94" s="119"/>
      <c r="AP94" s="119"/>
      <c r="AQ94" s="119"/>
      <c r="AR94" s="119"/>
      <c r="AS94" s="119"/>
    </row>
    <row r="95">
      <c r="A95" s="101">
        <v>68.0</v>
      </c>
      <c r="B95" s="150"/>
      <c r="C95" s="104" t="s">
        <v>1034</v>
      </c>
      <c r="D95" s="105" t="s">
        <v>48</v>
      </c>
      <c r="E95" s="107" t="s">
        <v>48</v>
      </c>
      <c r="F95" s="101"/>
      <c r="G95" s="40" t="s">
        <v>1035</v>
      </c>
      <c r="H95" s="55" t="s">
        <v>1036</v>
      </c>
      <c r="I95" s="69" t="s">
        <v>1037</v>
      </c>
      <c r="J95" s="155"/>
      <c r="K95" s="37">
        <v>43885.0</v>
      </c>
      <c r="L95" s="37">
        <v>43891.0</v>
      </c>
      <c r="M95" s="73" t="s">
        <v>109</v>
      </c>
      <c r="N95" s="73" t="s">
        <v>231</v>
      </c>
      <c r="O95" s="113">
        <v>43643.0</v>
      </c>
      <c r="P95" s="37">
        <v>43721.0</v>
      </c>
      <c r="Q95" s="22"/>
      <c r="R95" s="22"/>
      <c r="S95" s="117"/>
      <c r="T95" s="157"/>
      <c r="U95" s="176" t="s">
        <v>97</v>
      </c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3"/>
      <c r="AI95" s="163"/>
      <c r="AJ95" s="163"/>
      <c r="AK95" s="163"/>
      <c r="AL95" s="163"/>
      <c r="AM95" s="163"/>
      <c r="AN95" s="161"/>
      <c r="AO95" s="161"/>
      <c r="AP95" s="161"/>
      <c r="AQ95" s="161"/>
      <c r="AR95" s="161"/>
      <c r="AS95" s="119"/>
    </row>
    <row r="96">
      <c r="A96" s="137">
        <v>69.0</v>
      </c>
      <c r="B96" s="292"/>
      <c r="C96" s="104" t="s">
        <v>1040</v>
      </c>
      <c r="D96" s="105" t="s">
        <v>51</v>
      </c>
      <c r="E96" s="107" t="s">
        <v>51</v>
      </c>
      <c r="F96" s="190"/>
      <c r="G96" s="192" t="s">
        <v>1042</v>
      </c>
      <c r="H96" s="32" t="s">
        <v>1043</v>
      </c>
      <c r="I96" s="158" t="s">
        <v>1046</v>
      </c>
      <c r="J96" s="155"/>
      <c r="K96" s="37">
        <v>43875.0</v>
      </c>
      <c r="L96" s="37">
        <v>43884.0</v>
      </c>
      <c r="M96" s="73" t="s">
        <v>669</v>
      </c>
      <c r="N96" s="73" t="s">
        <v>670</v>
      </c>
      <c r="O96" s="113">
        <v>43644.0</v>
      </c>
      <c r="P96" s="37">
        <v>43742.0</v>
      </c>
      <c r="Q96" s="22"/>
      <c r="R96" s="200" t="s">
        <v>222</v>
      </c>
      <c r="S96" s="203" t="s">
        <v>97</v>
      </c>
      <c r="T96" s="157"/>
      <c r="U96" s="194"/>
      <c r="V96" s="195" t="s">
        <v>97</v>
      </c>
      <c r="W96" s="194"/>
      <c r="X96" s="194"/>
      <c r="Y96" s="194"/>
      <c r="Z96" s="194"/>
      <c r="AA96" s="194"/>
      <c r="AB96" s="194"/>
      <c r="AC96" s="194"/>
      <c r="AD96" s="186"/>
      <c r="AE96" s="187"/>
      <c r="AF96" s="194"/>
      <c r="AG96" s="187"/>
      <c r="AH96" s="189"/>
      <c r="AI96" s="189"/>
      <c r="AJ96" s="189"/>
      <c r="AK96" s="189"/>
      <c r="AL96" s="189"/>
      <c r="AM96" s="189"/>
      <c r="AN96" s="187"/>
      <c r="AO96" s="187"/>
      <c r="AP96" s="194"/>
      <c r="AQ96" s="187"/>
      <c r="AR96" s="187"/>
      <c r="AS96" s="119"/>
    </row>
    <row r="97">
      <c r="A97" s="137">
        <v>796.0</v>
      </c>
      <c r="B97" s="103">
        <v>11.0</v>
      </c>
      <c r="C97" s="104" t="s">
        <v>1049</v>
      </c>
      <c r="D97" s="105" t="s">
        <v>48</v>
      </c>
      <c r="E97" s="107" t="s">
        <v>48</v>
      </c>
      <c r="F97" s="109"/>
      <c r="G97" s="10" t="s">
        <v>1050</v>
      </c>
      <c r="H97" s="17" t="s">
        <v>1051</v>
      </c>
      <c r="I97" s="111" t="s">
        <v>1053</v>
      </c>
      <c r="J97" s="155"/>
      <c r="K97" s="37">
        <v>44139.0</v>
      </c>
      <c r="L97" s="37">
        <v>44142.0</v>
      </c>
      <c r="M97" s="24" t="s">
        <v>687</v>
      </c>
      <c r="N97" s="24" t="s">
        <v>350</v>
      </c>
      <c r="O97" s="37">
        <v>44027.0</v>
      </c>
      <c r="P97" s="37">
        <v>44027.0</v>
      </c>
      <c r="Q97" s="115"/>
      <c r="R97" s="115"/>
      <c r="S97" s="117"/>
      <c r="T97" s="118"/>
      <c r="U97" s="176" t="s">
        <v>97</v>
      </c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21"/>
      <c r="AI97" s="121"/>
      <c r="AJ97" s="121"/>
      <c r="AK97" s="121"/>
      <c r="AL97" s="121"/>
      <c r="AM97" s="121"/>
      <c r="AN97" s="119"/>
      <c r="AO97" s="119"/>
      <c r="AP97" s="119"/>
      <c r="AQ97" s="119"/>
      <c r="AR97" s="119"/>
      <c r="AS97" s="119"/>
    </row>
    <row r="98">
      <c r="A98" s="137">
        <v>70.0</v>
      </c>
      <c r="B98" s="150"/>
      <c r="C98" s="104" t="s">
        <v>1057</v>
      </c>
      <c r="D98" s="138" t="s">
        <v>56</v>
      </c>
      <c r="E98" s="156" t="s">
        <v>227</v>
      </c>
      <c r="F98" s="101"/>
      <c r="G98" s="40" t="s">
        <v>1058</v>
      </c>
      <c r="H98" s="55" t="s">
        <v>1059</v>
      </c>
      <c r="I98" s="69" t="s">
        <v>1063</v>
      </c>
      <c r="J98" s="155"/>
      <c r="K98" s="37">
        <v>43882.0</v>
      </c>
      <c r="L98" s="37">
        <v>43883.0</v>
      </c>
      <c r="M98" s="73" t="s">
        <v>1064</v>
      </c>
      <c r="N98" s="73" t="s">
        <v>561</v>
      </c>
      <c r="O98" s="113">
        <v>43708.0</v>
      </c>
      <c r="P98" s="37">
        <v>43828.0</v>
      </c>
      <c r="Q98" s="22"/>
      <c r="R98" s="22"/>
      <c r="S98" s="117"/>
      <c r="T98" s="157"/>
      <c r="U98" s="161"/>
      <c r="V98" s="161"/>
      <c r="W98" s="161"/>
      <c r="X98" s="161"/>
      <c r="Y98" s="161"/>
      <c r="Z98" s="161"/>
      <c r="AA98" s="218" t="s">
        <v>97</v>
      </c>
      <c r="AB98" s="161"/>
      <c r="AC98" s="161"/>
      <c r="AD98" s="161"/>
      <c r="AE98" s="161"/>
      <c r="AF98" s="161"/>
      <c r="AG98" s="161"/>
      <c r="AH98" s="163"/>
      <c r="AI98" s="163"/>
      <c r="AJ98" s="163"/>
      <c r="AK98" s="163"/>
      <c r="AL98" s="163"/>
      <c r="AM98" s="163"/>
      <c r="AN98" s="161"/>
      <c r="AO98" s="161"/>
      <c r="AP98" s="161"/>
      <c r="AQ98" s="161"/>
      <c r="AR98" s="161"/>
      <c r="AS98" s="119"/>
    </row>
    <row r="99">
      <c r="A99" s="137">
        <v>908.0</v>
      </c>
      <c r="B99" s="284"/>
      <c r="C99" s="123" t="s">
        <v>1065</v>
      </c>
      <c r="D99" s="124" t="s">
        <v>48</v>
      </c>
      <c r="E99" s="126" t="s">
        <v>48</v>
      </c>
      <c r="F99" s="144"/>
      <c r="G99" s="87" t="s">
        <v>1066</v>
      </c>
      <c r="H99" s="89" t="s">
        <v>1067</v>
      </c>
      <c r="I99" s="91" t="str">
        <f>HYPERLINK("https://filmfreeway.com/billythekidfilmfestival","https://filmfreeway.com/billythekidfilmfestival")</f>
        <v>https://filmfreeway.com/billythekidfilmfestival</v>
      </c>
      <c r="J99" s="288"/>
      <c r="K99" s="145">
        <v>44141.0</v>
      </c>
      <c r="L99" s="145">
        <v>44142.0</v>
      </c>
      <c r="M99" s="130" t="s">
        <v>1069</v>
      </c>
      <c r="N99" s="130" t="s">
        <v>102</v>
      </c>
      <c r="O99" s="145">
        <v>43921.0</v>
      </c>
      <c r="P99" s="145">
        <v>44075.0</v>
      </c>
      <c r="Q99" s="131"/>
      <c r="R99" s="132"/>
      <c r="S99" s="148" t="s">
        <v>97</v>
      </c>
      <c r="T99" s="118"/>
      <c r="U99" s="176" t="s">
        <v>97</v>
      </c>
      <c r="V99" s="119"/>
      <c r="W99" s="119"/>
      <c r="X99" s="119"/>
      <c r="Y99" s="134"/>
      <c r="Z99" s="119"/>
      <c r="AA99" s="119"/>
      <c r="AB99" s="119"/>
      <c r="AC99" s="119"/>
      <c r="AD99" s="119"/>
      <c r="AE99" s="119"/>
      <c r="AF99" s="119"/>
      <c r="AG99" s="119"/>
      <c r="AH99" s="121"/>
      <c r="AI99" s="121"/>
      <c r="AJ99" s="121"/>
      <c r="AK99" s="121"/>
      <c r="AL99" s="121"/>
      <c r="AM99" s="135"/>
      <c r="AN99" s="119"/>
      <c r="AO99" s="119"/>
      <c r="AP99" s="119"/>
      <c r="AQ99" s="119"/>
      <c r="AR99" s="119"/>
      <c r="AS99" s="119"/>
    </row>
    <row r="100">
      <c r="A100" s="137">
        <v>889.0</v>
      </c>
      <c r="B100" s="122">
        <v>10.0</v>
      </c>
      <c r="C100" s="123" t="s">
        <v>1070</v>
      </c>
      <c r="D100" s="124" t="s">
        <v>48</v>
      </c>
      <c r="E100" s="126" t="s">
        <v>48</v>
      </c>
      <c r="F100" s="127"/>
      <c r="G100" s="128" t="s">
        <v>1071</v>
      </c>
      <c r="H100" s="89" t="s">
        <v>1072</v>
      </c>
      <c r="I100" s="91" t="str">
        <f>HYPERLINK("https://filmfreeway.com/BlackBearFilmFestival","https://filmfreeway.com/BlackBearFilmFestival")</f>
        <v>https://filmfreeway.com/BlackBearFilmFestival</v>
      </c>
      <c r="J100" s="155"/>
      <c r="K100" s="22" t="s">
        <v>27</v>
      </c>
      <c r="L100" s="22" t="s">
        <v>27</v>
      </c>
      <c r="M100" s="130" t="s">
        <v>1073</v>
      </c>
      <c r="N100" s="130" t="s">
        <v>212</v>
      </c>
      <c r="O100" s="22" t="s">
        <v>27</v>
      </c>
      <c r="P100" s="22" t="s">
        <v>27</v>
      </c>
      <c r="Q100" s="131"/>
      <c r="R100" s="132"/>
      <c r="S100" s="132"/>
      <c r="T100" s="118"/>
      <c r="U100" s="176" t="s">
        <v>97</v>
      </c>
      <c r="V100" s="119"/>
      <c r="W100" s="119"/>
      <c r="X100" s="119"/>
      <c r="Y100" s="134"/>
      <c r="Z100" s="119"/>
      <c r="AA100" s="119"/>
      <c r="AB100" s="119"/>
      <c r="AC100" s="119"/>
      <c r="AD100" s="119"/>
      <c r="AE100" s="119"/>
      <c r="AF100" s="119"/>
      <c r="AG100" s="119"/>
      <c r="AH100" s="121"/>
      <c r="AI100" s="121"/>
      <c r="AJ100" s="121"/>
      <c r="AK100" s="121"/>
      <c r="AL100" s="121"/>
      <c r="AM100" s="135"/>
      <c r="AN100" s="119"/>
      <c r="AO100" s="119"/>
      <c r="AP100" s="119"/>
      <c r="AQ100" s="119"/>
      <c r="AR100" s="119"/>
      <c r="AS100" s="119"/>
    </row>
    <row r="101">
      <c r="A101" s="137">
        <v>783.0</v>
      </c>
      <c r="B101" s="103"/>
      <c r="C101" s="104" t="s">
        <v>1074</v>
      </c>
      <c r="D101" s="105" t="s">
        <v>48</v>
      </c>
      <c r="E101" s="107" t="s">
        <v>48</v>
      </c>
      <c r="F101" s="109"/>
      <c r="G101" s="10" t="s">
        <v>1075</v>
      </c>
      <c r="H101" s="17" t="s">
        <v>1076</v>
      </c>
      <c r="I101" s="111" t="s">
        <v>1078</v>
      </c>
      <c r="J101" s="112"/>
      <c r="K101" s="113">
        <v>44064.0</v>
      </c>
      <c r="L101" s="113">
        <v>44066.0</v>
      </c>
      <c r="M101" s="24" t="s">
        <v>1080</v>
      </c>
      <c r="N101" s="24" t="s">
        <v>19</v>
      </c>
      <c r="O101" s="114">
        <v>43835.0</v>
      </c>
      <c r="P101" s="114">
        <v>43975.0</v>
      </c>
      <c r="Q101" s="115"/>
      <c r="R101" s="115"/>
      <c r="S101" s="117"/>
      <c r="T101" s="118"/>
      <c r="U101" s="176" t="s">
        <v>97</v>
      </c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21"/>
      <c r="AI101" s="121"/>
      <c r="AJ101" s="121"/>
      <c r="AK101" s="121"/>
      <c r="AL101" s="121"/>
      <c r="AM101" s="121"/>
      <c r="AN101" s="119"/>
      <c r="AO101" s="119"/>
      <c r="AP101" s="119"/>
      <c r="AQ101" s="119"/>
      <c r="AR101" s="119"/>
      <c r="AS101" s="119"/>
    </row>
    <row r="102">
      <c r="A102" s="101">
        <v>71.0</v>
      </c>
      <c r="B102" s="177">
        <v>8.0</v>
      </c>
      <c r="C102" s="104" t="s">
        <v>1081</v>
      </c>
      <c r="D102" s="138" t="s">
        <v>56</v>
      </c>
      <c r="E102" s="156" t="s">
        <v>227</v>
      </c>
      <c r="F102" s="178"/>
      <c r="G102" s="77" t="s">
        <v>1084</v>
      </c>
      <c r="H102" s="81" t="s">
        <v>1085</v>
      </c>
      <c r="I102" s="84" t="s">
        <v>1088</v>
      </c>
      <c r="J102" s="155"/>
      <c r="K102" s="22" t="s">
        <v>27</v>
      </c>
      <c r="L102" s="22" t="s">
        <v>27</v>
      </c>
      <c r="M102" s="85" t="s">
        <v>230</v>
      </c>
      <c r="N102" s="85" t="s">
        <v>231</v>
      </c>
      <c r="O102" s="22" t="s">
        <v>27</v>
      </c>
      <c r="P102" s="22" t="s">
        <v>27</v>
      </c>
      <c r="Q102" s="373"/>
      <c r="R102" s="373"/>
      <c r="S102" s="224"/>
      <c r="T102" s="181"/>
      <c r="U102" s="184"/>
      <c r="V102" s="184"/>
      <c r="W102" s="184"/>
      <c r="X102" s="184"/>
      <c r="Y102" s="184"/>
      <c r="Z102" s="184"/>
      <c r="AA102" s="398" t="s">
        <v>97</v>
      </c>
      <c r="AB102" s="184"/>
      <c r="AC102" s="184"/>
      <c r="AD102" s="186"/>
      <c r="AE102" s="187"/>
      <c r="AF102" s="184"/>
      <c r="AG102" s="187"/>
      <c r="AH102" s="189"/>
      <c r="AI102" s="189"/>
      <c r="AJ102" s="189"/>
      <c r="AK102" s="189"/>
      <c r="AL102" s="189"/>
      <c r="AM102" s="189"/>
      <c r="AN102" s="187"/>
      <c r="AO102" s="187"/>
      <c r="AP102" s="184"/>
      <c r="AQ102" s="187"/>
      <c r="AR102" s="187"/>
      <c r="AS102" s="119"/>
    </row>
    <row r="103">
      <c r="A103" s="137">
        <v>761.0</v>
      </c>
      <c r="B103" s="197"/>
      <c r="C103" s="104" t="s">
        <v>1093</v>
      </c>
      <c r="D103" s="105" t="s">
        <v>48</v>
      </c>
      <c r="E103" s="107" t="s">
        <v>48</v>
      </c>
      <c r="F103" s="109"/>
      <c r="G103" s="10" t="s">
        <v>1094</v>
      </c>
      <c r="H103" s="17" t="s">
        <v>1095</v>
      </c>
      <c r="I103" s="34" t="s">
        <v>1099</v>
      </c>
      <c r="J103" s="112"/>
      <c r="K103" s="113">
        <v>43881.0</v>
      </c>
      <c r="L103" s="113">
        <v>43886.0</v>
      </c>
      <c r="M103" s="24" t="s">
        <v>1100</v>
      </c>
      <c r="N103" s="24" t="s">
        <v>1101</v>
      </c>
      <c r="O103" s="114">
        <v>43724.0</v>
      </c>
      <c r="P103" s="114">
        <v>43788.0</v>
      </c>
      <c r="Q103" s="115"/>
      <c r="R103" s="115"/>
      <c r="S103" s="117"/>
      <c r="T103" s="118"/>
      <c r="U103" s="176" t="s">
        <v>97</v>
      </c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21"/>
      <c r="AI103" s="121"/>
      <c r="AJ103" s="121"/>
      <c r="AK103" s="121"/>
      <c r="AL103" s="121"/>
      <c r="AM103" s="121"/>
      <c r="AN103" s="119"/>
      <c r="AO103" s="119"/>
      <c r="AP103" s="119"/>
      <c r="AQ103" s="119"/>
      <c r="AR103" s="119"/>
      <c r="AS103" s="119"/>
    </row>
    <row r="104">
      <c r="A104" s="101">
        <v>944.0</v>
      </c>
      <c r="B104" s="122">
        <v>0.0</v>
      </c>
      <c r="C104" s="123" t="s">
        <v>1102</v>
      </c>
      <c r="D104" s="399" t="s">
        <v>56</v>
      </c>
      <c r="E104" s="400" t="s">
        <v>1105</v>
      </c>
      <c r="F104" s="127"/>
      <c r="G104" s="128" t="s">
        <v>1106</v>
      </c>
      <c r="H104" s="89" t="s">
        <v>1107</v>
      </c>
      <c r="I104" s="91" t="str">
        <f>HYPERLINK("https://filmfreeway.com/blacklaurelfilms","https://filmfreeway.com/blacklaurelfilms")</f>
        <v>https://filmfreeway.com/blacklaurelfilms</v>
      </c>
      <c r="J104" s="155"/>
      <c r="K104" s="22" t="s">
        <v>27</v>
      </c>
      <c r="L104" s="22" t="s">
        <v>27</v>
      </c>
      <c r="M104" s="130" t="s">
        <v>927</v>
      </c>
      <c r="N104" s="130" t="s">
        <v>72</v>
      </c>
      <c r="O104" s="22" t="s">
        <v>27</v>
      </c>
      <c r="P104" s="22" t="s">
        <v>27</v>
      </c>
      <c r="Q104" s="131"/>
      <c r="R104" s="132"/>
      <c r="S104" s="132"/>
      <c r="T104" s="118"/>
      <c r="U104" s="119"/>
      <c r="V104" s="119"/>
      <c r="W104" s="119"/>
      <c r="X104" s="401" t="s">
        <v>97</v>
      </c>
      <c r="Y104" s="134"/>
      <c r="Z104" s="119"/>
      <c r="AA104" s="218" t="s">
        <v>97</v>
      </c>
      <c r="AB104" s="119"/>
      <c r="AC104" s="119"/>
      <c r="AD104" s="119"/>
      <c r="AE104" s="119"/>
      <c r="AF104" s="119"/>
      <c r="AG104" s="119"/>
      <c r="AH104" s="121"/>
      <c r="AI104" s="121"/>
      <c r="AJ104" s="121"/>
      <c r="AK104" s="121"/>
      <c r="AL104" s="121"/>
      <c r="AM104" s="135"/>
      <c r="AN104" s="119"/>
      <c r="AO104" s="119"/>
      <c r="AP104" s="119"/>
      <c r="AQ104" s="119"/>
      <c r="AR104" s="119"/>
      <c r="AS104" s="119"/>
    </row>
    <row r="105">
      <c r="A105" s="137">
        <v>72.0</v>
      </c>
      <c r="B105" s="150"/>
      <c r="C105" s="104" t="s">
        <v>1113</v>
      </c>
      <c r="D105" s="105" t="s">
        <v>48</v>
      </c>
      <c r="E105" s="107" t="s">
        <v>48</v>
      </c>
      <c r="F105" s="101"/>
      <c r="G105" s="40" t="s">
        <v>1020</v>
      </c>
      <c r="H105" s="55" t="s">
        <v>1021</v>
      </c>
      <c r="I105" s="69" t="s">
        <v>1026</v>
      </c>
      <c r="J105" s="20" t="s">
        <v>1027</v>
      </c>
      <c r="K105" s="37">
        <v>43952.0</v>
      </c>
      <c r="L105" s="37">
        <v>43954.0</v>
      </c>
      <c r="M105" s="73" t="s">
        <v>1031</v>
      </c>
      <c r="N105" s="73" t="s">
        <v>29</v>
      </c>
      <c r="O105" s="113">
        <v>43518.0</v>
      </c>
      <c r="P105" s="37">
        <v>43783.0</v>
      </c>
      <c r="Q105" s="22"/>
      <c r="R105" s="22"/>
      <c r="S105" s="117"/>
      <c r="T105" s="157"/>
      <c r="U105" s="176" t="s">
        <v>97</v>
      </c>
      <c r="V105" s="161"/>
      <c r="W105" s="161"/>
      <c r="X105" s="161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3"/>
      <c r="AI105" s="163"/>
      <c r="AJ105" s="163"/>
      <c r="AK105" s="163"/>
      <c r="AL105" s="163"/>
      <c r="AM105" s="163"/>
      <c r="AN105" s="161"/>
      <c r="AO105" s="161"/>
      <c r="AP105" s="161"/>
      <c r="AQ105" s="161"/>
      <c r="AR105" s="161"/>
      <c r="AS105" s="119"/>
    </row>
    <row r="106">
      <c r="A106" s="137">
        <v>958.0</v>
      </c>
      <c r="B106" s="122">
        <v>8.0</v>
      </c>
      <c r="C106" s="123" t="s">
        <v>1121</v>
      </c>
      <c r="D106" s="399" t="s">
        <v>56</v>
      </c>
      <c r="E106" s="403" t="s">
        <v>56</v>
      </c>
      <c r="F106" s="144"/>
      <c r="G106" s="87" t="s">
        <v>1123</v>
      </c>
      <c r="H106" s="89" t="s">
        <v>1124</v>
      </c>
      <c r="I106" s="91" t="str">
        <f>HYPERLINK("https://filmfreeway.com/BlackStarFest","https://filmfreeway.com/BlackStarFest")</f>
        <v>https://filmfreeway.com/BlackStarFest</v>
      </c>
      <c r="J106" s="155"/>
      <c r="K106" s="37">
        <v>44042.0</v>
      </c>
      <c r="L106" s="37">
        <v>44045.0</v>
      </c>
      <c r="M106" s="130" t="s">
        <v>772</v>
      </c>
      <c r="N106" s="130" t="s">
        <v>212</v>
      </c>
      <c r="O106" s="37">
        <v>43873.0</v>
      </c>
      <c r="P106" s="37">
        <v>43934.0</v>
      </c>
      <c r="Q106" s="131"/>
      <c r="R106" s="132"/>
      <c r="S106" s="148" t="s">
        <v>97</v>
      </c>
      <c r="T106" s="118"/>
      <c r="U106" s="119"/>
      <c r="V106" s="119"/>
      <c r="W106" s="119"/>
      <c r="X106" s="119"/>
      <c r="Y106" s="134"/>
      <c r="Z106" s="119"/>
      <c r="AA106" s="218" t="s">
        <v>97</v>
      </c>
      <c r="AB106" s="119"/>
      <c r="AC106" s="119"/>
      <c r="AD106" s="119"/>
      <c r="AE106" s="119"/>
      <c r="AF106" s="119"/>
      <c r="AG106" s="119"/>
      <c r="AH106" s="121"/>
      <c r="AI106" s="121"/>
      <c r="AJ106" s="121"/>
      <c r="AK106" s="121"/>
      <c r="AL106" s="121"/>
      <c r="AM106" s="135"/>
      <c r="AN106" s="119"/>
      <c r="AO106" s="119"/>
      <c r="AP106" s="119"/>
      <c r="AQ106" s="119"/>
      <c r="AR106" s="119"/>
      <c r="AS106" s="119"/>
    </row>
    <row r="107">
      <c r="A107" s="137">
        <v>73.0</v>
      </c>
      <c r="B107" s="150">
        <v>10.0</v>
      </c>
      <c r="C107" s="104" t="s">
        <v>1130</v>
      </c>
      <c r="D107" s="105" t="s">
        <v>64</v>
      </c>
      <c r="E107" s="107" t="s">
        <v>64</v>
      </c>
      <c r="F107" s="101"/>
      <c r="G107" s="40" t="s">
        <v>1131</v>
      </c>
      <c r="H107" s="55" t="s">
        <v>1132</v>
      </c>
      <c r="I107" s="69" t="s">
        <v>1133</v>
      </c>
      <c r="J107" s="155"/>
      <c r="K107" s="37">
        <v>44128.0</v>
      </c>
      <c r="L107" s="37">
        <v>44129.0</v>
      </c>
      <c r="M107" s="73" t="s">
        <v>945</v>
      </c>
      <c r="N107" s="73" t="s">
        <v>251</v>
      </c>
      <c r="O107" s="37">
        <v>43983.0</v>
      </c>
      <c r="P107" s="37">
        <v>44101.0</v>
      </c>
      <c r="Q107" s="22"/>
      <c r="R107" s="22"/>
      <c r="S107" s="117"/>
      <c r="T107" s="157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  <c r="AH107" s="246" t="s">
        <v>97</v>
      </c>
      <c r="AI107" s="163"/>
      <c r="AJ107" s="163"/>
      <c r="AK107" s="163"/>
      <c r="AL107" s="163"/>
      <c r="AM107" s="163"/>
      <c r="AN107" s="161"/>
      <c r="AO107" s="161"/>
      <c r="AP107" s="161"/>
      <c r="AQ107" s="161"/>
      <c r="AR107" s="161"/>
      <c r="AS107" s="119"/>
    </row>
    <row r="108">
      <c r="A108" s="101">
        <v>74.0</v>
      </c>
      <c r="B108" s="150">
        <v>8.0</v>
      </c>
      <c r="C108" s="104" t="s">
        <v>1138</v>
      </c>
      <c r="D108" s="105" t="s">
        <v>52</v>
      </c>
      <c r="E108" s="107" t="s">
        <v>1139</v>
      </c>
      <c r="F108" s="101"/>
      <c r="G108" s="40" t="s">
        <v>1140</v>
      </c>
      <c r="H108" s="55" t="s">
        <v>1141</v>
      </c>
      <c r="I108" s="69" t="s">
        <v>1142</v>
      </c>
      <c r="J108" s="155"/>
      <c r="K108" s="22" t="s">
        <v>27</v>
      </c>
      <c r="L108" s="22" t="s">
        <v>27</v>
      </c>
      <c r="M108" s="73" t="s">
        <v>136</v>
      </c>
      <c r="N108" s="73" t="s">
        <v>110</v>
      </c>
      <c r="O108" s="22" t="s">
        <v>27</v>
      </c>
      <c r="P108" s="22" t="s">
        <v>27</v>
      </c>
      <c r="Q108" s="22"/>
      <c r="R108" s="22"/>
      <c r="S108" s="117"/>
      <c r="T108" s="157"/>
      <c r="U108" s="161"/>
      <c r="V108" s="161"/>
      <c r="W108" s="120" t="s">
        <v>97</v>
      </c>
      <c r="X108" s="161"/>
      <c r="Y108" s="161"/>
      <c r="Z108" s="161"/>
      <c r="AA108" s="161"/>
      <c r="AB108" s="161"/>
      <c r="AC108" s="161"/>
      <c r="AD108" s="161"/>
      <c r="AE108" s="161"/>
      <c r="AF108" s="161"/>
      <c r="AG108" s="161"/>
      <c r="AH108" s="163"/>
      <c r="AI108" s="163"/>
      <c r="AJ108" s="163"/>
      <c r="AK108" s="163"/>
      <c r="AL108" s="163"/>
      <c r="AM108" s="165" t="s">
        <v>97</v>
      </c>
      <c r="AN108" s="161"/>
      <c r="AO108" s="161"/>
      <c r="AP108" s="161"/>
      <c r="AQ108" s="161"/>
      <c r="AR108" s="161"/>
      <c r="AS108" s="119"/>
    </row>
    <row r="109">
      <c r="A109" s="137">
        <v>862.0</v>
      </c>
      <c r="B109" s="103">
        <v>9.0</v>
      </c>
      <c r="C109" s="104" t="s">
        <v>1145</v>
      </c>
      <c r="D109" s="105" t="s">
        <v>48</v>
      </c>
      <c r="E109" s="107" t="s">
        <v>48</v>
      </c>
      <c r="F109" s="109"/>
      <c r="G109" s="10" t="s">
        <v>1146</v>
      </c>
      <c r="H109" s="17" t="s">
        <v>1147</v>
      </c>
      <c r="I109" s="111" t="s">
        <v>1149</v>
      </c>
      <c r="J109" s="155"/>
      <c r="K109" s="22" t="s">
        <v>27</v>
      </c>
      <c r="L109" s="22" t="s">
        <v>27</v>
      </c>
      <c r="M109" s="24" t="s">
        <v>1151</v>
      </c>
      <c r="N109" s="24" t="s">
        <v>967</v>
      </c>
      <c r="O109" s="22" t="s">
        <v>27</v>
      </c>
      <c r="P109" s="22" t="s">
        <v>27</v>
      </c>
      <c r="Q109" s="223"/>
      <c r="R109" s="223"/>
      <c r="S109" s="224"/>
      <c r="T109" s="118"/>
      <c r="U109" s="176" t="s">
        <v>97</v>
      </c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21"/>
      <c r="AI109" s="121"/>
      <c r="AJ109" s="121"/>
      <c r="AK109" s="121"/>
      <c r="AL109" s="121"/>
      <c r="AM109" s="121"/>
      <c r="AN109" s="119"/>
      <c r="AO109" s="119"/>
      <c r="AP109" s="119"/>
      <c r="AQ109" s="119"/>
      <c r="AR109" s="119"/>
      <c r="AS109" s="119"/>
    </row>
    <row r="110">
      <c r="A110" s="137">
        <v>75.0</v>
      </c>
      <c r="B110" s="150"/>
      <c r="C110" s="104" t="s">
        <v>1152</v>
      </c>
      <c r="D110" s="105" t="s">
        <v>48</v>
      </c>
      <c r="E110" s="107" t="s">
        <v>48</v>
      </c>
      <c r="F110" s="101"/>
      <c r="G110" s="40" t="s">
        <v>1154</v>
      </c>
      <c r="H110" s="55" t="s">
        <v>1155</v>
      </c>
      <c r="I110" s="69" t="s">
        <v>1159</v>
      </c>
      <c r="J110" s="155"/>
      <c r="K110" s="37">
        <v>44143.0</v>
      </c>
      <c r="L110" s="37">
        <v>44144.0</v>
      </c>
      <c r="M110" s="73" t="s">
        <v>230</v>
      </c>
      <c r="N110" s="73" t="s">
        <v>231</v>
      </c>
      <c r="O110" s="113">
        <v>43711.0</v>
      </c>
      <c r="P110" s="37">
        <v>44005.0</v>
      </c>
      <c r="Q110" s="22"/>
      <c r="R110" s="22"/>
      <c r="S110" s="117"/>
      <c r="T110" s="157"/>
      <c r="U110" s="176" t="s">
        <v>97</v>
      </c>
      <c r="V110" s="161"/>
      <c r="W110" s="161"/>
      <c r="X110" s="161"/>
      <c r="Y110" s="161"/>
      <c r="Z110" s="161"/>
      <c r="AA110" s="161"/>
      <c r="AB110" s="161"/>
      <c r="AC110" s="161"/>
      <c r="AD110" s="161"/>
      <c r="AE110" s="161"/>
      <c r="AF110" s="161"/>
      <c r="AG110" s="161"/>
      <c r="AH110" s="163"/>
      <c r="AI110" s="163"/>
      <c r="AJ110" s="163"/>
      <c r="AK110" s="163"/>
      <c r="AL110" s="163"/>
      <c r="AM110" s="163"/>
      <c r="AN110" s="161"/>
      <c r="AO110" s="161"/>
      <c r="AP110" s="161"/>
      <c r="AQ110" s="161"/>
      <c r="AR110" s="161"/>
      <c r="AS110" s="119"/>
    </row>
    <row r="111">
      <c r="A111" s="137">
        <v>76.0</v>
      </c>
      <c r="B111" s="150"/>
      <c r="C111" s="104" t="s">
        <v>1161</v>
      </c>
      <c r="D111" s="105" t="s">
        <v>48</v>
      </c>
      <c r="E111" s="107" t="s">
        <v>48</v>
      </c>
      <c r="F111" s="101"/>
      <c r="G111" s="40" t="s">
        <v>1162</v>
      </c>
      <c r="H111" s="55" t="s">
        <v>1163</v>
      </c>
      <c r="I111" s="69" t="s">
        <v>1165</v>
      </c>
      <c r="J111" s="155"/>
      <c r="K111" s="37">
        <v>44029.0</v>
      </c>
      <c r="L111" s="37">
        <v>44035.0</v>
      </c>
      <c r="M111" s="73" t="s">
        <v>1169</v>
      </c>
      <c r="N111" s="73" t="s">
        <v>231</v>
      </c>
      <c r="O111" s="113">
        <v>43798.0</v>
      </c>
      <c r="P111" s="37">
        <v>43931.0</v>
      </c>
      <c r="Q111" s="22"/>
      <c r="R111" s="22"/>
      <c r="S111" s="193" t="s">
        <v>97</v>
      </c>
      <c r="T111" s="157"/>
      <c r="U111" s="176" t="s">
        <v>97</v>
      </c>
      <c r="V111" s="161"/>
      <c r="W111" s="161"/>
      <c r="X111" s="161"/>
      <c r="Y111" s="161"/>
      <c r="Z111" s="161"/>
      <c r="AA111" s="161"/>
      <c r="AB111" s="161"/>
      <c r="AC111" s="161"/>
      <c r="AD111" s="161"/>
      <c r="AE111" s="161"/>
      <c r="AF111" s="161"/>
      <c r="AG111" s="161"/>
      <c r="AH111" s="163"/>
      <c r="AI111" s="163"/>
      <c r="AJ111" s="163"/>
      <c r="AK111" s="163"/>
      <c r="AL111" s="163"/>
      <c r="AM111" s="163"/>
      <c r="AN111" s="161"/>
      <c r="AO111" s="161"/>
      <c r="AP111" s="161"/>
      <c r="AQ111" s="161"/>
      <c r="AR111" s="161"/>
      <c r="AS111" s="119"/>
    </row>
    <row r="112">
      <c r="A112" s="101">
        <v>77.0</v>
      </c>
      <c r="B112" s="150"/>
      <c r="C112" s="104" t="s">
        <v>1170</v>
      </c>
      <c r="D112" s="105" t="s">
        <v>64</v>
      </c>
      <c r="E112" s="107" t="s">
        <v>1172</v>
      </c>
      <c r="F112" s="101"/>
      <c r="G112" s="40" t="s">
        <v>729</v>
      </c>
      <c r="H112" s="55" t="s">
        <v>730</v>
      </c>
      <c r="I112" s="69" t="s">
        <v>733</v>
      </c>
      <c r="J112" s="20" t="s">
        <v>735</v>
      </c>
      <c r="K112" s="37">
        <v>43932.0</v>
      </c>
      <c r="L112" s="37">
        <v>43932.0</v>
      </c>
      <c r="M112" s="174" t="s">
        <v>250</v>
      </c>
      <c r="N112" s="73" t="s">
        <v>251</v>
      </c>
      <c r="O112" s="113">
        <v>43891.0</v>
      </c>
      <c r="P112" s="37">
        <v>43891.0</v>
      </c>
      <c r="Q112" s="22"/>
      <c r="R112" s="22"/>
      <c r="S112" s="117"/>
      <c r="T112" s="157"/>
      <c r="U112" s="161"/>
      <c r="V112" s="161"/>
      <c r="W112" s="161"/>
      <c r="X112" s="161"/>
      <c r="Y112" s="161"/>
      <c r="Z112" s="161"/>
      <c r="AA112" s="161"/>
      <c r="AB112" s="161"/>
      <c r="AC112" s="161"/>
      <c r="AD112" s="161"/>
      <c r="AE112" s="161"/>
      <c r="AF112" s="161"/>
      <c r="AG112" s="161"/>
      <c r="AH112" s="246" t="s">
        <v>97</v>
      </c>
      <c r="AI112" s="163"/>
      <c r="AJ112" s="163"/>
      <c r="AK112" s="332" t="s">
        <v>97</v>
      </c>
      <c r="AL112" s="163"/>
      <c r="AM112" s="163"/>
      <c r="AN112" s="161"/>
      <c r="AO112" s="161"/>
      <c r="AP112" s="161"/>
      <c r="AQ112" s="161"/>
      <c r="AR112" s="161"/>
      <c r="AS112" s="119"/>
    </row>
    <row r="113">
      <c r="A113" s="137">
        <v>78.0</v>
      </c>
      <c r="B113" s="150"/>
      <c r="C113" s="104" t="s">
        <v>1174</v>
      </c>
      <c r="D113" s="105" t="s">
        <v>48</v>
      </c>
      <c r="E113" s="107" t="s">
        <v>48</v>
      </c>
      <c r="F113" s="101"/>
      <c r="G113" s="40" t="s">
        <v>1175</v>
      </c>
      <c r="H113" s="55" t="s">
        <v>1176</v>
      </c>
      <c r="I113" s="69" t="s">
        <v>1177</v>
      </c>
      <c r="J113" s="155"/>
      <c r="K113" s="37">
        <v>43888.0</v>
      </c>
      <c r="L113" s="37">
        <v>43891.0</v>
      </c>
      <c r="M113" s="73" t="s">
        <v>1178</v>
      </c>
      <c r="N113" s="73" t="s">
        <v>46</v>
      </c>
      <c r="O113" s="113">
        <v>43644.0</v>
      </c>
      <c r="P113" s="37">
        <v>43756.0</v>
      </c>
      <c r="Q113" s="22"/>
      <c r="R113" s="22"/>
      <c r="S113" s="117"/>
      <c r="T113" s="157"/>
      <c r="U113" s="176" t="s">
        <v>97</v>
      </c>
      <c r="V113" s="161"/>
      <c r="W113" s="161"/>
      <c r="X113" s="161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3"/>
      <c r="AI113" s="163"/>
      <c r="AJ113" s="163"/>
      <c r="AK113" s="163"/>
      <c r="AL113" s="163"/>
      <c r="AM113" s="163"/>
      <c r="AN113" s="161"/>
      <c r="AO113" s="161"/>
      <c r="AP113" s="161"/>
      <c r="AQ113" s="161"/>
      <c r="AR113" s="161"/>
      <c r="AS113" s="119"/>
    </row>
    <row r="114">
      <c r="A114" s="137">
        <v>901.0</v>
      </c>
      <c r="B114" s="405"/>
      <c r="C114" s="123" t="s">
        <v>1181</v>
      </c>
      <c r="D114" s="285" t="s">
        <v>48</v>
      </c>
      <c r="E114" s="287" t="s">
        <v>48</v>
      </c>
      <c r="F114" s="312"/>
      <c r="G114" s="216" t="s">
        <v>1182</v>
      </c>
      <c r="H114" s="89" t="s">
        <v>1183</v>
      </c>
      <c r="I114" s="91" t="str">
        <f>HYPERLINK("https://filmfreeway.com/BoomFest","https://filmfreeway.com/BoomFest")</f>
        <v>https://filmfreeway.com/BoomFest</v>
      </c>
      <c r="J114" s="288"/>
      <c r="K114" s="145">
        <v>43951.0</v>
      </c>
      <c r="L114" s="145">
        <v>43953.0</v>
      </c>
      <c r="M114" s="130" t="s">
        <v>1189</v>
      </c>
      <c r="N114" s="130" t="s">
        <v>102</v>
      </c>
      <c r="O114" s="145">
        <v>43787.0</v>
      </c>
      <c r="P114" s="145">
        <v>43875.0</v>
      </c>
      <c r="Q114" s="131"/>
      <c r="R114" s="132"/>
      <c r="S114" s="132"/>
      <c r="T114" s="118"/>
      <c r="U114" s="176" t="s">
        <v>97</v>
      </c>
      <c r="V114" s="119"/>
      <c r="W114" s="119"/>
      <c r="X114" s="119"/>
      <c r="Y114" s="134"/>
      <c r="Z114" s="119"/>
      <c r="AA114" s="119"/>
      <c r="AB114" s="119"/>
      <c r="AC114" s="119"/>
      <c r="AD114" s="119"/>
      <c r="AE114" s="119"/>
      <c r="AF114" s="119"/>
      <c r="AG114" s="119"/>
      <c r="AH114" s="121"/>
      <c r="AI114" s="121"/>
      <c r="AJ114" s="121"/>
      <c r="AK114" s="121"/>
      <c r="AL114" s="121"/>
      <c r="AM114" s="135"/>
      <c r="AN114" s="119"/>
      <c r="AO114" s="119"/>
      <c r="AP114" s="119"/>
      <c r="AQ114" s="119"/>
      <c r="AR114" s="119"/>
      <c r="AS114" s="119"/>
    </row>
    <row r="115">
      <c r="A115" s="137">
        <v>79.0</v>
      </c>
      <c r="B115" s="406"/>
      <c r="C115" s="104" t="s">
        <v>1191</v>
      </c>
      <c r="D115" s="105" t="s">
        <v>48</v>
      </c>
      <c r="E115" s="107" t="s">
        <v>48</v>
      </c>
      <c r="F115" s="407"/>
      <c r="G115" s="408" t="s">
        <v>1196</v>
      </c>
      <c r="H115" s="81" t="s">
        <v>1198</v>
      </c>
      <c r="I115" s="409" t="s">
        <v>1201</v>
      </c>
      <c r="J115" s="155"/>
      <c r="K115" s="37">
        <v>43846.0</v>
      </c>
      <c r="L115" s="37">
        <v>43850.0</v>
      </c>
      <c r="M115" s="410" t="s">
        <v>1203</v>
      </c>
      <c r="N115" s="410" t="s">
        <v>72</v>
      </c>
      <c r="O115" s="113">
        <v>43647.0</v>
      </c>
      <c r="P115" s="37">
        <v>43739.0</v>
      </c>
      <c r="Q115" s="22"/>
      <c r="R115" s="22"/>
      <c r="S115" s="117"/>
      <c r="T115" s="411"/>
      <c r="U115" s="412" t="s">
        <v>97</v>
      </c>
      <c r="V115" s="413"/>
      <c r="W115" s="413"/>
      <c r="X115" s="413"/>
      <c r="Y115" s="413"/>
      <c r="Z115" s="413"/>
      <c r="AA115" s="413"/>
      <c r="AB115" s="413"/>
      <c r="AC115" s="413"/>
      <c r="AD115" s="186"/>
      <c r="AE115" s="187"/>
      <c r="AF115" s="413"/>
      <c r="AG115" s="187"/>
      <c r="AH115" s="189"/>
      <c r="AI115" s="189"/>
      <c r="AJ115" s="189"/>
      <c r="AK115" s="189"/>
      <c r="AL115" s="189"/>
      <c r="AM115" s="189"/>
      <c r="AN115" s="187"/>
      <c r="AO115" s="187"/>
      <c r="AP115" s="413"/>
      <c r="AQ115" s="187"/>
      <c r="AR115" s="187"/>
      <c r="AS115" s="119"/>
    </row>
    <row r="116">
      <c r="A116" s="101">
        <v>80.0</v>
      </c>
      <c r="B116" s="315"/>
      <c r="C116" s="104" t="s">
        <v>1207</v>
      </c>
      <c r="D116" s="138" t="s">
        <v>62</v>
      </c>
      <c r="E116" s="107" t="s">
        <v>523</v>
      </c>
      <c r="F116" s="178"/>
      <c r="G116" s="77" t="s">
        <v>597</v>
      </c>
      <c r="H116" s="81" t="s">
        <v>598</v>
      </c>
      <c r="I116" s="84" t="str">
        <f>HYPERLINK("https://www.bhffnyc.org/submit-your-film-1?mc_cid=d8ad601429&amp;mc_eid=16ff1e0972","https://www.bhffnyc.org/submit-your-film-1?mc_cid=d8ad601429&amp;mc_eid=16ff1e0972")</f>
        <v>https://www.bhffnyc.org/submit-your-film-1?mc_cid=d8ad601429&amp;mc_eid=16ff1e0972</v>
      </c>
      <c r="J116" s="20" t="s">
        <v>599</v>
      </c>
      <c r="K116" s="37">
        <v>43929.0</v>
      </c>
      <c r="L116" s="37">
        <v>43932.0</v>
      </c>
      <c r="M116" s="85" t="s">
        <v>196</v>
      </c>
      <c r="N116" s="85" t="s">
        <v>29</v>
      </c>
      <c r="O116" s="113">
        <v>43876.0</v>
      </c>
      <c r="P116" s="37">
        <v>43876.0</v>
      </c>
      <c r="Q116" s="22"/>
      <c r="R116" s="22"/>
      <c r="S116" s="117"/>
      <c r="T116" s="181"/>
      <c r="U116" s="184"/>
      <c r="V116" s="184"/>
      <c r="W116" s="184"/>
      <c r="X116" s="184"/>
      <c r="Y116" s="184"/>
      <c r="Z116" s="184"/>
      <c r="AA116" s="184"/>
      <c r="AB116" s="184"/>
      <c r="AC116" s="184"/>
      <c r="AD116" s="186"/>
      <c r="AE116" s="187"/>
      <c r="AF116" s="415" t="s">
        <v>97</v>
      </c>
      <c r="AG116" s="187"/>
      <c r="AH116" s="189"/>
      <c r="AI116" s="189"/>
      <c r="AJ116" s="189"/>
      <c r="AK116" s="189"/>
      <c r="AL116" s="189"/>
      <c r="AM116" s="189"/>
      <c r="AN116" s="187"/>
      <c r="AO116" s="187"/>
      <c r="AP116" s="184"/>
      <c r="AQ116" s="187"/>
      <c r="AR116" s="187"/>
      <c r="AS116" s="119"/>
    </row>
    <row r="117">
      <c r="A117" s="137">
        <v>81.0</v>
      </c>
      <c r="B117" s="292">
        <v>10.0</v>
      </c>
      <c r="C117" s="104" t="s">
        <v>1215</v>
      </c>
      <c r="D117" s="138" t="s">
        <v>57</v>
      </c>
      <c r="E117" s="107" t="s">
        <v>306</v>
      </c>
      <c r="F117" s="190"/>
      <c r="G117" s="192" t="s">
        <v>1217</v>
      </c>
      <c r="H117" s="81" t="s">
        <v>1219</v>
      </c>
      <c r="I117" s="158" t="s">
        <v>1222</v>
      </c>
      <c r="J117" s="155"/>
      <c r="K117" s="22" t="s">
        <v>27</v>
      </c>
      <c r="L117" s="22" t="s">
        <v>27</v>
      </c>
      <c r="M117" s="73" t="s">
        <v>447</v>
      </c>
      <c r="N117" s="73" t="s">
        <v>80</v>
      </c>
      <c r="O117" s="22" t="s">
        <v>27</v>
      </c>
      <c r="P117" s="22" t="s">
        <v>27</v>
      </c>
      <c r="Q117" s="373"/>
      <c r="R117" s="373"/>
      <c r="S117" s="203" t="s">
        <v>97</v>
      </c>
      <c r="T117" s="157"/>
      <c r="U117" s="194"/>
      <c r="V117" s="194"/>
      <c r="W117" s="194"/>
      <c r="X117" s="194"/>
      <c r="Y117" s="194"/>
      <c r="Z117" s="194"/>
      <c r="AA117" s="194"/>
      <c r="AB117" s="417" t="s">
        <v>97</v>
      </c>
      <c r="AC117" s="194"/>
      <c r="AD117" s="186"/>
      <c r="AE117" s="187"/>
      <c r="AF117" s="194"/>
      <c r="AG117" s="187"/>
      <c r="AH117" s="189"/>
      <c r="AI117" s="189"/>
      <c r="AJ117" s="189"/>
      <c r="AK117" s="189"/>
      <c r="AL117" s="189"/>
      <c r="AM117" s="189"/>
      <c r="AN117" s="187"/>
      <c r="AO117" s="187"/>
      <c r="AP117" s="194"/>
      <c r="AQ117" s="187"/>
      <c r="AR117" s="187"/>
      <c r="AS117" s="119"/>
    </row>
    <row r="118">
      <c r="A118" s="137">
        <v>82.0</v>
      </c>
      <c r="B118" s="315">
        <v>11.0</v>
      </c>
      <c r="C118" s="104" t="s">
        <v>1227</v>
      </c>
      <c r="D118" s="105" t="s">
        <v>69</v>
      </c>
      <c r="E118" s="107" t="s">
        <v>69</v>
      </c>
      <c r="F118" s="178"/>
      <c r="G118" s="77" t="s">
        <v>1228</v>
      </c>
      <c r="H118" s="32" t="s">
        <v>1230</v>
      </c>
      <c r="I118" s="316" t="s">
        <v>24</v>
      </c>
      <c r="J118" s="155"/>
      <c r="K118" s="22" t="s">
        <v>27</v>
      </c>
      <c r="L118" s="22" t="s">
        <v>27</v>
      </c>
      <c r="M118" s="73" t="s">
        <v>447</v>
      </c>
      <c r="N118" s="85" t="s">
        <v>80</v>
      </c>
      <c r="O118" s="22" t="s">
        <v>27</v>
      </c>
      <c r="P118" s="22" t="s">
        <v>27</v>
      </c>
      <c r="Q118" s="201"/>
      <c r="R118" s="201"/>
      <c r="S118" s="224"/>
      <c r="T118" s="181"/>
      <c r="U118" s="184"/>
      <c r="V118" s="184"/>
      <c r="W118" s="184"/>
      <c r="X118" s="184"/>
      <c r="Y118" s="184"/>
      <c r="Z118" s="184"/>
      <c r="AA118" s="184"/>
      <c r="AB118" s="184"/>
      <c r="AC118" s="184"/>
      <c r="AD118" s="186"/>
      <c r="AE118" s="187"/>
      <c r="AF118" s="184"/>
      <c r="AG118" s="413"/>
      <c r="AH118" s="189"/>
      <c r="AI118" s="189"/>
      <c r="AJ118" s="189"/>
      <c r="AK118" s="332" t="s">
        <v>97</v>
      </c>
      <c r="AL118" s="189"/>
      <c r="AM118" s="189"/>
      <c r="AN118" s="187"/>
      <c r="AO118" s="187"/>
      <c r="AP118" s="184"/>
      <c r="AQ118" s="187"/>
      <c r="AR118" s="187"/>
      <c r="AS118" s="119"/>
    </row>
    <row r="119">
      <c r="A119" s="101">
        <v>83.0</v>
      </c>
      <c r="B119" s="197">
        <v>9.0</v>
      </c>
      <c r="C119" s="104" t="s">
        <v>1232</v>
      </c>
      <c r="D119" s="105" t="s">
        <v>48</v>
      </c>
      <c r="E119" s="107" t="s">
        <v>48</v>
      </c>
      <c r="F119" s="178"/>
      <c r="G119" s="77" t="s">
        <v>1234</v>
      </c>
      <c r="H119" s="32" t="s">
        <v>1235</v>
      </c>
      <c r="I119" s="34" t="s">
        <v>1237</v>
      </c>
      <c r="J119" s="155"/>
      <c r="K119" s="22" t="s">
        <v>27</v>
      </c>
      <c r="L119" s="22" t="s">
        <v>27</v>
      </c>
      <c r="M119" s="73" t="s">
        <v>447</v>
      </c>
      <c r="N119" s="85" t="s">
        <v>80</v>
      </c>
      <c r="O119" s="22" t="s">
        <v>27</v>
      </c>
      <c r="P119" s="22" t="s">
        <v>27</v>
      </c>
      <c r="Q119" s="201"/>
      <c r="R119" s="201"/>
      <c r="S119" s="224"/>
      <c r="T119" s="181"/>
      <c r="U119" s="182" t="s">
        <v>97</v>
      </c>
      <c r="V119" s="184"/>
      <c r="W119" s="184"/>
      <c r="X119" s="184"/>
      <c r="Y119" s="184"/>
      <c r="Z119" s="184"/>
      <c r="AA119" s="184"/>
      <c r="AB119" s="184"/>
      <c r="AC119" s="184"/>
      <c r="AD119" s="186"/>
      <c r="AE119" s="187"/>
      <c r="AF119" s="184"/>
      <c r="AG119" s="187"/>
      <c r="AH119" s="189"/>
      <c r="AI119" s="189"/>
      <c r="AJ119" s="189"/>
      <c r="AK119" s="189"/>
      <c r="AL119" s="189"/>
      <c r="AM119" s="189"/>
      <c r="AN119" s="187"/>
      <c r="AO119" s="187"/>
      <c r="AP119" s="184"/>
      <c r="AQ119" s="187"/>
      <c r="AR119" s="187"/>
      <c r="AS119" s="119"/>
    </row>
    <row r="120">
      <c r="A120" s="137">
        <v>84.0</v>
      </c>
      <c r="B120" s="177"/>
      <c r="C120" s="104" t="s">
        <v>1241</v>
      </c>
      <c r="D120" s="105" t="s">
        <v>48</v>
      </c>
      <c r="E120" s="107" t="s">
        <v>48</v>
      </c>
      <c r="F120" s="178"/>
      <c r="G120" s="77" t="s">
        <v>441</v>
      </c>
      <c r="H120" s="81" t="s">
        <v>443</v>
      </c>
      <c r="I120" s="84" t="s">
        <v>445</v>
      </c>
      <c r="J120" s="20" t="s">
        <v>26</v>
      </c>
      <c r="K120" s="37">
        <v>43937.0</v>
      </c>
      <c r="L120" s="37">
        <v>43942.0</v>
      </c>
      <c r="M120" s="85" t="s">
        <v>447</v>
      </c>
      <c r="N120" s="85" t="s">
        <v>80</v>
      </c>
      <c r="O120" s="113">
        <v>43679.0</v>
      </c>
      <c r="P120" s="37">
        <v>43840.0</v>
      </c>
      <c r="Q120" s="22"/>
      <c r="R120" s="22"/>
      <c r="S120" s="117"/>
      <c r="T120" s="181"/>
      <c r="U120" s="182" t="s">
        <v>97</v>
      </c>
      <c r="V120" s="184"/>
      <c r="W120" s="184"/>
      <c r="X120" s="184"/>
      <c r="Y120" s="184"/>
      <c r="Z120" s="184"/>
      <c r="AA120" s="184"/>
      <c r="AB120" s="184"/>
      <c r="AC120" s="184"/>
      <c r="AD120" s="186"/>
      <c r="AE120" s="187"/>
      <c r="AF120" s="184"/>
      <c r="AG120" s="187"/>
      <c r="AH120" s="189"/>
      <c r="AI120" s="189"/>
      <c r="AJ120" s="189"/>
      <c r="AK120" s="189"/>
      <c r="AL120" s="189"/>
      <c r="AM120" s="189"/>
      <c r="AN120" s="187"/>
      <c r="AO120" s="187"/>
      <c r="AP120" s="184"/>
      <c r="AQ120" s="187"/>
      <c r="AR120" s="187"/>
      <c r="AS120" s="119"/>
    </row>
    <row r="121">
      <c r="A121" s="137">
        <v>835.0</v>
      </c>
      <c r="B121" s="103">
        <v>11.0</v>
      </c>
      <c r="C121" s="104" t="s">
        <v>1247</v>
      </c>
      <c r="D121" s="105" t="s">
        <v>88</v>
      </c>
      <c r="E121" s="107" t="s">
        <v>88</v>
      </c>
      <c r="F121" s="109"/>
      <c r="G121" s="10" t="s">
        <v>1251</v>
      </c>
      <c r="H121" s="17" t="s">
        <v>1252</v>
      </c>
      <c r="I121" s="111" t="s">
        <v>1256</v>
      </c>
      <c r="J121" s="155"/>
      <c r="K121" s="37">
        <v>44156.0</v>
      </c>
      <c r="L121" s="37">
        <v>44157.0</v>
      </c>
      <c r="M121" s="24" t="s">
        <v>1258</v>
      </c>
      <c r="N121" s="24" t="s">
        <v>80</v>
      </c>
      <c r="O121" s="37">
        <v>43973.0</v>
      </c>
      <c r="P121" s="37">
        <v>44071.0</v>
      </c>
      <c r="Q121" s="223"/>
      <c r="R121" s="223"/>
      <c r="S121" s="224"/>
      <c r="T121" s="118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21"/>
      <c r="AI121" s="121"/>
      <c r="AJ121" s="121"/>
      <c r="AK121" s="121"/>
      <c r="AL121" s="121"/>
      <c r="AM121" s="121"/>
      <c r="AN121" s="119"/>
      <c r="AO121" s="119"/>
      <c r="AP121" s="368" t="s">
        <v>97</v>
      </c>
      <c r="AQ121" s="119"/>
      <c r="AR121" s="119"/>
      <c r="AS121" s="119"/>
    </row>
    <row r="122">
      <c r="A122" s="137">
        <v>85.0</v>
      </c>
      <c r="B122" s="177">
        <v>11.0</v>
      </c>
      <c r="C122" s="104" t="s">
        <v>1259</v>
      </c>
      <c r="D122" s="296" t="s">
        <v>55</v>
      </c>
      <c r="E122" s="297" t="s">
        <v>55</v>
      </c>
      <c r="F122" s="178"/>
      <c r="G122" s="77" t="s">
        <v>1262</v>
      </c>
      <c r="H122" s="81" t="s">
        <v>1264</v>
      </c>
      <c r="I122" s="84" t="s">
        <v>1265</v>
      </c>
      <c r="J122" s="155"/>
      <c r="K122" s="22" t="s">
        <v>27</v>
      </c>
      <c r="L122" s="22" t="s">
        <v>27</v>
      </c>
      <c r="M122" s="73" t="s">
        <v>447</v>
      </c>
      <c r="N122" s="85" t="s">
        <v>80</v>
      </c>
      <c r="O122" s="22" t="s">
        <v>27</v>
      </c>
      <c r="P122" s="22" t="s">
        <v>27</v>
      </c>
      <c r="Q122" s="373"/>
      <c r="R122" s="373"/>
      <c r="S122" s="224"/>
      <c r="T122" s="181"/>
      <c r="U122" s="184"/>
      <c r="V122" s="184"/>
      <c r="W122" s="184"/>
      <c r="X122" s="184"/>
      <c r="Y122" s="184"/>
      <c r="Z122" s="420" t="s">
        <v>97</v>
      </c>
      <c r="AA122" s="184"/>
      <c r="AB122" s="184"/>
      <c r="AC122" s="184"/>
      <c r="AD122" s="186"/>
      <c r="AE122" s="187"/>
      <c r="AF122" s="184"/>
      <c r="AG122" s="187"/>
      <c r="AH122" s="189"/>
      <c r="AI122" s="189"/>
      <c r="AJ122" s="189"/>
      <c r="AK122" s="189"/>
      <c r="AL122" s="189"/>
      <c r="AM122" s="189"/>
      <c r="AN122" s="187"/>
      <c r="AO122" s="187"/>
      <c r="AP122" s="184"/>
      <c r="AQ122" s="187"/>
      <c r="AR122" s="187"/>
      <c r="AS122" s="119"/>
    </row>
    <row r="123">
      <c r="A123" s="101">
        <v>86.0</v>
      </c>
      <c r="B123" s="177">
        <v>9.0</v>
      </c>
      <c r="C123" s="104" t="s">
        <v>1274</v>
      </c>
      <c r="D123" s="138" t="s">
        <v>59</v>
      </c>
      <c r="E123" s="107" t="s">
        <v>352</v>
      </c>
      <c r="F123" s="178"/>
      <c r="G123" s="77" t="s">
        <v>1278</v>
      </c>
      <c r="H123" s="32" t="s">
        <v>1279</v>
      </c>
      <c r="I123" s="84" t="s">
        <v>1281</v>
      </c>
      <c r="J123" s="155"/>
      <c r="K123" s="37">
        <v>44097.0</v>
      </c>
      <c r="L123" s="37">
        <v>44101.0</v>
      </c>
      <c r="M123" s="73" t="s">
        <v>447</v>
      </c>
      <c r="N123" s="85" t="s">
        <v>80</v>
      </c>
      <c r="O123" s="37">
        <v>43920.0</v>
      </c>
      <c r="P123" s="37">
        <v>43971.0</v>
      </c>
      <c r="Q123" s="22"/>
      <c r="R123" s="22"/>
      <c r="S123" s="193" t="s">
        <v>97</v>
      </c>
      <c r="T123" s="181"/>
      <c r="U123" s="184"/>
      <c r="V123" s="184"/>
      <c r="W123" s="184"/>
      <c r="X123" s="184"/>
      <c r="Y123" s="184"/>
      <c r="Z123" s="184"/>
      <c r="AA123" s="184"/>
      <c r="AB123" s="184"/>
      <c r="AC123" s="421" t="s">
        <v>97</v>
      </c>
      <c r="AD123" s="186"/>
      <c r="AE123" s="187"/>
      <c r="AF123" s="184"/>
      <c r="AG123" s="187"/>
      <c r="AH123" s="189"/>
      <c r="AI123" s="189"/>
      <c r="AJ123" s="189"/>
      <c r="AK123" s="189"/>
      <c r="AL123" s="189"/>
      <c r="AM123" s="189"/>
      <c r="AN123" s="187"/>
      <c r="AO123" s="187"/>
      <c r="AP123" s="184"/>
      <c r="AQ123" s="187"/>
      <c r="AR123" s="187"/>
      <c r="AS123" s="119"/>
    </row>
    <row r="124">
      <c r="A124" s="101">
        <v>970.0</v>
      </c>
      <c r="B124" s="122">
        <v>10.0</v>
      </c>
      <c r="C124" s="123" t="s">
        <v>1284</v>
      </c>
      <c r="D124" s="138" t="s">
        <v>61</v>
      </c>
      <c r="E124" s="138" t="s">
        <v>61</v>
      </c>
      <c r="F124" s="127"/>
      <c r="G124" s="128" t="s">
        <v>1285</v>
      </c>
      <c r="H124" s="89" t="s">
        <v>1286</v>
      </c>
      <c r="I124" s="91" t="str">
        <f>HYPERLINK("https://filmfreeway.com/BostonPalestineFilmFestival","https://filmfreeway.com/BostonPalestineFilmFestival")</f>
        <v>https://filmfreeway.com/BostonPalestineFilmFestival</v>
      </c>
      <c r="J124" s="155"/>
      <c r="K124" s="37">
        <v>44120.0</v>
      </c>
      <c r="L124" s="37">
        <v>44129.0</v>
      </c>
      <c r="M124" s="130" t="s">
        <v>395</v>
      </c>
      <c r="N124" s="130" t="s">
        <v>80</v>
      </c>
      <c r="O124" s="37">
        <v>43936.0</v>
      </c>
      <c r="P124" s="37">
        <v>43936.0</v>
      </c>
      <c r="Q124" s="131"/>
      <c r="R124" s="132"/>
      <c r="S124" s="132"/>
      <c r="T124" s="118"/>
      <c r="U124" s="119"/>
      <c r="V124" s="119"/>
      <c r="W124" s="119"/>
      <c r="X124" s="119"/>
      <c r="Y124" s="134"/>
      <c r="Z124" s="119"/>
      <c r="AA124" s="119"/>
      <c r="AB124" s="119"/>
      <c r="AC124" s="119"/>
      <c r="AD124" s="119"/>
      <c r="AE124" s="277" t="s">
        <v>97</v>
      </c>
      <c r="AF124" s="119"/>
      <c r="AG124" s="119"/>
      <c r="AH124" s="121"/>
      <c r="AI124" s="121"/>
      <c r="AJ124" s="121"/>
      <c r="AK124" s="121"/>
      <c r="AL124" s="121"/>
      <c r="AM124" s="135"/>
      <c r="AN124" s="119"/>
      <c r="AO124" s="119"/>
      <c r="AP124" s="119"/>
      <c r="AQ124" s="119"/>
      <c r="AR124" s="119"/>
      <c r="AS124" s="119"/>
    </row>
    <row r="125">
      <c r="A125" s="137">
        <v>87.0</v>
      </c>
      <c r="B125" s="177"/>
      <c r="C125" s="104" t="s">
        <v>1293</v>
      </c>
      <c r="D125" s="138" t="s">
        <v>63</v>
      </c>
      <c r="E125" s="107" t="s">
        <v>1297</v>
      </c>
      <c r="F125" s="178"/>
      <c r="G125" s="77" t="s">
        <v>1298</v>
      </c>
      <c r="H125" s="32" t="s">
        <v>1299</v>
      </c>
      <c r="I125" s="84" t="s">
        <v>1302</v>
      </c>
      <c r="J125" s="155"/>
      <c r="K125" s="37">
        <v>43868.0</v>
      </c>
      <c r="L125" s="37">
        <v>43878.0</v>
      </c>
      <c r="M125" s="85" t="s">
        <v>447</v>
      </c>
      <c r="N125" s="85" t="s">
        <v>80</v>
      </c>
      <c r="O125" s="113">
        <v>43637.0</v>
      </c>
      <c r="P125" s="37">
        <v>43789.0</v>
      </c>
      <c r="Q125" s="22"/>
      <c r="R125" s="22"/>
      <c r="S125" s="117"/>
      <c r="T125" s="181"/>
      <c r="U125" s="184"/>
      <c r="V125" s="184"/>
      <c r="W125" s="184"/>
      <c r="X125" s="184"/>
      <c r="Y125" s="184"/>
      <c r="Z125" s="184"/>
      <c r="AA125" s="184"/>
      <c r="AB125" s="184"/>
      <c r="AC125" s="184"/>
      <c r="AD125" s="186"/>
      <c r="AE125" s="187"/>
      <c r="AF125" s="184"/>
      <c r="AG125" s="275" t="s">
        <v>97</v>
      </c>
      <c r="AH125" s="189"/>
      <c r="AI125" s="189"/>
      <c r="AJ125" s="189"/>
      <c r="AK125" s="189"/>
      <c r="AL125" s="189"/>
      <c r="AM125" s="189"/>
      <c r="AN125" s="187"/>
      <c r="AO125" s="187"/>
      <c r="AP125" s="184"/>
      <c r="AQ125" s="187"/>
      <c r="AR125" s="187"/>
      <c r="AS125" s="119"/>
    </row>
    <row r="126">
      <c r="A126" s="137">
        <v>88.0</v>
      </c>
      <c r="B126" s="150"/>
      <c r="C126" s="104" t="s">
        <v>1307</v>
      </c>
      <c r="D126" s="105" t="s">
        <v>52</v>
      </c>
      <c r="E126" s="107" t="s">
        <v>52</v>
      </c>
      <c r="F126" s="101"/>
      <c r="G126" s="40" t="s">
        <v>1308</v>
      </c>
      <c r="H126" s="55" t="s">
        <v>1309</v>
      </c>
      <c r="I126" s="69" t="s">
        <v>1312</v>
      </c>
      <c r="J126" s="155"/>
      <c r="K126" s="37">
        <v>43995.0</v>
      </c>
      <c r="L126" s="37">
        <v>43999.0</v>
      </c>
      <c r="M126" s="73" t="s">
        <v>447</v>
      </c>
      <c r="N126" s="73" t="s">
        <v>80</v>
      </c>
      <c r="O126" s="113">
        <v>43708.0</v>
      </c>
      <c r="P126" s="37">
        <v>43965.0</v>
      </c>
      <c r="Q126" s="22"/>
      <c r="R126" s="22"/>
      <c r="S126" s="117"/>
      <c r="T126" s="157"/>
      <c r="U126" s="161"/>
      <c r="V126" s="161"/>
      <c r="W126" s="120" t="s">
        <v>97</v>
      </c>
      <c r="X126" s="161"/>
      <c r="Y126" s="161"/>
      <c r="Z126" s="161"/>
      <c r="AA126" s="161"/>
      <c r="AB126" s="161"/>
      <c r="AC126" s="161"/>
      <c r="AD126" s="161"/>
      <c r="AE126" s="161"/>
      <c r="AF126" s="161"/>
      <c r="AG126" s="161"/>
      <c r="AH126" s="163"/>
      <c r="AI126" s="163"/>
      <c r="AJ126" s="163"/>
      <c r="AK126" s="163"/>
      <c r="AL126" s="163"/>
      <c r="AM126" s="163"/>
      <c r="AN126" s="161"/>
      <c r="AO126" s="161"/>
      <c r="AP126" s="161"/>
      <c r="AQ126" s="161"/>
      <c r="AR126" s="161"/>
      <c r="AS126" s="119"/>
    </row>
    <row r="127">
      <c r="A127" s="137">
        <v>89.0</v>
      </c>
      <c r="B127" s="315">
        <v>3.0</v>
      </c>
      <c r="C127" s="104" t="s">
        <v>1314</v>
      </c>
      <c r="D127" s="138" t="s">
        <v>62</v>
      </c>
      <c r="E127" s="107" t="s">
        <v>523</v>
      </c>
      <c r="F127" s="178"/>
      <c r="G127" s="77" t="s">
        <v>1315</v>
      </c>
      <c r="H127" s="250" t="s">
        <v>1316</v>
      </c>
      <c r="I127" s="316" t="s">
        <v>24</v>
      </c>
      <c r="J127" s="155"/>
      <c r="K127" s="22" t="s">
        <v>27</v>
      </c>
      <c r="L127" s="22" t="s">
        <v>27</v>
      </c>
      <c r="M127" s="356" t="s">
        <v>447</v>
      </c>
      <c r="N127" s="85" t="s">
        <v>80</v>
      </c>
      <c r="O127" s="22" t="s">
        <v>27</v>
      </c>
      <c r="P127" s="22" t="s">
        <v>27</v>
      </c>
      <c r="Q127" s="373"/>
      <c r="R127" s="373"/>
      <c r="S127" s="224"/>
      <c r="T127" s="181"/>
      <c r="U127" s="184"/>
      <c r="V127" s="184"/>
      <c r="W127" s="184"/>
      <c r="X127" s="184"/>
      <c r="Y127" s="184"/>
      <c r="Z127" s="184"/>
      <c r="AA127" s="184"/>
      <c r="AB127" s="184"/>
      <c r="AC127" s="184"/>
      <c r="AD127" s="186"/>
      <c r="AE127" s="187"/>
      <c r="AF127" s="415" t="s">
        <v>97</v>
      </c>
      <c r="AG127" s="187"/>
      <c r="AH127" s="189"/>
      <c r="AI127" s="189"/>
      <c r="AJ127" s="189"/>
      <c r="AK127" s="189"/>
      <c r="AL127" s="189"/>
      <c r="AM127" s="189"/>
      <c r="AN127" s="187"/>
      <c r="AO127" s="187"/>
      <c r="AP127" s="184"/>
      <c r="AQ127" s="187"/>
      <c r="AR127" s="187"/>
      <c r="AS127" s="119"/>
    </row>
    <row r="128">
      <c r="A128" s="101">
        <v>90.0</v>
      </c>
      <c r="B128" s="177"/>
      <c r="C128" s="104" t="s">
        <v>1317</v>
      </c>
      <c r="D128" s="105" t="s">
        <v>65</v>
      </c>
      <c r="E128" s="107" t="s">
        <v>65</v>
      </c>
      <c r="F128" s="178"/>
      <c r="G128" s="77" t="s">
        <v>947</v>
      </c>
      <c r="H128" s="81" t="s">
        <v>950</v>
      </c>
      <c r="I128" s="84" t="s">
        <v>952</v>
      </c>
      <c r="J128" s="20" t="s">
        <v>78</v>
      </c>
      <c r="K128" s="37">
        <v>43915.0</v>
      </c>
      <c r="L128" s="37">
        <v>43919.0</v>
      </c>
      <c r="M128" s="73" t="s">
        <v>447</v>
      </c>
      <c r="N128" s="85" t="s">
        <v>80</v>
      </c>
      <c r="O128" s="113">
        <v>43646.0</v>
      </c>
      <c r="P128" s="37">
        <v>43830.0</v>
      </c>
      <c r="Q128" s="22"/>
      <c r="R128" s="22"/>
      <c r="S128" s="193" t="s">
        <v>97</v>
      </c>
      <c r="T128" s="181"/>
      <c r="U128" s="184"/>
      <c r="V128" s="184"/>
      <c r="W128" s="184"/>
      <c r="X128" s="184"/>
      <c r="Y128" s="184"/>
      <c r="Z128" s="184"/>
      <c r="AA128" s="184"/>
      <c r="AB128" s="184"/>
      <c r="AC128" s="184"/>
      <c r="AD128" s="186"/>
      <c r="AE128" s="187"/>
      <c r="AF128" s="184"/>
      <c r="AG128" s="187"/>
      <c r="AH128" s="189"/>
      <c r="AI128" s="342" t="s">
        <v>97</v>
      </c>
      <c r="AJ128" s="189"/>
      <c r="AK128" s="189"/>
      <c r="AL128" s="189"/>
      <c r="AM128" s="189"/>
      <c r="AN128" s="187"/>
      <c r="AO128" s="187"/>
      <c r="AP128" s="184"/>
      <c r="AQ128" s="187"/>
      <c r="AR128" s="187"/>
      <c r="AS128" s="119"/>
    </row>
    <row r="129">
      <c r="A129" s="137">
        <v>91.0</v>
      </c>
      <c r="B129" s="177"/>
      <c r="C129" s="104" t="s">
        <v>1321</v>
      </c>
      <c r="D129" s="105" t="s">
        <v>48</v>
      </c>
      <c r="E129" s="107" t="s">
        <v>48</v>
      </c>
      <c r="F129" s="178"/>
      <c r="G129" s="77" t="s">
        <v>1322</v>
      </c>
      <c r="H129" s="32" t="s">
        <v>1323</v>
      </c>
      <c r="I129" s="84" t="s">
        <v>1324</v>
      </c>
      <c r="J129" s="155"/>
      <c r="K129" s="37">
        <v>43895.0</v>
      </c>
      <c r="L129" s="37">
        <v>43898.0</v>
      </c>
      <c r="M129" s="85" t="s">
        <v>185</v>
      </c>
      <c r="N129" s="85" t="s">
        <v>110</v>
      </c>
      <c r="O129" s="113">
        <v>43658.0</v>
      </c>
      <c r="P129" s="37">
        <v>43749.0</v>
      </c>
      <c r="Q129" s="22"/>
      <c r="R129" s="22"/>
      <c r="S129" s="117"/>
      <c r="T129" s="181"/>
      <c r="U129" s="182" t="s">
        <v>97</v>
      </c>
      <c r="V129" s="184"/>
      <c r="W129" s="184"/>
      <c r="X129" s="184"/>
      <c r="Y129" s="184"/>
      <c r="Z129" s="184"/>
      <c r="AA129" s="184"/>
      <c r="AB129" s="184"/>
      <c r="AC129" s="184"/>
      <c r="AD129" s="186"/>
      <c r="AE129" s="187"/>
      <c r="AF129" s="184"/>
      <c r="AG129" s="187"/>
      <c r="AH129" s="189"/>
      <c r="AI129" s="189"/>
      <c r="AJ129" s="189"/>
      <c r="AK129" s="189"/>
      <c r="AL129" s="189"/>
      <c r="AM129" s="189"/>
      <c r="AN129" s="187"/>
      <c r="AO129" s="187"/>
      <c r="AP129" s="184"/>
      <c r="AQ129" s="187"/>
      <c r="AR129" s="187"/>
      <c r="AS129" s="119"/>
    </row>
    <row r="130">
      <c r="A130" s="137">
        <v>92.0</v>
      </c>
      <c r="B130" s="150">
        <v>4.0</v>
      </c>
      <c r="C130" s="104" t="s">
        <v>1325</v>
      </c>
      <c r="D130" s="105" t="s">
        <v>70</v>
      </c>
      <c r="E130" s="107" t="s">
        <v>1326</v>
      </c>
      <c r="F130" s="101"/>
      <c r="G130" s="40" t="s">
        <v>1327</v>
      </c>
      <c r="H130" s="55" t="s">
        <v>1329</v>
      </c>
      <c r="I130" s="69" t="s">
        <v>1331</v>
      </c>
      <c r="J130" s="155"/>
      <c r="K130" s="22" t="s">
        <v>27</v>
      </c>
      <c r="L130" s="22" t="s">
        <v>27</v>
      </c>
      <c r="M130" s="73" t="s">
        <v>1185</v>
      </c>
      <c r="N130" s="73" t="s">
        <v>1186</v>
      </c>
      <c r="O130" s="22" t="s">
        <v>27</v>
      </c>
      <c r="P130" s="22" t="s">
        <v>27</v>
      </c>
      <c r="Q130" s="22"/>
      <c r="R130" s="22"/>
      <c r="S130" s="117"/>
      <c r="T130" s="157"/>
      <c r="U130" s="161"/>
      <c r="V130" s="161"/>
      <c r="W130" s="120" t="s">
        <v>97</v>
      </c>
      <c r="X130" s="161"/>
      <c r="Y130" s="161"/>
      <c r="Z130" s="161"/>
      <c r="AA130" s="161"/>
      <c r="AB130" s="161"/>
      <c r="AC130" s="161"/>
      <c r="AD130" s="161"/>
      <c r="AE130" s="161"/>
      <c r="AF130" s="161"/>
      <c r="AG130" s="161"/>
      <c r="AH130" s="163"/>
      <c r="AI130" s="163"/>
      <c r="AJ130" s="163"/>
      <c r="AK130" s="163"/>
      <c r="AL130" s="149" t="s">
        <v>97</v>
      </c>
      <c r="AM130" s="163"/>
      <c r="AN130" s="161"/>
      <c r="AO130" s="161"/>
      <c r="AP130" s="161"/>
      <c r="AQ130" s="161"/>
      <c r="AR130" s="161"/>
      <c r="AS130" s="119"/>
    </row>
    <row r="131">
      <c r="A131" s="101">
        <v>93.0</v>
      </c>
      <c r="B131" s="177">
        <v>7.0</v>
      </c>
      <c r="C131" s="104" t="s">
        <v>1333</v>
      </c>
      <c r="D131" s="105" t="s">
        <v>48</v>
      </c>
      <c r="E131" s="107" t="s">
        <v>48</v>
      </c>
      <c r="F131" s="178"/>
      <c r="G131" s="77" t="s">
        <v>1334</v>
      </c>
      <c r="H131" s="81" t="s">
        <v>1336</v>
      </c>
      <c r="I131" s="84" t="s">
        <v>1338</v>
      </c>
      <c r="J131" s="155"/>
      <c r="K131" s="37">
        <v>44029.0</v>
      </c>
      <c r="L131" s="37">
        <v>44037.0</v>
      </c>
      <c r="M131" s="85" t="s">
        <v>927</v>
      </c>
      <c r="N131" s="85" t="s">
        <v>72</v>
      </c>
      <c r="O131" s="113">
        <v>43922.0</v>
      </c>
      <c r="P131" s="37">
        <v>43973.0</v>
      </c>
      <c r="Q131" s="22"/>
      <c r="R131" s="22"/>
      <c r="S131" s="117"/>
      <c r="T131" s="181"/>
      <c r="U131" s="182" t="s">
        <v>97</v>
      </c>
      <c r="V131" s="184"/>
      <c r="W131" s="184"/>
      <c r="X131" s="184"/>
      <c r="Y131" s="184"/>
      <c r="Z131" s="184"/>
      <c r="AA131" s="184"/>
      <c r="AB131" s="184"/>
      <c r="AC131" s="184"/>
      <c r="AD131" s="186"/>
      <c r="AE131" s="187"/>
      <c r="AF131" s="184"/>
      <c r="AG131" s="187"/>
      <c r="AH131" s="189"/>
      <c r="AI131" s="189"/>
      <c r="AJ131" s="189"/>
      <c r="AK131" s="189"/>
      <c r="AL131" s="189"/>
      <c r="AM131" s="189"/>
      <c r="AN131" s="187"/>
      <c r="AO131" s="187"/>
      <c r="AP131" s="184"/>
      <c r="AQ131" s="187"/>
      <c r="AR131" s="187"/>
      <c r="AS131" s="119"/>
    </row>
    <row r="132">
      <c r="A132" s="137">
        <v>94.0</v>
      </c>
      <c r="B132" s="177">
        <v>9.0</v>
      </c>
      <c r="C132" s="104" t="s">
        <v>1339</v>
      </c>
      <c r="D132" s="105" t="s">
        <v>48</v>
      </c>
      <c r="E132" s="107" t="s">
        <v>48</v>
      </c>
      <c r="F132" s="228"/>
      <c r="G132" s="183" t="s">
        <v>1342</v>
      </c>
      <c r="H132" s="81" t="s">
        <v>1343</v>
      </c>
      <c r="I132" s="84" t="s">
        <v>1345</v>
      </c>
      <c r="J132" s="155"/>
      <c r="K132" s="37">
        <v>44091.0</v>
      </c>
      <c r="L132" s="37">
        <v>44094.0</v>
      </c>
      <c r="M132" s="85" t="s">
        <v>1347</v>
      </c>
      <c r="N132" s="85" t="s">
        <v>110</v>
      </c>
      <c r="O132" s="37">
        <v>43868.0</v>
      </c>
      <c r="P132" s="37">
        <v>43959.0</v>
      </c>
      <c r="Q132" s="22"/>
      <c r="R132" s="22"/>
      <c r="S132" s="117"/>
      <c r="T132" s="181"/>
      <c r="U132" s="182" t="s">
        <v>97</v>
      </c>
      <c r="V132" s="184"/>
      <c r="W132" s="184"/>
      <c r="X132" s="184"/>
      <c r="Y132" s="184"/>
      <c r="Z132" s="184"/>
      <c r="AA132" s="184"/>
      <c r="AB132" s="184"/>
      <c r="AC132" s="184"/>
      <c r="AD132" s="186"/>
      <c r="AE132" s="187"/>
      <c r="AF132" s="184"/>
      <c r="AG132" s="187"/>
      <c r="AH132" s="189"/>
      <c r="AI132" s="189"/>
      <c r="AJ132" s="189"/>
      <c r="AK132" s="189"/>
      <c r="AL132" s="189"/>
      <c r="AM132" s="189"/>
      <c r="AN132" s="187"/>
      <c r="AO132" s="187"/>
      <c r="AP132" s="184"/>
      <c r="AQ132" s="187"/>
      <c r="AR132" s="187"/>
      <c r="AS132" s="119"/>
    </row>
    <row r="133">
      <c r="A133" s="137">
        <v>95.0</v>
      </c>
      <c r="B133" s="150"/>
      <c r="C133" s="104" t="s">
        <v>1348</v>
      </c>
      <c r="D133" s="105" t="s">
        <v>52</v>
      </c>
      <c r="E133" s="107" t="s">
        <v>52</v>
      </c>
      <c r="F133" s="101"/>
      <c r="G133" s="40" t="s">
        <v>1349</v>
      </c>
      <c r="H133" s="55" t="s">
        <v>1350</v>
      </c>
      <c r="I133" s="69" t="s">
        <v>1353</v>
      </c>
      <c r="J133" s="155"/>
      <c r="K133" s="37">
        <v>43890.0</v>
      </c>
      <c r="L133" s="37">
        <v>43891.0</v>
      </c>
      <c r="M133" s="73" t="s">
        <v>1355</v>
      </c>
      <c r="N133" s="73" t="s">
        <v>412</v>
      </c>
      <c r="O133" s="113">
        <v>43692.0</v>
      </c>
      <c r="P133" s="37">
        <v>43856.0</v>
      </c>
      <c r="Q133" s="22"/>
      <c r="R133" s="22"/>
      <c r="S133" s="117"/>
      <c r="T133" s="157"/>
      <c r="U133" s="161"/>
      <c r="V133" s="161"/>
      <c r="W133" s="120" t="s">
        <v>97</v>
      </c>
      <c r="X133" s="161"/>
      <c r="Y133" s="161"/>
      <c r="Z133" s="161"/>
      <c r="AA133" s="161"/>
      <c r="AB133" s="161"/>
      <c r="AC133" s="161"/>
      <c r="AD133" s="161"/>
      <c r="AE133" s="161"/>
      <c r="AF133" s="161"/>
      <c r="AG133" s="161"/>
      <c r="AH133" s="163"/>
      <c r="AI133" s="163"/>
      <c r="AJ133" s="163"/>
      <c r="AK133" s="163"/>
      <c r="AL133" s="163"/>
      <c r="AM133" s="163"/>
      <c r="AN133" s="161"/>
      <c r="AO133" s="161"/>
      <c r="AP133" s="161"/>
      <c r="AQ133" s="161"/>
      <c r="AR133" s="161"/>
      <c r="AS133" s="119"/>
    </row>
    <row r="134">
      <c r="A134" s="101">
        <v>96.0</v>
      </c>
      <c r="B134" s="150">
        <v>9.0</v>
      </c>
      <c r="C134" s="104" t="s">
        <v>1357</v>
      </c>
      <c r="D134" s="105" t="s">
        <v>53</v>
      </c>
      <c r="E134" s="107" t="s">
        <v>1358</v>
      </c>
      <c r="F134" s="101"/>
      <c r="G134" s="40" t="s">
        <v>1359</v>
      </c>
      <c r="H134" s="55" t="s">
        <v>1360</v>
      </c>
      <c r="I134" s="69" t="s">
        <v>1361</v>
      </c>
      <c r="J134" s="155"/>
      <c r="K134" s="37">
        <v>44077.0</v>
      </c>
      <c r="L134" s="37">
        <v>44080.0</v>
      </c>
      <c r="M134" s="73" t="s">
        <v>221</v>
      </c>
      <c r="N134" s="73" t="s">
        <v>72</v>
      </c>
      <c r="O134" s="37">
        <v>43862.0</v>
      </c>
      <c r="P134" s="37">
        <v>43996.0</v>
      </c>
      <c r="Q134" s="22"/>
      <c r="R134" s="22"/>
      <c r="S134" s="117"/>
      <c r="T134" s="157"/>
      <c r="U134" s="161"/>
      <c r="V134" s="161"/>
      <c r="W134" s="161"/>
      <c r="X134" s="401" t="s">
        <v>97</v>
      </c>
      <c r="Y134" s="161"/>
      <c r="Z134" s="161"/>
      <c r="AA134" s="161"/>
      <c r="AB134" s="161"/>
      <c r="AC134" s="161"/>
      <c r="AD134" s="161"/>
      <c r="AE134" s="161"/>
      <c r="AF134" s="161"/>
      <c r="AG134" s="161"/>
      <c r="AH134" s="163"/>
      <c r="AI134" s="163"/>
      <c r="AJ134" s="163"/>
      <c r="AK134" s="332" t="s">
        <v>97</v>
      </c>
      <c r="AL134" s="163"/>
      <c r="AM134" s="163"/>
      <c r="AN134" s="161"/>
      <c r="AO134" s="161"/>
      <c r="AP134" s="161"/>
      <c r="AQ134" s="161"/>
      <c r="AR134" s="161"/>
      <c r="AS134" s="119"/>
    </row>
    <row r="135">
      <c r="A135" s="137">
        <v>97.0</v>
      </c>
      <c r="B135" s="150"/>
      <c r="C135" s="104" t="s">
        <v>1363</v>
      </c>
      <c r="D135" s="138" t="s">
        <v>56</v>
      </c>
      <c r="E135" s="156" t="s">
        <v>227</v>
      </c>
      <c r="F135" s="101"/>
      <c r="G135" s="40" t="s">
        <v>1364</v>
      </c>
      <c r="H135" s="55" t="s">
        <v>1365</v>
      </c>
      <c r="I135" s="69" t="s">
        <v>1367</v>
      </c>
      <c r="J135" s="155"/>
      <c r="K135" s="37">
        <v>44069.0</v>
      </c>
      <c r="L135" s="37">
        <v>44073.0</v>
      </c>
      <c r="M135" s="85" t="s">
        <v>322</v>
      </c>
      <c r="N135" s="73" t="s">
        <v>19</v>
      </c>
      <c r="O135" s="113">
        <v>43830.0</v>
      </c>
      <c r="P135" s="37">
        <v>43951.0</v>
      </c>
      <c r="Q135" s="200" t="s">
        <v>222</v>
      </c>
      <c r="R135" s="22"/>
      <c r="S135" s="117"/>
      <c r="T135" s="157"/>
      <c r="U135" s="161"/>
      <c r="V135" s="161"/>
      <c r="W135" s="161"/>
      <c r="X135" s="161"/>
      <c r="Y135" s="161"/>
      <c r="Z135" s="161"/>
      <c r="AA135" s="218" t="s">
        <v>97</v>
      </c>
      <c r="AB135" s="161"/>
      <c r="AC135" s="161"/>
      <c r="AD135" s="161"/>
      <c r="AE135" s="161"/>
      <c r="AF135" s="161"/>
      <c r="AG135" s="161"/>
      <c r="AH135" s="163"/>
      <c r="AI135" s="163"/>
      <c r="AJ135" s="163"/>
      <c r="AK135" s="163"/>
      <c r="AL135" s="163"/>
      <c r="AM135" s="163"/>
      <c r="AN135" s="161"/>
      <c r="AO135" s="161"/>
      <c r="AP135" s="161"/>
      <c r="AQ135" s="161"/>
      <c r="AR135" s="161"/>
      <c r="AS135" s="119"/>
    </row>
    <row r="136">
      <c r="A136" s="137">
        <v>98.0</v>
      </c>
      <c r="B136" s="177"/>
      <c r="C136" s="104" t="s">
        <v>1369</v>
      </c>
      <c r="D136" s="105" t="s">
        <v>48</v>
      </c>
      <c r="E136" s="107" t="s">
        <v>48</v>
      </c>
      <c r="F136" s="228"/>
      <c r="G136" s="183" t="s">
        <v>1372</v>
      </c>
      <c r="H136" s="81" t="s">
        <v>1373</v>
      </c>
      <c r="I136" s="84" t="s">
        <v>1376</v>
      </c>
      <c r="J136" s="155"/>
      <c r="K136" s="37">
        <v>43980.0</v>
      </c>
      <c r="L136" s="37">
        <v>43989.0</v>
      </c>
      <c r="M136" s="85" t="s">
        <v>28</v>
      </c>
      <c r="N136" s="85" t="s">
        <v>29</v>
      </c>
      <c r="O136" s="113">
        <v>43799.0</v>
      </c>
      <c r="P136" s="37">
        <v>43900.0</v>
      </c>
      <c r="Q136" s="22"/>
      <c r="R136" s="22"/>
      <c r="S136" s="117"/>
      <c r="T136" s="181"/>
      <c r="U136" s="182" t="s">
        <v>97</v>
      </c>
      <c r="V136" s="184"/>
      <c r="W136" s="184"/>
      <c r="X136" s="184"/>
      <c r="Y136" s="184"/>
      <c r="Z136" s="184"/>
      <c r="AA136" s="184"/>
      <c r="AB136" s="184"/>
      <c r="AC136" s="184"/>
      <c r="AD136" s="186"/>
      <c r="AE136" s="187"/>
      <c r="AF136" s="184"/>
      <c r="AG136" s="187"/>
      <c r="AH136" s="189"/>
      <c r="AI136" s="189"/>
      <c r="AJ136" s="189"/>
      <c r="AK136" s="189"/>
      <c r="AL136" s="189"/>
      <c r="AM136" s="189"/>
      <c r="AN136" s="187"/>
      <c r="AO136" s="187"/>
      <c r="AP136" s="184"/>
      <c r="AQ136" s="187"/>
      <c r="AR136" s="187"/>
      <c r="AS136" s="119"/>
    </row>
    <row r="137">
      <c r="A137" s="101">
        <v>99.0</v>
      </c>
      <c r="B137" s="150">
        <v>10.0</v>
      </c>
      <c r="C137" s="104" t="s">
        <v>1378</v>
      </c>
      <c r="D137" s="105" t="s">
        <v>64</v>
      </c>
      <c r="E137" s="107" t="s">
        <v>64</v>
      </c>
      <c r="F137" s="101"/>
      <c r="G137" s="40" t="s">
        <v>1379</v>
      </c>
      <c r="H137" s="55" t="s">
        <v>1380</v>
      </c>
      <c r="I137" s="470" t="s">
        <v>1382</v>
      </c>
      <c r="J137" s="155"/>
      <c r="K137" s="37">
        <v>44119.0</v>
      </c>
      <c r="L137" s="37">
        <v>44126.0</v>
      </c>
      <c r="M137" s="290" t="s">
        <v>28</v>
      </c>
      <c r="N137" s="290" t="s">
        <v>29</v>
      </c>
      <c r="O137" s="37">
        <v>43844.0</v>
      </c>
      <c r="P137" s="37">
        <v>44057.0</v>
      </c>
      <c r="Q137" s="345"/>
      <c r="R137" s="345"/>
      <c r="S137" s="117"/>
      <c r="T137" s="141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246" t="s">
        <v>97</v>
      </c>
      <c r="AI137" s="121"/>
      <c r="AJ137" s="121"/>
      <c r="AK137" s="121"/>
      <c r="AL137" s="121"/>
      <c r="AM137" s="121"/>
      <c r="AN137" s="119"/>
      <c r="AO137" s="119"/>
      <c r="AP137" s="119"/>
      <c r="AQ137" s="119"/>
      <c r="AR137" s="119"/>
      <c r="AS137" s="119"/>
    </row>
    <row r="138">
      <c r="A138" s="137">
        <v>776.0</v>
      </c>
      <c r="B138" s="150">
        <v>7.0</v>
      </c>
      <c r="C138" s="104" t="s">
        <v>1384</v>
      </c>
      <c r="D138" s="105" t="s">
        <v>52</v>
      </c>
      <c r="E138" s="107" t="s">
        <v>52</v>
      </c>
      <c r="F138" s="109"/>
      <c r="G138" s="10" t="s">
        <v>1385</v>
      </c>
      <c r="H138" s="17" t="s">
        <v>1386</v>
      </c>
      <c r="I138" s="34" t="s">
        <v>1390</v>
      </c>
      <c r="J138" s="155"/>
      <c r="K138" s="22" t="s">
        <v>27</v>
      </c>
      <c r="L138" s="22" t="s">
        <v>27</v>
      </c>
      <c r="M138" s="24" t="s">
        <v>28</v>
      </c>
      <c r="N138" s="24" t="s">
        <v>29</v>
      </c>
      <c r="O138" s="22" t="s">
        <v>27</v>
      </c>
      <c r="P138" s="22" t="s">
        <v>27</v>
      </c>
      <c r="Q138" s="115"/>
      <c r="R138" s="115"/>
      <c r="S138" s="117"/>
      <c r="T138" s="118"/>
      <c r="U138" s="119"/>
      <c r="V138" s="119"/>
      <c r="W138" s="120" t="s">
        <v>97</v>
      </c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21"/>
      <c r="AI138" s="121"/>
      <c r="AJ138" s="121"/>
      <c r="AK138" s="121"/>
      <c r="AL138" s="121"/>
      <c r="AM138" s="121"/>
      <c r="AN138" s="119"/>
      <c r="AO138" s="119"/>
      <c r="AP138" s="119"/>
      <c r="AQ138" s="119"/>
      <c r="AR138" s="119"/>
      <c r="AS138" s="119"/>
    </row>
    <row r="139">
      <c r="A139" s="137">
        <v>789.0</v>
      </c>
      <c r="B139" s="150">
        <v>8.0</v>
      </c>
      <c r="C139" s="104" t="s">
        <v>1391</v>
      </c>
      <c r="D139" s="105" t="s">
        <v>53</v>
      </c>
      <c r="E139" s="107" t="s">
        <v>53</v>
      </c>
      <c r="F139" s="109"/>
      <c r="G139" s="10" t="s">
        <v>1392</v>
      </c>
      <c r="H139" s="17" t="s">
        <v>1393</v>
      </c>
      <c r="I139" s="111" t="s">
        <v>1396</v>
      </c>
      <c r="J139" s="155"/>
      <c r="K139" s="22" t="s">
        <v>27</v>
      </c>
      <c r="L139" s="22" t="s">
        <v>27</v>
      </c>
      <c r="M139" s="24" t="s">
        <v>28</v>
      </c>
      <c r="N139" s="24" t="s">
        <v>29</v>
      </c>
      <c r="O139" s="22" t="s">
        <v>27</v>
      </c>
      <c r="P139" s="22" t="s">
        <v>27</v>
      </c>
      <c r="Q139" s="115"/>
      <c r="R139" s="115"/>
      <c r="S139" s="117"/>
      <c r="T139" s="118"/>
      <c r="U139" s="119"/>
      <c r="V139" s="119"/>
      <c r="W139" s="119"/>
      <c r="X139" s="401" t="s">
        <v>97</v>
      </c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21"/>
      <c r="AI139" s="121"/>
      <c r="AJ139" s="121"/>
      <c r="AK139" s="121"/>
      <c r="AL139" s="121"/>
      <c r="AM139" s="121"/>
      <c r="AN139" s="119"/>
      <c r="AO139" s="119"/>
      <c r="AP139" s="119"/>
      <c r="AQ139" s="119"/>
      <c r="AR139" s="119"/>
      <c r="AS139" s="119"/>
    </row>
    <row r="140">
      <c r="A140" s="137">
        <v>100.0</v>
      </c>
      <c r="B140" s="150">
        <v>8.0</v>
      </c>
      <c r="C140" s="104" t="s">
        <v>1397</v>
      </c>
      <c r="D140" s="105" t="s">
        <v>48</v>
      </c>
      <c r="E140" s="107" t="s">
        <v>48</v>
      </c>
      <c r="F140" s="101"/>
      <c r="G140" s="40" t="s">
        <v>1398</v>
      </c>
      <c r="H140" s="55" t="s">
        <v>1399</v>
      </c>
      <c r="I140" s="69" t="s">
        <v>1401</v>
      </c>
      <c r="J140" s="155"/>
      <c r="K140" s="37">
        <v>44071.0</v>
      </c>
      <c r="L140" s="37">
        <v>44077.0</v>
      </c>
      <c r="M140" s="73" t="s">
        <v>1403</v>
      </c>
      <c r="N140" s="73" t="s">
        <v>29</v>
      </c>
      <c r="O140" s="37">
        <v>43876.0</v>
      </c>
      <c r="P140" s="37">
        <v>44025.0</v>
      </c>
      <c r="Q140" s="22"/>
      <c r="R140" s="22"/>
      <c r="S140" s="117"/>
      <c r="T140" s="157"/>
      <c r="U140" s="176" t="s">
        <v>97</v>
      </c>
      <c r="V140" s="161"/>
      <c r="W140" s="161"/>
      <c r="X140" s="161"/>
      <c r="Y140" s="161"/>
      <c r="Z140" s="161"/>
      <c r="AA140" s="161"/>
      <c r="AB140" s="161"/>
      <c r="AC140" s="161"/>
      <c r="AD140" s="161"/>
      <c r="AE140" s="161"/>
      <c r="AF140" s="161"/>
      <c r="AG140" s="161"/>
      <c r="AH140" s="163"/>
      <c r="AI140" s="163"/>
      <c r="AJ140" s="163"/>
      <c r="AK140" s="163"/>
      <c r="AL140" s="163"/>
      <c r="AM140" s="163"/>
      <c r="AN140" s="161"/>
      <c r="AO140" s="161"/>
      <c r="AP140" s="161"/>
      <c r="AQ140" s="161"/>
      <c r="AR140" s="161"/>
      <c r="AS140" s="119"/>
    </row>
    <row r="141">
      <c r="A141" s="137">
        <v>101.0</v>
      </c>
      <c r="B141" s="150">
        <v>10.0</v>
      </c>
      <c r="C141" s="104" t="s">
        <v>1404</v>
      </c>
      <c r="D141" s="105" t="s">
        <v>48</v>
      </c>
      <c r="E141" s="107" t="s">
        <v>48</v>
      </c>
      <c r="F141" s="228"/>
      <c r="G141" s="183" t="s">
        <v>1406</v>
      </c>
      <c r="H141" s="81" t="s">
        <v>1407</v>
      </c>
      <c r="I141" s="84" t="s">
        <v>1409</v>
      </c>
      <c r="J141" s="155"/>
      <c r="K141" s="37">
        <v>44112.0</v>
      </c>
      <c r="L141" s="37">
        <v>44116.0</v>
      </c>
      <c r="M141" s="85" t="s">
        <v>1410</v>
      </c>
      <c r="N141" s="85" t="s">
        <v>29</v>
      </c>
      <c r="O141" s="37">
        <v>43927.0</v>
      </c>
      <c r="P141" s="37">
        <v>44004.0</v>
      </c>
      <c r="Q141" s="22"/>
      <c r="R141" s="22"/>
      <c r="S141" s="193" t="s">
        <v>97</v>
      </c>
      <c r="T141" s="181"/>
      <c r="U141" s="182" t="s">
        <v>97</v>
      </c>
      <c r="V141" s="184"/>
      <c r="W141" s="184"/>
      <c r="X141" s="184"/>
      <c r="Y141" s="184"/>
      <c r="Z141" s="184"/>
      <c r="AA141" s="184"/>
      <c r="AB141" s="184"/>
      <c r="AC141" s="184"/>
      <c r="AD141" s="186"/>
      <c r="AE141" s="187"/>
      <c r="AF141" s="184"/>
      <c r="AG141" s="187"/>
      <c r="AH141" s="189"/>
      <c r="AI141" s="189"/>
      <c r="AJ141" s="189"/>
      <c r="AK141" s="189"/>
      <c r="AL141" s="189"/>
      <c r="AM141" s="189"/>
      <c r="AN141" s="187"/>
      <c r="AO141" s="187"/>
      <c r="AP141" s="184"/>
      <c r="AQ141" s="187"/>
      <c r="AR141" s="187"/>
      <c r="AS141" s="119"/>
    </row>
    <row r="142">
      <c r="A142" s="101">
        <v>102.0</v>
      </c>
      <c r="B142" s="150">
        <v>9.0</v>
      </c>
      <c r="C142" s="104" t="s">
        <v>1412</v>
      </c>
      <c r="D142" s="105" t="s">
        <v>48</v>
      </c>
      <c r="E142" s="107" t="s">
        <v>48</v>
      </c>
      <c r="F142" s="228"/>
      <c r="G142" s="183" t="s">
        <v>1414</v>
      </c>
      <c r="H142" s="81" t="s">
        <v>1415</v>
      </c>
      <c r="I142" s="84" t="s">
        <v>1416</v>
      </c>
      <c r="J142" s="155"/>
      <c r="K142" s="22" t="s">
        <v>27</v>
      </c>
      <c r="L142" s="22" t="s">
        <v>27</v>
      </c>
      <c r="M142" s="85" t="s">
        <v>1419</v>
      </c>
      <c r="N142" s="85" t="s">
        <v>29</v>
      </c>
      <c r="O142" s="22" t="s">
        <v>27</v>
      </c>
      <c r="P142" s="22" t="s">
        <v>27</v>
      </c>
      <c r="Q142" s="373"/>
      <c r="R142" s="373"/>
      <c r="S142" s="224"/>
      <c r="T142" s="181"/>
      <c r="U142" s="182" t="s">
        <v>97</v>
      </c>
      <c r="V142" s="184"/>
      <c r="W142" s="184"/>
      <c r="X142" s="184"/>
      <c r="Y142" s="184"/>
      <c r="Z142" s="184"/>
      <c r="AA142" s="184"/>
      <c r="AB142" s="184"/>
      <c r="AC142" s="184"/>
      <c r="AD142" s="186"/>
      <c r="AE142" s="187"/>
      <c r="AF142" s="184"/>
      <c r="AG142" s="187"/>
      <c r="AH142" s="189"/>
      <c r="AI142" s="189"/>
      <c r="AJ142" s="189"/>
      <c r="AK142" s="189"/>
      <c r="AL142" s="189"/>
      <c r="AM142" s="189"/>
      <c r="AN142" s="187"/>
      <c r="AO142" s="187"/>
      <c r="AP142" s="184"/>
      <c r="AQ142" s="187"/>
      <c r="AR142" s="187"/>
      <c r="AS142" s="119"/>
    </row>
    <row r="143">
      <c r="A143" s="137">
        <v>103.0</v>
      </c>
      <c r="B143" s="150"/>
      <c r="C143" s="104" t="s">
        <v>1421</v>
      </c>
      <c r="D143" s="105" t="s">
        <v>48</v>
      </c>
      <c r="E143" s="107" t="s">
        <v>48</v>
      </c>
      <c r="F143" s="101"/>
      <c r="G143" s="40" t="s">
        <v>1422</v>
      </c>
      <c r="H143" s="55" t="s">
        <v>1423</v>
      </c>
      <c r="I143" s="69" t="s">
        <v>1424</v>
      </c>
      <c r="J143" s="155"/>
      <c r="K143" s="37">
        <v>44083.0</v>
      </c>
      <c r="L143" s="37">
        <v>44087.0</v>
      </c>
      <c r="M143" s="73" t="s">
        <v>1425</v>
      </c>
      <c r="N143" s="73" t="s">
        <v>72</v>
      </c>
      <c r="O143" s="113">
        <v>43830.0</v>
      </c>
      <c r="P143" s="37">
        <v>43982.0</v>
      </c>
      <c r="Q143" s="22"/>
      <c r="R143" s="22"/>
      <c r="S143" s="117"/>
      <c r="T143" s="157"/>
      <c r="U143" s="176" t="s">
        <v>97</v>
      </c>
      <c r="V143" s="161"/>
      <c r="W143" s="161"/>
      <c r="X143" s="161"/>
      <c r="Y143" s="161"/>
      <c r="Z143" s="161"/>
      <c r="AA143" s="161"/>
      <c r="AB143" s="161"/>
      <c r="AC143" s="161"/>
      <c r="AD143" s="161"/>
      <c r="AE143" s="161"/>
      <c r="AF143" s="161"/>
      <c r="AG143" s="161"/>
      <c r="AH143" s="163"/>
      <c r="AI143" s="163"/>
      <c r="AJ143" s="163"/>
      <c r="AK143" s="163"/>
      <c r="AL143" s="163"/>
      <c r="AM143" s="163"/>
      <c r="AN143" s="161"/>
      <c r="AO143" s="161"/>
      <c r="AP143" s="161"/>
      <c r="AQ143" s="161"/>
      <c r="AR143" s="161"/>
      <c r="AS143" s="119"/>
    </row>
    <row r="144">
      <c r="A144" s="137">
        <v>104.0</v>
      </c>
      <c r="B144" s="177">
        <v>11.0</v>
      </c>
      <c r="C144" s="104" t="s">
        <v>1427</v>
      </c>
      <c r="D144" s="105" t="s">
        <v>64</v>
      </c>
      <c r="E144" s="107" t="s">
        <v>64</v>
      </c>
      <c r="F144" s="228"/>
      <c r="G144" s="183" t="s">
        <v>1428</v>
      </c>
      <c r="H144" s="81" t="s">
        <v>1429</v>
      </c>
      <c r="I144" s="84" t="s">
        <v>1430</v>
      </c>
      <c r="J144" s="155"/>
      <c r="K144" s="37">
        <v>44147.0</v>
      </c>
      <c r="L144" s="37">
        <v>44149.0</v>
      </c>
      <c r="M144" s="85" t="s">
        <v>322</v>
      </c>
      <c r="N144" s="85" t="s">
        <v>19</v>
      </c>
      <c r="O144" s="37">
        <v>43876.0</v>
      </c>
      <c r="P144" s="37">
        <v>44094.0</v>
      </c>
      <c r="Q144" s="22"/>
      <c r="R144" s="22"/>
      <c r="S144" s="117"/>
      <c r="T144" s="181"/>
      <c r="U144" s="184"/>
      <c r="V144" s="184"/>
      <c r="W144" s="184"/>
      <c r="X144" s="184"/>
      <c r="Y144" s="184"/>
      <c r="Z144" s="184"/>
      <c r="AA144" s="184"/>
      <c r="AB144" s="184"/>
      <c r="AC144" s="184"/>
      <c r="AD144" s="186"/>
      <c r="AE144" s="187"/>
      <c r="AF144" s="184"/>
      <c r="AG144" s="187"/>
      <c r="AH144" s="246" t="s">
        <v>97</v>
      </c>
      <c r="AI144" s="189"/>
      <c r="AJ144" s="189"/>
      <c r="AK144" s="189"/>
      <c r="AL144" s="189"/>
      <c r="AM144" s="189"/>
      <c r="AN144" s="187"/>
      <c r="AO144" s="187"/>
      <c r="AP144" s="184"/>
      <c r="AQ144" s="187"/>
      <c r="AR144" s="187"/>
      <c r="AS144" s="119"/>
    </row>
    <row r="145">
      <c r="A145" s="101">
        <v>105.0</v>
      </c>
      <c r="B145" s="150">
        <v>10.0</v>
      </c>
      <c r="C145" s="104" t="s">
        <v>1431</v>
      </c>
      <c r="D145" s="105" t="s">
        <v>48</v>
      </c>
      <c r="E145" s="107" t="s">
        <v>48</v>
      </c>
      <c r="F145" s="101"/>
      <c r="G145" s="40" t="s">
        <v>1432</v>
      </c>
      <c r="H145" s="55" t="s">
        <v>1433</v>
      </c>
      <c r="I145" s="69" t="s">
        <v>1434</v>
      </c>
      <c r="J145" s="155"/>
      <c r="K145" s="37">
        <v>44119.0</v>
      </c>
      <c r="L145" s="37">
        <v>44122.0</v>
      </c>
      <c r="M145" s="73" t="s">
        <v>28</v>
      </c>
      <c r="N145" s="73" t="s">
        <v>29</v>
      </c>
      <c r="O145" s="37">
        <v>43877.0</v>
      </c>
      <c r="P145" s="37">
        <v>44024.0</v>
      </c>
      <c r="Q145" s="22"/>
      <c r="R145" s="22"/>
      <c r="S145" s="117"/>
      <c r="T145" s="157"/>
      <c r="U145" s="176" t="s">
        <v>97</v>
      </c>
      <c r="V145" s="161"/>
      <c r="W145" s="161"/>
      <c r="X145" s="161"/>
      <c r="Y145" s="161"/>
      <c r="Z145" s="161"/>
      <c r="AA145" s="161"/>
      <c r="AB145" s="161"/>
      <c r="AC145" s="161"/>
      <c r="AD145" s="161"/>
      <c r="AE145" s="161"/>
      <c r="AF145" s="161"/>
      <c r="AG145" s="161"/>
      <c r="AH145" s="163"/>
      <c r="AI145" s="163"/>
      <c r="AJ145" s="163"/>
      <c r="AK145" s="163"/>
      <c r="AL145" s="163"/>
      <c r="AM145" s="163"/>
      <c r="AN145" s="161"/>
      <c r="AO145" s="161"/>
      <c r="AP145" s="161"/>
      <c r="AQ145" s="161"/>
      <c r="AR145" s="161"/>
      <c r="AS145" s="119"/>
    </row>
    <row r="146">
      <c r="A146" s="137">
        <v>106.0</v>
      </c>
      <c r="B146" s="150"/>
      <c r="C146" s="104" t="s">
        <v>1435</v>
      </c>
      <c r="D146" s="138" t="s">
        <v>71</v>
      </c>
      <c r="E146" s="107" t="s">
        <v>71</v>
      </c>
      <c r="F146" s="101"/>
      <c r="G146" s="40" t="s">
        <v>1436</v>
      </c>
      <c r="H146" s="55" t="s">
        <v>1437</v>
      </c>
      <c r="I146" s="69" t="s">
        <v>1438</v>
      </c>
      <c r="J146" s="155"/>
      <c r="K146" s="37">
        <v>43864.0</v>
      </c>
      <c r="L146" s="37">
        <v>43869.0</v>
      </c>
      <c r="M146" s="174" t="s">
        <v>1441</v>
      </c>
      <c r="N146" s="73" t="s">
        <v>967</v>
      </c>
      <c r="O146" s="113">
        <v>43687.0</v>
      </c>
      <c r="P146" s="37">
        <v>43799.0</v>
      </c>
      <c r="Q146" s="22"/>
      <c r="R146" s="22"/>
      <c r="S146" s="117"/>
      <c r="T146" s="157"/>
      <c r="U146" s="161"/>
      <c r="V146" s="161"/>
      <c r="W146" s="161"/>
      <c r="X146" s="161"/>
      <c r="Y146" s="161"/>
      <c r="Z146" s="161"/>
      <c r="AA146" s="161"/>
      <c r="AB146" s="161"/>
      <c r="AC146" s="161"/>
      <c r="AD146" s="161"/>
      <c r="AE146" s="161"/>
      <c r="AF146" s="161"/>
      <c r="AG146" s="161"/>
      <c r="AH146" s="163"/>
      <c r="AI146" s="163"/>
      <c r="AJ146" s="163"/>
      <c r="AK146" s="163"/>
      <c r="AL146" s="163"/>
      <c r="AM146" s="165" t="s">
        <v>97</v>
      </c>
      <c r="AN146" s="161"/>
      <c r="AO146" s="161"/>
      <c r="AP146" s="161"/>
      <c r="AQ146" s="161"/>
      <c r="AR146" s="161"/>
      <c r="AS146" s="119"/>
    </row>
    <row r="147">
      <c r="A147" s="101">
        <v>985.0</v>
      </c>
      <c r="B147" s="284"/>
      <c r="C147" s="123" t="s">
        <v>1442</v>
      </c>
      <c r="D147" s="507" t="s">
        <v>71</v>
      </c>
      <c r="E147" s="287" t="s">
        <v>71</v>
      </c>
      <c r="F147" s="312"/>
      <c r="G147" s="216" t="s">
        <v>826</v>
      </c>
      <c r="H147" s="89" t="s">
        <v>828</v>
      </c>
      <c r="I147" s="91" t="str">
        <f>HYPERLINK("https://filmfreeway.com/ByDesignFestival","https://filmfreeway.com/ByDesignFestival")</f>
        <v>https://filmfreeway.com/ByDesignFestival</v>
      </c>
      <c r="J147" s="93" t="s">
        <v>829</v>
      </c>
      <c r="K147" s="145">
        <v>43910.0</v>
      </c>
      <c r="L147" s="145">
        <v>43912.0</v>
      </c>
      <c r="M147" s="130" t="s">
        <v>250</v>
      </c>
      <c r="N147" s="130" t="s">
        <v>251</v>
      </c>
      <c r="O147" s="145">
        <v>43800.0</v>
      </c>
      <c r="P147" s="145">
        <v>43835.0</v>
      </c>
      <c r="Q147" s="131"/>
      <c r="R147" s="132"/>
      <c r="S147" s="132"/>
      <c r="T147" s="118"/>
      <c r="U147" s="119"/>
      <c r="V147" s="119"/>
      <c r="W147" s="119"/>
      <c r="X147" s="119"/>
      <c r="Y147" s="134"/>
      <c r="Z147" s="119"/>
      <c r="AA147" s="119"/>
      <c r="AB147" s="119"/>
      <c r="AC147" s="119"/>
      <c r="AD147" s="119"/>
      <c r="AE147" s="119"/>
      <c r="AF147" s="119"/>
      <c r="AG147" s="119"/>
      <c r="AH147" s="121"/>
      <c r="AI147" s="121"/>
      <c r="AJ147" s="121"/>
      <c r="AK147" s="121"/>
      <c r="AL147" s="149" t="s">
        <v>97</v>
      </c>
      <c r="AM147" s="135"/>
      <c r="AN147" s="119"/>
      <c r="AO147" s="119"/>
      <c r="AP147" s="119"/>
      <c r="AQ147" s="119"/>
      <c r="AR147" s="119"/>
      <c r="AS147" s="119"/>
    </row>
    <row r="148">
      <c r="A148" s="137">
        <v>107.0</v>
      </c>
      <c r="B148" s="292"/>
      <c r="C148" s="104" t="s">
        <v>1444</v>
      </c>
      <c r="D148" s="105" t="s">
        <v>48</v>
      </c>
      <c r="E148" s="107" t="s">
        <v>48</v>
      </c>
      <c r="F148" s="190"/>
      <c r="G148" s="192" t="s">
        <v>1446</v>
      </c>
      <c r="H148" s="81" t="s">
        <v>1447</v>
      </c>
      <c r="I148" s="158" t="s">
        <v>1448</v>
      </c>
      <c r="J148" s="155"/>
      <c r="K148" s="37">
        <v>43993.0</v>
      </c>
      <c r="L148" s="37">
        <v>43996.0</v>
      </c>
      <c r="M148" s="73" t="s">
        <v>1451</v>
      </c>
      <c r="N148" s="73" t="s">
        <v>110</v>
      </c>
      <c r="O148" s="113">
        <v>43750.0</v>
      </c>
      <c r="P148" s="37">
        <v>43840.0</v>
      </c>
      <c r="Q148" s="22"/>
      <c r="R148" s="22"/>
      <c r="S148" s="117"/>
      <c r="T148" s="157"/>
      <c r="U148" s="293" t="s">
        <v>97</v>
      </c>
      <c r="V148" s="194"/>
      <c r="W148" s="194"/>
      <c r="X148" s="194"/>
      <c r="Y148" s="194"/>
      <c r="Z148" s="194"/>
      <c r="AA148" s="194"/>
      <c r="AB148" s="194"/>
      <c r="AC148" s="194"/>
      <c r="AD148" s="186"/>
      <c r="AE148" s="187"/>
      <c r="AF148" s="194"/>
      <c r="AG148" s="187"/>
      <c r="AH148" s="189"/>
      <c r="AI148" s="189"/>
      <c r="AJ148" s="189"/>
      <c r="AK148" s="189"/>
      <c r="AL148" s="189"/>
      <c r="AM148" s="189"/>
      <c r="AN148" s="187"/>
      <c r="AO148" s="187"/>
      <c r="AP148" s="194"/>
      <c r="AQ148" s="187"/>
      <c r="AR148" s="187"/>
      <c r="AS148" s="119"/>
    </row>
    <row r="149">
      <c r="A149" s="101">
        <v>108.0</v>
      </c>
      <c r="B149" s="292"/>
      <c r="C149" s="104" t="s">
        <v>1452</v>
      </c>
      <c r="D149" s="138" t="s">
        <v>57</v>
      </c>
      <c r="E149" s="107" t="s">
        <v>306</v>
      </c>
      <c r="F149" s="518"/>
      <c r="G149" s="153" t="s">
        <v>1457</v>
      </c>
      <c r="H149" s="81" t="s">
        <v>1458</v>
      </c>
      <c r="I149" s="158" t="s">
        <v>1459</v>
      </c>
      <c r="J149" s="155"/>
      <c r="K149" s="37">
        <v>43965.0</v>
      </c>
      <c r="L149" s="37">
        <v>43975.0</v>
      </c>
      <c r="M149" s="73" t="s">
        <v>1463</v>
      </c>
      <c r="N149" s="73" t="s">
        <v>72</v>
      </c>
      <c r="O149" s="113">
        <v>43763.0</v>
      </c>
      <c r="P149" s="37">
        <v>43805.0</v>
      </c>
      <c r="Q149" s="22"/>
      <c r="R149" s="22"/>
      <c r="S149" s="117"/>
      <c r="T149" s="157"/>
      <c r="U149" s="194"/>
      <c r="V149" s="194"/>
      <c r="W149" s="194"/>
      <c r="X149" s="194"/>
      <c r="Y149" s="194"/>
      <c r="Z149" s="194"/>
      <c r="AA149" s="194"/>
      <c r="AB149" s="417" t="s">
        <v>97</v>
      </c>
      <c r="AC149" s="194"/>
      <c r="AD149" s="186"/>
      <c r="AE149" s="187"/>
      <c r="AF149" s="194"/>
      <c r="AG149" s="187"/>
      <c r="AH149" s="189"/>
      <c r="AI149" s="189"/>
      <c r="AJ149" s="189"/>
      <c r="AK149" s="189"/>
      <c r="AL149" s="189"/>
      <c r="AM149" s="189"/>
      <c r="AN149" s="187"/>
      <c r="AO149" s="187"/>
      <c r="AP149" s="194"/>
      <c r="AQ149" s="187"/>
      <c r="AR149" s="187"/>
      <c r="AS149" s="119"/>
    </row>
    <row r="150">
      <c r="A150" s="137">
        <v>109.0</v>
      </c>
      <c r="B150" s="150">
        <v>9.0</v>
      </c>
      <c r="C150" s="104" t="s">
        <v>1464</v>
      </c>
      <c r="D150" s="105" t="s">
        <v>48</v>
      </c>
      <c r="E150" s="107" t="s">
        <v>48</v>
      </c>
      <c r="F150" s="101"/>
      <c r="G150" s="40" t="s">
        <v>1465</v>
      </c>
      <c r="H150" s="55" t="s">
        <v>1466</v>
      </c>
      <c r="I150" s="69" t="s">
        <v>1468</v>
      </c>
      <c r="J150" s="155"/>
      <c r="K150" s="37">
        <v>44097.0</v>
      </c>
      <c r="L150" s="37">
        <v>44101.0</v>
      </c>
      <c r="M150" s="73" t="s">
        <v>1470</v>
      </c>
      <c r="N150" s="73" t="s">
        <v>72</v>
      </c>
      <c r="O150" s="37">
        <v>43875.0</v>
      </c>
      <c r="P150" s="37">
        <v>44026.0</v>
      </c>
      <c r="Q150" s="22"/>
      <c r="R150" s="22"/>
      <c r="S150" s="117"/>
      <c r="T150" s="157"/>
      <c r="U150" s="176" t="s">
        <v>97</v>
      </c>
      <c r="V150" s="161"/>
      <c r="W150" s="161"/>
      <c r="X150" s="161"/>
      <c r="Y150" s="161"/>
      <c r="Z150" s="161"/>
      <c r="AA150" s="161"/>
      <c r="AB150" s="161"/>
      <c r="AC150" s="161"/>
      <c r="AD150" s="161"/>
      <c r="AE150" s="161"/>
      <c r="AF150" s="161"/>
      <c r="AG150" s="161"/>
      <c r="AH150" s="163"/>
      <c r="AI150" s="163"/>
      <c r="AJ150" s="163"/>
      <c r="AK150" s="163"/>
      <c r="AL150" s="163"/>
      <c r="AM150" s="163"/>
      <c r="AN150" s="161"/>
      <c r="AO150" s="161"/>
      <c r="AP150" s="161"/>
      <c r="AQ150" s="161"/>
      <c r="AR150" s="161"/>
      <c r="AS150" s="119"/>
    </row>
    <row r="151">
      <c r="A151" s="137">
        <v>110.0</v>
      </c>
      <c r="B151" s="177">
        <v>8.0</v>
      </c>
      <c r="C151" s="104" t="s">
        <v>1471</v>
      </c>
      <c r="D151" s="105" t="s">
        <v>48</v>
      </c>
      <c r="E151" s="107" t="s">
        <v>48</v>
      </c>
      <c r="F151" s="228"/>
      <c r="G151" s="183" t="s">
        <v>1472</v>
      </c>
      <c r="H151" s="81" t="s">
        <v>1473</v>
      </c>
      <c r="I151" s="84" t="s">
        <v>1474</v>
      </c>
      <c r="J151" s="155"/>
      <c r="K151" s="37">
        <v>44064.0</v>
      </c>
      <c r="L151" s="37">
        <v>44072.0</v>
      </c>
      <c r="M151" s="85" t="s">
        <v>1475</v>
      </c>
      <c r="N151" s="85" t="s">
        <v>72</v>
      </c>
      <c r="O151" s="37">
        <v>43876.0</v>
      </c>
      <c r="P151" s="37">
        <v>43982.0</v>
      </c>
      <c r="Q151" s="22"/>
      <c r="R151" s="22"/>
      <c r="S151" s="117"/>
      <c r="T151" s="181"/>
      <c r="U151" s="182" t="s">
        <v>97</v>
      </c>
      <c r="V151" s="184"/>
      <c r="W151" s="184"/>
      <c r="X151" s="184"/>
      <c r="Y151" s="184"/>
      <c r="Z151" s="184"/>
      <c r="AA151" s="184"/>
      <c r="AB151" s="184"/>
      <c r="AC151" s="184"/>
      <c r="AD151" s="186"/>
      <c r="AE151" s="187"/>
      <c r="AF151" s="184"/>
      <c r="AG151" s="187"/>
      <c r="AH151" s="189"/>
      <c r="AI151" s="189"/>
      <c r="AJ151" s="189"/>
      <c r="AK151" s="189"/>
      <c r="AL151" s="189"/>
      <c r="AM151" s="189"/>
      <c r="AN151" s="187"/>
      <c r="AO151" s="187"/>
      <c r="AP151" s="184"/>
      <c r="AQ151" s="187"/>
      <c r="AR151" s="187"/>
      <c r="AS151" s="119"/>
    </row>
    <row r="152">
      <c r="A152" s="137">
        <v>1000.0</v>
      </c>
      <c r="B152" s="284"/>
      <c r="C152" s="123" t="s">
        <v>1476</v>
      </c>
      <c r="D152" s="507" t="s">
        <v>71</v>
      </c>
      <c r="E152" s="227" t="s">
        <v>71</v>
      </c>
      <c r="F152" s="144"/>
      <c r="G152" s="87" t="s">
        <v>1477</v>
      </c>
      <c r="H152" s="89" t="s">
        <v>1478</v>
      </c>
      <c r="I152" s="91" t="str">
        <f>HYPERLINK("https://filmfreeway.com/CambriaFilmFestival","https://filmfreeway.com/CambriaFilmFestival")</f>
        <v>https://filmfreeway.com/CambriaFilmFestival</v>
      </c>
      <c r="J152" s="288"/>
      <c r="K152" s="145">
        <v>43867.0</v>
      </c>
      <c r="L152" s="145">
        <v>43870.0</v>
      </c>
      <c r="M152" s="130" t="s">
        <v>1481</v>
      </c>
      <c r="N152" s="130" t="s">
        <v>72</v>
      </c>
      <c r="O152" s="145">
        <v>43738.0</v>
      </c>
      <c r="P152" s="145">
        <v>43738.0</v>
      </c>
      <c r="Q152" s="131"/>
      <c r="R152" s="132"/>
      <c r="S152" s="148" t="s">
        <v>97</v>
      </c>
      <c r="T152" s="118"/>
      <c r="U152" s="119"/>
      <c r="V152" s="119"/>
      <c r="W152" s="119"/>
      <c r="X152" s="119"/>
      <c r="Y152" s="134"/>
      <c r="Z152" s="119"/>
      <c r="AA152" s="119"/>
      <c r="AB152" s="119"/>
      <c r="AC152" s="119"/>
      <c r="AD152" s="119"/>
      <c r="AE152" s="119"/>
      <c r="AF152" s="119"/>
      <c r="AG152" s="119"/>
      <c r="AH152" s="121"/>
      <c r="AI152" s="121"/>
      <c r="AJ152" s="121"/>
      <c r="AK152" s="121"/>
      <c r="AL152" s="121"/>
      <c r="AM152" s="165" t="s">
        <v>97</v>
      </c>
      <c r="AN152" s="119"/>
      <c r="AO152" s="119"/>
      <c r="AP152" s="119"/>
      <c r="AQ152" s="119"/>
      <c r="AR152" s="119"/>
      <c r="AS152" s="119"/>
    </row>
    <row r="153">
      <c r="A153" s="137">
        <v>111.0</v>
      </c>
      <c r="B153" s="177"/>
      <c r="C153" s="104" t="s">
        <v>1483</v>
      </c>
      <c r="D153" s="105" t="s">
        <v>51</v>
      </c>
      <c r="E153" s="107" t="s">
        <v>51</v>
      </c>
      <c r="F153" s="228"/>
      <c r="G153" s="183" t="s">
        <v>1485</v>
      </c>
      <c r="H153" s="250" t="s">
        <v>1486</v>
      </c>
      <c r="I153" s="84" t="s">
        <v>1490</v>
      </c>
      <c r="J153" s="155"/>
      <c r="K153" s="37">
        <v>44105.0</v>
      </c>
      <c r="L153" s="113">
        <v>44108.0</v>
      </c>
      <c r="M153" s="85" t="s">
        <v>1493</v>
      </c>
      <c r="N153" s="85" t="s">
        <v>851</v>
      </c>
      <c r="O153" s="113">
        <v>43899.0</v>
      </c>
      <c r="P153" s="113">
        <v>44011.0</v>
      </c>
      <c r="Q153" s="535"/>
      <c r="R153" s="200" t="s">
        <v>222</v>
      </c>
      <c r="S153" s="224"/>
      <c r="T153" s="181"/>
      <c r="U153" s="184"/>
      <c r="V153" s="536" t="s">
        <v>97</v>
      </c>
      <c r="W153" s="184"/>
      <c r="X153" s="184"/>
      <c r="Y153" s="184"/>
      <c r="Z153" s="184"/>
      <c r="AA153" s="184"/>
      <c r="AB153" s="184"/>
      <c r="AC153" s="184"/>
      <c r="AD153" s="186"/>
      <c r="AE153" s="187"/>
      <c r="AF153" s="184"/>
      <c r="AG153" s="187"/>
      <c r="AH153" s="189"/>
      <c r="AI153" s="189"/>
      <c r="AJ153" s="189"/>
      <c r="AK153" s="189"/>
      <c r="AL153" s="189"/>
      <c r="AM153" s="189"/>
      <c r="AN153" s="187"/>
      <c r="AO153" s="187"/>
      <c r="AP153" s="184"/>
      <c r="AQ153" s="187"/>
      <c r="AR153" s="187"/>
      <c r="AS153" s="119"/>
    </row>
    <row r="154">
      <c r="A154" s="101">
        <v>112.0</v>
      </c>
      <c r="B154" s="150">
        <v>4.0</v>
      </c>
      <c r="C154" s="104" t="s">
        <v>1494</v>
      </c>
      <c r="D154" s="105" t="s">
        <v>52</v>
      </c>
      <c r="E154" s="107" t="s">
        <v>52</v>
      </c>
      <c r="F154" s="101"/>
      <c r="G154" s="40" t="s">
        <v>1497</v>
      </c>
      <c r="H154" s="55" t="s">
        <v>1498</v>
      </c>
      <c r="I154" s="69" t="s">
        <v>1503</v>
      </c>
      <c r="J154" s="155"/>
      <c r="K154" s="22" t="s">
        <v>27</v>
      </c>
      <c r="L154" s="22" t="s">
        <v>27</v>
      </c>
      <c r="M154" s="73" t="s">
        <v>1513</v>
      </c>
      <c r="N154" s="73" t="s">
        <v>622</v>
      </c>
      <c r="O154" s="22" t="s">
        <v>27</v>
      </c>
      <c r="P154" s="22" t="s">
        <v>27</v>
      </c>
      <c r="Q154" s="22"/>
      <c r="R154" s="22"/>
      <c r="S154" s="117"/>
      <c r="T154" s="157"/>
      <c r="U154" s="161"/>
      <c r="V154" s="161"/>
      <c r="W154" s="120" t="s">
        <v>97</v>
      </c>
      <c r="X154" s="161"/>
      <c r="Y154" s="161"/>
      <c r="Z154" s="161"/>
      <c r="AA154" s="161"/>
      <c r="AB154" s="161"/>
      <c r="AC154" s="161"/>
      <c r="AD154" s="161"/>
      <c r="AE154" s="161"/>
      <c r="AF154" s="161"/>
      <c r="AG154" s="161"/>
      <c r="AH154" s="163"/>
      <c r="AI154" s="163"/>
      <c r="AJ154" s="163"/>
      <c r="AK154" s="163"/>
      <c r="AL154" s="163"/>
      <c r="AM154" s="163"/>
      <c r="AN154" s="161"/>
      <c r="AO154" s="161"/>
      <c r="AP154" s="161"/>
      <c r="AQ154" s="161"/>
      <c r="AR154" s="161"/>
      <c r="AS154" s="119"/>
    </row>
    <row r="155">
      <c r="A155" s="137">
        <v>823.0</v>
      </c>
      <c r="B155" s="197">
        <v>0.0</v>
      </c>
      <c r="C155" s="104" t="s">
        <v>1517</v>
      </c>
      <c r="D155" s="105" t="s">
        <v>48</v>
      </c>
      <c r="E155" s="107" t="s">
        <v>48</v>
      </c>
      <c r="F155" s="109"/>
      <c r="G155" s="10" t="s">
        <v>1519</v>
      </c>
      <c r="H155" s="17" t="s">
        <v>1520</v>
      </c>
      <c r="I155" s="34" t="s">
        <v>1523</v>
      </c>
      <c r="J155" s="155"/>
      <c r="K155" s="22" t="s">
        <v>27</v>
      </c>
      <c r="L155" s="22" t="s">
        <v>27</v>
      </c>
      <c r="M155" s="24" t="s">
        <v>1528</v>
      </c>
      <c r="N155" s="24" t="s">
        <v>80</v>
      </c>
      <c r="O155" s="22" t="s">
        <v>27</v>
      </c>
      <c r="P155" s="22" t="s">
        <v>27</v>
      </c>
      <c r="Q155" s="223"/>
      <c r="R155" s="223"/>
      <c r="S155" s="224"/>
      <c r="T155" s="118"/>
      <c r="U155" s="176" t="s">
        <v>97</v>
      </c>
      <c r="V155" s="119"/>
      <c r="W155" s="119"/>
      <c r="X155" s="119"/>
      <c r="Y155" s="119"/>
      <c r="Z155" s="119"/>
      <c r="AA155" s="119"/>
      <c r="AB155" s="119"/>
      <c r="AC155" s="119"/>
      <c r="AD155" s="119"/>
      <c r="AE155" s="119"/>
      <c r="AF155" s="119"/>
      <c r="AG155" s="119"/>
      <c r="AH155" s="121"/>
      <c r="AI155" s="121"/>
      <c r="AJ155" s="121"/>
      <c r="AK155" s="121"/>
      <c r="AL155" s="121"/>
      <c r="AM155" s="121"/>
      <c r="AN155" s="119"/>
      <c r="AO155" s="119"/>
      <c r="AP155" s="119"/>
      <c r="AQ155" s="119"/>
      <c r="AR155" s="119"/>
      <c r="AS155" s="119"/>
    </row>
    <row r="156">
      <c r="A156" s="137">
        <v>113.0</v>
      </c>
      <c r="B156" s="150"/>
      <c r="C156" s="104" t="s">
        <v>1529</v>
      </c>
      <c r="D156" s="105" t="s">
        <v>48</v>
      </c>
      <c r="E156" s="107" t="s">
        <v>48</v>
      </c>
      <c r="F156" s="101"/>
      <c r="G156" s="40" t="s">
        <v>1531</v>
      </c>
      <c r="H156" s="55" t="s">
        <v>1532</v>
      </c>
      <c r="I156" s="69" t="s">
        <v>1534</v>
      </c>
      <c r="J156" s="155"/>
      <c r="K156" s="37">
        <v>44000.0</v>
      </c>
      <c r="L156" s="37">
        <v>44002.0</v>
      </c>
      <c r="M156" s="73" t="s">
        <v>1537</v>
      </c>
      <c r="N156" s="73" t="s">
        <v>159</v>
      </c>
      <c r="O156" s="113">
        <v>43864.0</v>
      </c>
      <c r="P156" s="37">
        <v>43969.0</v>
      </c>
      <c r="Q156" s="22"/>
      <c r="R156" s="22"/>
      <c r="S156" s="117"/>
      <c r="T156" s="157"/>
      <c r="U156" s="176" t="s">
        <v>97</v>
      </c>
      <c r="V156" s="161"/>
      <c r="W156" s="161"/>
      <c r="X156" s="161"/>
      <c r="Y156" s="161"/>
      <c r="Z156" s="161"/>
      <c r="AA156" s="161"/>
      <c r="AB156" s="161"/>
      <c r="AC156" s="161"/>
      <c r="AD156" s="161"/>
      <c r="AE156" s="161"/>
      <c r="AF156" s="161"/>
      <c r="AG156" s="161"/>
      <c r="AH156" s="163"/>
      <c r="AI156" s="163"/>
      <c r="AJ156" s="163"/>
      <c r="AK156" s="163"/>
      <c r="AL156" s="163"/>
      <c r="AM156" s="163"/>
      <c r="AN156" s="161"/>
      <c r="AO156" s="161"/>
      <c r="AP156" s="161"/>
      <c r="AQ156" s="161"/>
      <c r="AR156" s="161"/>
      <c r="AS156" s="119"/>
    </row>
    <row r="157">
      <c r="A157" s="137">
        <v>798.0</v>
      </c>
      <c r="B157" s="103">
        <v>8.0</v>
      </c>
      <c r="C157" s="104" t="s">
        <v>1543</v>
      </c>
      <c r="D157" s="138" t="s">
        <v>56</v>
      </c>
      <c r="E157" s="156" t="s">
        <v>227</v>
      </c>
      <c r="F157" s="109"/>
      <c r="G157" s="10" t="s">
        <v>1544</v>
      </c>
      <c r="H157" s="17" t="s">
        <v>1545</v>
      </c>
      <c r="I157" s="111" t="s">
        <v>1549</v>
      </c>
      <c r="J157" s="155"/>
      <c r="K157" s="22" t="s">
        <v>27</v>
      </c>
      <c r="L157" s="22" t="s">
        <v>27</v>
      </c>
      <c r="M157" s="24" t="s">
        <v>165</v>
      </c>
      <c r="N157" s="24" t="s">
        <v>102</v>
      </c>
      <c r="O157" s="22" t="s">
        <v>27</v>
      </c>
      <c r="P157" s="22" t="s">
        <v>27</v>
      </c>
      <c r="Q157" s="115"/>
      <c r="R157" s="115"/>
      <c r="S157" s="117"/>
      <c r="T157" s="118"/>
      <c r="U157" s="119"/>
      <c r="V157" s="119"/>
      <c r="W157" s="119"/>
      <c r="X157" s="119"/>
      <c r="Y157" s="119"/>
      <c r="Z157" s="119"/>
      <c r="AA157" s="218" t="s">
        <v>97</v>
      </c>
      <c r="AB157" s="119"/>
      <c r="AC157" s="119"/>
      <c r="AD157" s="119"/>
      <c r="AE157" s="119"/>
      <c r="AF157" s="119"/>
      <c r="AG157" s="119"/>
      <c r="AH157" s="121"/>
      <c r="AI157" s="121"/>
      <c r="AJ157" s="121"/>
      <c r="AK157" s="121"/>
      <c r="AL157" s="121"/>
      <c r="AM157" s="121"/>
      <c r="AN157" s="119"/>
      <c r="AO157" s="119"/>
      <c r="AP157" s="119"/>
      <c r="AQ157" s="119"/>
      <c r="AR157" s="119"/>
      <c r="AS157" s="119"/>
    </row>
    <row r="158">
      <c r="A158" s="137">
        <v>114.0</v>
      </c>
      <c r="B158" s="150"/>
      <c r="C158" s="104" t="s">
        <v>1554</v>
      </c>
      <c r="D158" s="105" t="s">
        <v>48</v>
      </c>
      <c r="E158" s="107" t="s">
        <v>48</v>
      </c>
      <c r="F158" s="101"/>
      <c r="G158" s="40" t="s">
        <v>722</v>
      </c>
      <c r="H158" s="55" t="s">
        <v>723</v>
      </c>
      <c r="I158" s="69" t="s">
        <v>726</v>
      </c>
      <c r="J158" s="20" t="s">
        <v>78</v>
      </c>
      <c r="K158" s="37">
        <v>43930.0</v>
      </c>
      <c r="L158" s="37">
        <v>43939.0</v>
      </c>
      <c r="M158" s="73" t="s">
        <v>728</v>
      </c>
      <c r="N158" s="73" t="s">
        <v>155</v>
      </c>
      <c r="O158" s="113">
        <v>43787.0</v>
      </c>
      <c r="P158" s="37">
        <v>43850.0</v>
      </c>
      <c r="Q158" s="22"/>
      <c r="R158" s="22"/>
      <c r="S158" s="117"/>
      <c r="T158" s="157"/>
      <c r="U158" s="176" t="s">
        <v>97</v>
      </c>
      <c r="V158" s="161"/>
      <c r="W158" s="161"/>
      <c r="X158" s="161"/>
      <c r="Y158" s="161"/>
      <c r="Z158" s="161"/>
      <c r="AA158" s="161"/>
      <c r="AB158" s="161"/>
      <c r="AC158" s="161"/>
      <c r="AD158" s="161"/>
      <c r="AE158" s="161"/>
      <c r="AF158" s="161"/>
      <c r="AG158" s="161"/>
      <c r="AH158" s="163"/>
      <c r="AI158" s="163"/>
      <c r="AJ158" s="163"/>
      <c r="AK158" s="163"/>
      <c r="AL158" s="163"/>
      <c r="AM158" s="163"/>
      <c r="AN158" s="161"/>
      <c r="AO158" s="161"/>
      <c r="AP158" s="161"/>
      <c r="AQ158" s="161"/>
      <c r="AR158" s="161"/>
      <c r="AS158" s="119"/>
    </row>
    <row r="159">
      <c r="A159" s="137">
        <v>972.0</v>
      </c>
      <c r="B159" s="284"/>
      <c r="C159" s="123" t="s">
        <v>1568</v>
      </c>
      <c r="D159" s="138" t="s">
        <v>62</v>
      </c>
      <c r="E159" s="547" t="s">
        <v>523</v>
      </c>
      <c r="F159" s="127"/>
      <c r="G159" s="128" t="s">
        <v>1571</v>
      </c>
      <c r="H159" s="89" t="s">
        <v>1572</v>
      </c>
      <c r="I159" s="91" t="str">
        <f>HYPERLINK("https://filmfreeway.com/CapitalIrishFilmFestival","https://filmfreeway.com/CapitalIrishFilmFestival")</f>
        <v>https://filmfreeway.com/CapitalIrishFilmFestival</v>
      </c>
      <c r="J159" s="288"/>
      <c r="K159" s="145">
        <v>43888.0</v>
      </c>
      <c r="L159" s="145">
        <v>43891.0</v>
      </c>
      <c r="M159" s="130" t="s">
        <v>1583</v>
      </c>
      <c r="N159" s="130" t="s">
        <v>379</v>
      </c>
      <c r="O159" s="145">
        <v>43738.0</v>
      </c>
      <c r="P159" s="145">
        <v>43738.0</v>
      </c>
      <c r="Q159" s="131"/>
      <c r="R159" s="132"/>
      <c r="S159" s="132"/>
      <c r="T159" s="118"/>
      <c r="U159" s="119"/>
      <c r="V159" s="119"/>
      <c r="W159" s="119"/>
      <c r="X159" s="119"/>
      <c r="Y159" s="134"/>
      <c r="Z159" s="119"/>
      <c r="AA159" s="119"/>
      <c r="AB159" s="119"/>
      <c r="AC159" s="119"/>
      <c r="AD159" s="119"/>
      <c r="AE159" s="119"/>
      <c r="AF159" s="548" t="s">
        <v>97</v>
      </c>
      <c r="AG159" s="119"/>
      <c r="AH159" s="121"/>
      <c r="AI159" s="121"/>
      <c r="AJ159" s="121"/>
      <c r="AK159" s="121"/>
      <c r="AL159" s="121"/>
      <c r="AM159" s="135"/>
      <c r="AN159" s="119"/>
      <c r="AO159" s="119"/>
      <c r="AP159" s="119"/>
      <c r="AQ159" s="119"/>
      <c r="AR159" s="119"/>
      <c r="AS159" s="119"/>
    </row>
    <row r="160">
      <c r="A160" s="101">
        <v>992.0</v>
      </c>
      <c r="B160" s="122">
        <v>11.0</v>
      </c>
      <c r="C160" s="123" t="s">
        <v>1588</v>
      </c>
      <c r="D160" s="124" t="s">
        <v>71</v>
      </c>
      <c r="E160" s="126" t="s">
        <v>71</v>
      </c>
      <c r="F160" s="127"/>
      <c r="G160" s="128" t="s">
        <v>1589</v>
      </c>
      <c r="H160" s="89" t="s">
        <v>1590</v>
      </c>
      <c r="I160" s="91" t="str">
        <f>HYPERLINK("https://filmfreeway.com/CarrboroFilmFest","https://filmfreeway.com/CarrboroFilmFest")</f>
        <v>https://filmfreeway.com/CarrboroFilmFest</v>
      </c>
      <c r="J160" s="155"/>
      <c r="K160" s="37">
        <v>44155.0</v>
      </c>
      <c r="L160" s="37">
        <v>44157.0</v>
      </c>
      <c r="M160" s="130" t="s">
        <v>1595</v>
      </c>
      <c r="N160" s="130" t="s">
        <v>159</v>
      </c>
      <c r="O160" s="37">
        <v>44074.0</v>
      </c>
      <c r="P160" s="37">
        <v>44074.0</v>
      </c>
      <c r="Q160" s="131"/>
      <c r="R160" s="132"/>
      <c r="S160" s="132"/>
      <c r="T160" s="118"/>
      <c r="U160" s="119"/>
      <c r="V160" s="119"/>
      <c r="W160" s="119"/>
      <c r="X160" s="119"/>
      <c r="Y160" s="134"/>
      <c r="Z160" s="119"/>
      <c r="AA160" s="119"/>
      <c r="AB160" s="119"/>
      <c r="AC160" s="119"/>
      <c r="AD160" s="119"/>
      <c r="AE160" s="119"/>
      <c r="AF160" s="119"/>
      <c r="AG160" s="119"/>
      <c r="AH160" s="121"/>
      <c r="AI160" s="121"/>
      <c r="AJ160" s="121"/>
      <c r="AK160" s="121"/>
      <c r="AL160" s="121"/>
      <c r="AM160" s="165" t="s">
        <v>97</v>
      </c>
      <c r="AN160" s="119"/>
      <c r="AO160" s="119"/>
      <c r="AP160" s="119"/>
      <c r="AQ160" s="119"/>
      <c r="AR160" s="119"/>
      <c r="AS160" s="119"/>
    </row>
    <row r="161">
      <c r="A161" s="101">
        <v>115.0</v>
      </c>
      <c r="B161" s="150">
        <v>10.0</v>
      </c>
      <c r="C161" s="104" t="s">
        <v>1597</v>
      </c>
      <c r="D161" s="138" t="s">
        <v>62</v>
      </c>
      <c r="E161" s="107" t="s">
        <v>523</v>
      </c>
      <c r="F161" s="101"/>
      <c r="G161" s="40" t="s">
        <v>1598</v>
      </c>
      <c r="H161" s="55" t="s">
        <v>1599</v>
      </c>
      <c r="I161" s="69" t="s">
        <v>1604</v>
      </c>
      <c r="J161" s="155"/>
      <c r="K161" s="22" t="s">
        <v>27</v>
      </c>
      <c r="L161" s="22" t="s">
        <v>27</v>
      </c>
      <c r="M161" s="356" t="s">
        <v>880</v>
      </c>
      <c r="N161" s="73" t="s">
        <v>46</v>
      </c>
      <c r="O161" s="22" t="s">
        <v>27</v>
      </c>
      <c r="P161" s="22" t="s">
        <v>27</v>
      </c>
      <c r="Q161" s="22"/>
      <c r="R161" s="22"/>
      <c r="S161" s="117"/>
      <c r="T161" s="157"/>
      <c r="U161" s="161"/>
      <c r="V161" s="161"/>
      <c r="W161" s="161"/>
      <c r="X161" s="161"/>
      <c r="Y161" s="161"/>
      <c r="Z161" s="161"/>
      <c r="AA161" s="161"/>
      <c r="AB161" s="161"/>
      <c r="AC161" s="161"/>
      <c r="AD161" s="161"/>
      <c r="AE161" s="161"/>
      <c r="AF161" s="548" t="s">
        <v>97</v>
      </c>
      <c r="AG161" s="161"/>
      <c r="AH161" s="163"/>
      <c r="AI161" s="163"/>
      <c r="AJ161" s="163"/>
      <c r="AK161" s="163"/>
      <c r="AL161" s="163"/>
      <c r="AM161" s="163"/>
      <c r="AN161" s="161"/>
      <c r="AO161" s="161"/>
      <c r="AP161" s="161"/>
      <c r="AQ161" s="161"/>
      <c r="AR161" s="161"/>
      <c r="AS161" s="119"/>
    </row>
    <row r="162">
      <c r="A162" s="137">
        <v>116.0</v>
      </c>
      <c r="B162" s="150"/>
      <c r="C162" s="104" t="s">
        <v>1608</v>
      </c>
      <c r="D162" s="138" t="s">
        <v>62</v>
      </c>
      <c r="E162" s="107" t="s">
        <v>523</v>
      </c>
      <c r="F162" s="101"/>
      <c r="G162" s="40" t="s">
        <v>1613</v>
      </c>
      <c r="H162" s="55" t="s">
        <v>1615</v>
      </c>
      <c r="I162" s="69" t="s">
        <v>1620</v>
      </c>
      <c r="J162" s="155"/>
      <c r="K162" s="37">
        <v>43989.0</v>
      </c>
      <c r="L162" s="37">
        <v>43995.0</v>
      </c>
      <c r="M162" s="73" t="s">
        <v>1625</v>
      </c>
      <c r="N162" s="73" t="s">
        <v>72</v>
      </c>
      <c r="O162" s="113">
        <v>43805.0</v>
      </c>
      <c r="P162" s="37">
        <v>43931.0</v>
      </c>
      <c r="Q162" s="22"/>
      <c r="R162" s="22"/>
      <c r="S162" s="117"/>
      <c r="T162" s="157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548" t="s">
        <v>97</v>
      </c>
      <c r="AG162" s="161"/>
      <c r="AH162" s="163"/>
      <c r="AI162" s="163"/>
      <c r="AJ162" s="163"/>
      <c r="AK162" s="163"/>
      <c r="AL162" s="163"/>
      <c r="AM162" s="163"/>
      <c r="AN162" s="161"/>
      <c r="AO162" s="161"/>
      <c r="AP162" s="161"/>
      <c r="AQ162" s="161"/>
      <c r="AR162" s="161"/>
      <c r="AS162" s="119"/>
    </row>
    <row r="163">
      <c r="A163" s="137">
        <v>117.0</v>
      </c>
      <c r="B163" s="150"/>
      <c r="C163" s="104" t="s">
        <v>1628</v>
      </c>
      <c r="D163" s="138" t="s">
        <v>56</v>
      </c>
      <c r="E163" s="156" t="s">
        <v>227</v>
      </c>
      <c r="F163" s="101"/>
      <c r="G163" s="40" t="s">
        <v>1629</v>
      </c>
      <c r="H163" s="55" t="s">
        <v>1631</v>
      </c>
      <c r="I163" s="69" t="s">
        <v>1635</v>
      </c>
      <c r="J163" s="155"/>
      <c r="K163" s="37">
        <v>43861.0</v>
      </c>
      <c r="L163" s="37">
        <v>43890.0</v>
      </c>
      <c r="M163" s="73" t="s">
        <v>850</v>
      </c>
      <c r="N163" s="73" t="s">
        <v>594</v>
      </c>
      <c r="O163" s="113">
        <v>43598.0</v>
      </c>
      <c r="P163" s="37">
        <v>43629.0</v>
      </c>
      <c r="Q163" s="22"/>
      <c r="R163" s="22"/>
      <c r="S163" s="117"/>
      <c r="T163" s="157"/>
      <c r="U163" s="161"/>
      <c r="V163" s="161"/>
      <c r="W163" s="161"/>
      <c r="X163" s="161"/>
      <c r="Y163" s="161"/>
      <c r="Z163" s="161"/>
      <c r="AA163" s="218" t="s">
        <v>97</v>
      </c>
      <c r="AB163" s="161"/>
      <c r="AC163" s="161"/>
      <c r="AD163" s="161"/>
      <c r="AE163" s="161"/>
      <c r="AF163" s="161"/>
      <c r="AG163" s="161"/>
      <c r="AH163" s="163"/>
      <c r="AI163" s="163"/>
      <c r="AJ163" s="163"/>
      <c r="AK163" s="163"/>
      <c r="AL163" s="163"/>
      <c r="AM163" s="163"/>
      <c r="AN163" s="161"/>
      <c r="AO163" s="161"/>
      <c r="AP163" s="161"/>
      <c r="AQ163" s="161"/>
      <c r="AR163" s="161"/>
      <c r="AS163" s="119"/>
    </row>
    <row r="164">
      <c r="A164" s="101">
        <v>916.0</v>
      </c>
      <c r="B164" s="284"/>
      <c r="C164" s="123" t="s">
        <v>1636</v>
      </c>
      <c r="D164" s="124" t="s">
        <v>53</v>
      </c>
      <c r="E164" s="126" t="s">
        <v>1637</v>
      </c>
      <c r="F164" s="144"/>
      <c r="G164" s="87" t="s">
        <v>1044</v>
      </c>
      <c r="H164" s="278" t="s">
        <v>1045</v>
      </c>
      <c r="I164" s="91" t="str">
        <f>HYPERLINK("https://filmfreeway.com/CASCADIAInternationalWomensFilmFestival","https://filmfreeway.com/CASCADIAInternationalWomensFilmFestival")</f>
        <v>https://filmfreeway.com/CASCADIAInternationalWomensFilmFestival</v>
      </c>
      <c r="J164" s="93" t="s">
        <v>78</v>
      </c>
      <c r="K164" s="145">
        <v>43937.0</v>
      </c>
      <c r="L164" s="145">
        <v>43940.0</v>
      </c>
      <c r="M164" s="130" t="s">
        <v>945</v>
      </c>
      <c r="N164" s="130" t="s">
        <v>251</v>
      </c>
      <c r="O164" s="145">
        <v>43723.0</v>
      </c>
      <c r="P164" s="145">
        <v>43789.0</v>
      </c>
      <c r="Q164" s="131"/>
      <c r="R164" s="132"/>
      <c r="S164" s="148" t="s">
        <v>97</v>
      </c>
      <c r="T164" s="118"/>
      <c r="U164" s="119"/>
      <c r="V164" s="119"/>
      <c r="W164" s="120" t="s">
        <v>97</v>
      </c>
      <c r="X164" s="401" t="s">
        <v>97</v>
      </c>
      <c r="Y164" s="134"/>
      <c r="Z164" s="119"/>
      <c r="AA164" s="119"/>
      <c r="AB164" s="119"/>
      <c r="AC164" s="119"/>
      <c r="AD164" s="119"/>
      <c r="AE164" s="119"/>
      <c r="AF164" s="119"/>
      <c r="AG164" s="119"/>
      <c r="AH164" s="121"/>
      <c r="AI164" s="121"/>
      <c r="AJ164" s="121"/>
      <c r="AK164" s="121"/>
      <c r="AL164" s="121"/>
      <c r="AM164" s="135"/>
      <c r="AN164" s="119"/>
      <c r="AO164" s="119"/>
      <c r="AP164" s="119"/>
      <c r="AQ164" s="119"/>
      <c r="AR164" s="119"/>
      <c r="AS164" s="119"/>
    </row>
    <row r="165">
      <c r="A165" s="101">
        <v>118.0</v>
      </c>
      <c r="B165" s="150"/>
      <c r="C165" s="104" t="s">
        <v>1638</v>
      </c>
      <c r="D165" s="105" t="s">
        <v>48</v>
      </c>
      <c r="E165" s="107" t="s">
        <v>48</v>
      </c>
      <c r="F165" s="101"/>
      <c r="G165" s="40" t="s">
        <v>1639</v>
      </c>
      <c r="H165" s="55" t="s">
        <v>1640</v>
      </c>
      <c r="I165" s="69" t="s">
        <v>1641</v>
      </c>
      <c r="J165" s="155"/>
      <c r="K165" s="37">
        <v>44097.0</v>
      </c>
      <c r="L165" s="37">
        <v>44101.0</v>
      </c>
      <c r="M165" s="73" t="s">
        <v>221</v>
      </c>
      <c r="N165" s="73" t="s">
        <v>72</v>
      </c>
      <c r="O165" s="113">
        <v>43769.0</v>
      </c>
      <c r="P165" s="37">
        <v>43997.0</v>
      </c>
      <c r="Q165" s="22"/>
      <c r="R165" s="22"/>
      <c r="S165" s="117"/>
      <c r="T165" s="157"/>
      <c r="U165" s="176" t="s">
        <v>97</v>
      </c>
      <c r="V165" s="161"/>
      <c r="W165" s="161"/>
      <c r="X165" s="161"/>
      <c r="Y165" s="161"/>
      <c r="Z165" s="161"/>
      <c r="AA165" s="161"/>
      <c r="AB165" s="161"/>
      <c r="AC165" s="161"/>
      <c r="AD165" s="161"/>
      <c r="AE165" s="161"/>
      <c r="AF165" s="161"/>
      <c r="AG165" s="161"/>
      <c r="AH165" s="163"/>
      <c r="AI165" s="163"/>
      <c r="AJ165" s="163"/>
      <c r="AK165" s="163"/>
      <c r="AL165" s="163"/>
      <c r="AM165" s="163"/>
      <c r="AN165" s="161"/>
      <c r="AO165" s="161"/>
      <c r="AP165" s="161"/>
      <c r="AQ165" s="161"/>
      <c r="AR165" s="161"/>
      <c r="AS165" s="119"/>
    </row>
    <row r="166">
      <c r="A166" s="137">
        <v>119.0</v>
      </c>
      <c r="B166" s="549">
        <v>4.0</v>
      </c>
      <c r="C166" s="104" t="s">
        <v>1642</v>
      </c>
      <c r="D166" s="105" t="s">
        <v>48</v>
      </c>
      <c r="E166" s="107" t="s">
        <v>48</v>
      </c>
      <c r="F166" s="228"/>
      <c r="G166" s="183" t="s">
        <v>188</v>
      </c>
      <c r="H166" s="81" t="s">
        <v>189</v>
      </c>
      <c r="I166" s="185" t="s">
        <v>24</v>
      </c>
      <c r="J166" s="20" t="s">
        <v>78</v>
      </c>
      <c r="K166" s="37">
        <v>43924.0</v>
      </c>
      <c r="L166" s="37">
        <v>43925.0</v>
      </c>
      <c r="M166" s="85" t="s">
        <v>190</v>
      </c>
      <c r="N166" s="85" t="s">
        <v>139</v>
      </c>
      <c r="O166" s="37">
        <v>43840.0</v>
      </c>
      <c r="P166" s="37">
        <v>43854.0</v>
      </c>
      <c r="Q166" s="22"/>
      <c r="R166" s="22"/>
      <c r="S166" s="117"/>
      <c r="T166" s="181"/>
      <c r="U166" s="182" t="s">
        <v>97</v>
      </c>
      <c r="V166" s="184"/>
      <c r="W166" s="184"/>
      <c r="X166" s="184"/>
      <c r="Y166" s="184"/>
      <c r="Z166" s="184"/>
      <c r="AA166" s="184"/>
      <c r="AB166" s="184"/>
      <c r="AC166" s="184"/>
      <c r="AD166" s="186"/>
      <c r="AE166" s="187"/>
      <c r="AF166" s="184"/>
      <c r="AG166" s="187"/>
      <c r="AH166" s="189"/>
      <c r="AI166" s="189"/>
      <c r="AJ166" s="189"/>
      <c r="AK166" s="189"/>
      <c r="AL166" s="189"/>
      <c r="AM166" s="189"/>
      <c r="AN166" s="187"/>
      <c r="AO166" s="187"/>
      <c r="AP166" s="184"/>
      <c r="AQ166" s="187"/>
      <c r="AR166" s="187"/>
      <c r="AS166" s="119"/>
    </row>
    <row r="167">
      <c r="A167" s="137">
        <v>120.0</v>
      </c>
      <c r="B167" s="150">
        <v>4.0</v>
      </c>
      <c r="C167" s="104" t="s">
        <v>1643</v>
      </c>
      <c r="D167" s="105" t="s">
        <v>70</v>
      </c>
      <c r="E167" s="107" t="s">
        <v>70</v>
      </c>
      <c r="F167" s="101"/>
      <c r="G167" s="40" t="s">
        <v>1644</v>
      </c>
      <c r="H167" s="55" t="s">
        <v>1645</v>
      </c>
      <c r="I167" s="69" t="s">
        <v>1646</v>
      </c>
      <c r="J167" s="155"/>
      <c r="K167" s="37">
        <v>43924.0</v>
      </c>
      <c r="L167" s="37">
        <v>43925.0</v>
      </c>
      <c r="M167" s="73" t="s">
        <v>1098</v>
      </c>
      <c r="N167" s="73" t="s">
        <v>256</v>
      </c>
      <c r="O167" s="37">
        <v>43890.0</v>
      </c>
      <c r="P167" s="37">
        <v>43890.0</v>
      </c>
      <c r="Q167" s="22"/>
      <c r="R167" s="22"/>
      <c r="S167" s="117"/>
      <c r="T167" s="157"/>
      <c r="U167" s="161"/>
      <c r="V167" s="161"/>
      <c r="W167" s="161"/>
      <c r="X167" s="161"/>
      <c r="Y167" s="161"/>
      <c r="Z167" s="161"/>
      <c r="AA167" s="161"/>
      <c r="AB167" s="161"/>
      <c r="AC167" s="161"/>
      <c r="AD167" s="161"/>
      <c r="AE167" s="161"/>
      <c r="AF167" s="161"/>
      <c r="AG167" s="161"/>
      <c r="AH167" s="163"/>
      <c r="AI167" s="163"/>
      <c r="AJ167" s="163"/>
      <c r="AK167" s="163"/>
      <c r="AL167" s="149" t="s">
        <v>97</v>
      </c>
      <c r="AM167" s="163"/>
      <c r="AN167" s="161"/>
      <c r="AO167" s="161"/>
      <c r="AP167" s="161"/>
      <c r="AQ167" s="161"/>
      <c r="AR167" s="161"/>
      <c r="AS167" s="119"/>
    </row>
    <row r="168">
      <c r="A168" s="137">
        <v>886.0</v>
      </c>
      <c r="B168" s="122">
        <v>9.0</v>
      </c>
      <c r="C168" s="123" t="s">
        <v>1647</v>
      </c>
      <c r="D168" s="124" t="s">
        <v>48</v>
      </c>
      <c r="E168" s="126" t="s">
        <v>48</v>
      </c>
      <c r="F168" s="127"/>
      <c r="G168" s="128" t="s">
        <v>1648</v>
      </c>
      <c r="H168" s="89" t="s">
        <v>1649</v>
      </c>
      <c r="I168" s="91" t="str">
        <f>HYPERLINK("https://filmfreeway.com/CentralFloridaFilmFestival","https://filmfreeway.com/CentralFloridaFilmFestival")</f>
        <v>https://filmfreeway.com/CentralFloridaFilmFestival</v>
      </c>
      <c r="J168" s="155"/>
      <c r="K168" s="22" t="s">
        <v>27</v>
      </c>
      <c r="L168" s="22" t="s">
        <v>27</v>
      </c>
      <c r="M168" s="130" t="s">
        <v>1650</v>
      </c>
      <c r="N168" s="130" t="s">
        <v>46</v>
      </c>
      <c r="O168" s="22" t="s">
        <v>27</v>
      </c>
      <c r="P168" s="22" t="s">
        <v>27</v>
      </c>
      <c r="Q168" s="131"/>
      <c r="R168" s="132"/>
      <c r="S168" s="132"/>
      <c r="T168" s="118"/>
      <c r="U168" s="176" t="s">
        <v>97</v>
      </c>
      <c r="V168" s="119"/>
      <c r="W168" s="119"/>
      <c r="X168" s="119"/>
      <c r="Y168" s="134"/>
      <c r="Z168" s="119"/>
      <c r="AA168" s="119"/>
      <c r="AB168" s="119"/>
      <c r="AC168" s="119"/>
      <c r="AD168" s="119"/>
      <c r="AE168" s="119"/>
      <c r="AF168" s="119"/>
      <c r="AG168" s="119"/>
      <c r="AH168" s="121"/>
      <c r="AI168" s="121"/>
      <c r="AJ168" s="121"/>
      <c r="AK168" s="121"/>
      <c r="AL168" s="121"/>
      <c r="AM168" s="135"/>
      <c r="AN168" s="119"/>
      <c r="AO168" s="119"/>
      <c r="AP168" s="119"/>
      <c r="AQ168" s="119"/>
      <c r="AR168" s="119"/>
      <c r="AS168" s="119"/>
    </row>
    <row r="169">
      <c r="A169" s="101">
        <v>121.0</v>
      </c>
      <c r="B169" s="173">
        <v>11.0</v>
      </c>
      <c r="C169" s="104" t="s">
        <v>1654</v>
      </c>
      <c r="D169" s="296" t="s">
        <v>55</v>
      </c>
      <c r="E169" s="297" t="s">
        <v>55</v>
      </c>
      <c r="F169" s="101"/>
      <c r="G169" s="40" t="s">
        <v>1655</v>
      </c>
      <c r="H169" s="55" t="s">
        <v>1656</v>
      </c>
      <c r="I169" s="289" t="s">
        <v>24</v>
      </c>
      <c r="J169" s="155"/>
      <c r="K169" s="22" t="s">
        <v>27</v>
      </c>
      <c r="L169" s="22" t="s">
        <v>27</v>
      </c>
      <c r="M169" s="290" t="s">
        <v>568</v>
      </c>
      <c r="N169" s="290" t="s">
        <v>46</v>
      </c>
      <c r="O169" s="22" t="s">
        <v>27</v>
      </c>
      <c r="P169" s="22" t="s">
        <v>27</v>
      </c>
      <c r="Q169" s="348"/>
      <c r="R169" s="348"/>
      <c r="S169" s="224"/>
      <c r="T169" s="141"/>
      <c r="U169" s="119"/>
      <c r="V169" s="119"/>
      <c r="W169" s="119"/>
      <c r="X169" s="119"/>
      <c r="Y169" s="119"/>
      <c r="Z169" s="299" t="s">
        <v>97</v>
      </c>
      <c r="AA169" s="119"/>
      <c r="AB169" s="119"/>
      <c r="AC169" s="119"/>
      <c r="AD169" s="119"/>
      <c r="AE169" s="119"/>
      <c r="AF169" s="119"/>
      <c r="AG169" s="119"/>
      <c r="AH169" s="121"/>
      <c r="AI169" s="121"/>
      <c r="AJ169" s="121"/>
      <c r="AK169" s="121"/>
      <c r="AL169" s="121"/>
      <c r="AM169" s="121"/>
      <c r="AN169" s="119"/>
      <c r="AO169" s="119"/>
      <c r="AP169" s="119"/>
      <c r="AQ169" s="119"/>
      <c r="AR169" s="119"/>
      <c r="AS169" s="119"/>
    </row>
    <row r="170">
      <c r="A170" s="137">
        <v>122.0</v>
      </c>
      <c r="B170" s="150"/>
      <c r="C170" s="104" t="s">
        <v>1664</v>
      </c>
      <c r="D170" s="105" t="s">
        <v>48</v>
      </c>
      <c r="E170" s="107" t="s">
        <v>48</v>
      </c>
      <c r="F170" s="101"/>
      <c r="G170" s="40" t="s">
        <v>1665</v>
      </c>
      <c r="H170" s="55" t="s">
        <v>1667</v>
      </c>
      <c r="I170" s="69" t="s">
        <v>1673</v>
      </c>
      <c r="J170" s="155"/>
      <c r="K170" s="37">
        <v>43866.0</v>
      </c>
      <c r="L170" s="37">
        <v>43870.0</v>
      </c>
      <c r="M170" s="73" t="s">
        <v>1680</v>
      </c>
      <c r="N170" s="73" t="s">
        <v>155</v>
      </c>
      <c r="O170" s="113">
        <v>43765.0</v>
      </c>
      <c r="P170" s="37">
        <v>43845.0</v>
      </c>
      <c r="Q170" s="22"/>
      <c r="R170" s="22"/>
      <c r="S170" s="117"/>
      <c r="T170" s="157"/>
      <c r="U170" s="176" t="s">
        <v>97</v>
      </c>
      <c r="V170" s="161"/>
      <c r="W170" s="161"/>
      <c r="X170" s="161"/>
      <c r="Y170" s="161"/>
      <c r="Z170" s="161"/>
      <c r="AA170" s="161"/>
      <c r="AB170" s="161"/>
      <c r="AC170" s="161"/>
      <c r="AD170" s="161"/>
      <c r="AE170" s="161"/>
      <c r="AF170" s="161"/>
      <c r="AG170" s="161"/>
      <c r="AH170" s="163"/>
      <c r="AI170" s="163"/>
      <c r="AJ170" s="163"/>
      <c r="AK170" s="163"/>
      <c r="AL170" s="163"/>
      <c r="AM170" s="163"/>
      <c r="AN170" s="161"/>
      <c r="AO170" s="161"/>
      <c r="AP170" s="161"/>
      <c r="AQ170" s="161"/>
      <c r="AR170" s="161"/>
      <c r="AS170" s="119"/>
    </row>
    <row r="171">
      <c r="A171" s="137">
        <v>123.0</v>
      </c>
      <c r="B171" s="150"/>
      <c r="C171" s="104" t="s">
        <v>1684</v>
      </c>
      <c r="D171" s="105" t="s">
        <v>51</v>
      </c>
      <c r="E171" s="107" t="s">
        <v>51</v>
      </c>
      <c r="F171" s="101"/>
      <c r="G171" s="40" t="s">
        <v>1685</v>
      </c>
      <c r="H171" s="55" t="s">
        <v>1687</v>
      </c>
      <c r="I171" s="69" t="s">
        <v>1691</v>
      </c>
      <c r="J171" s="155"/>
      <c r="K171" s="37">
        <v>44111.0</v>
      </c>
      <c r="L171" s="37">
        <v>44115.0</v>
      </c>
      <c r="M171" s="73" t="s">
        <v>1696</v>
      </c>
      <c r="N171" s="73" t="s">
        <v>622</v>
      </c>
      <c r="O171" s="113">
        <v>43885.0</v>
      </c>
      <c r="P171" s="37">
        <v>44013.0</v>
      </c>
      <c r="Q171" s="22"/>
      <c r="R171" s="22"/>
      <c r="S171" s="193" t="s">
        <v>97</v>
      </c>
      <c r="T171" s="157"/>
      <c r="U171" s="161"/>
      <c r="V171" s="241" t="s">
        <v>97</v>
      </c>
      <c r="W171" s="161"/>
      <c r="X171" s="161"/>
      <c r="Y171" s="161"/>
      <c r="Z171" s="161"/>
      <c r="AA171" s="161"/>
      <c r="AB171" s="161"/>
      <c r="AC171" s="161"/>
      <c r="AD171" s="161"/>
      <c r="AE171" s="161"/>
      <c r="AF171" s="161"/>
      <c r="AG171" s="161"/>
      <c r="AH171" s="163"/>
      <c r="AI171" s="163"/>
      <c r="AJ171" s="163"/>
      <c r="AK171" s="163"/>
      <c r="AL171" s="163"/>
      <c r="AM171" s="163"/>
      <c r="AN171" s="161"/>
      <c r="AO171" s="161"/>
      <c r="AP171" s="161"/>
      <c r="AQ171" s="161"/>
      <c r="AR171" s="161"/>
      <c r="AS171" s="119"/>
    </row>
    <row r="172">
      <c r="A172" s="137">
        <v>836.0</v>
      </c>
      <c r="B172" s="103"/>
      <c r="C172" s="104" t="s">
        <v>1699</v>
      </c>
      <c r="D172" s="105" t="s">
        <v>48</v>
      </c>
      <c r="E172" s="107" t="s">
        <v>48</v>
      </c>
      <c r="F172" s="109"/>
      <c r="G172" s="10" t="s">
        <v>1700</v>
      </c>
      <c r="H172" s="17" t="s">
        <v>1701</v>
      </c>
      <c r="I172" s="111" t="s">
        <v>1705</v>
      </c>
      <c r="J172" s="112"/>
      <c r="K172" s="113">
        <v>44049.0</v>
      </c>
      <c r="L172" s="113">
        <v>44059.0</v>
      </c>
      <c r="M172" s="24" t="s">
        <v>196</v>
      </c>
      <c r="N172" s="24" t="s">
        <v>29</v>
      </c>
      <c r="O172" s="114">
        <v>43950.0</v>
      </c>
      <c r="P172" s="114">
        <v>44011.0</v>
      </c>
      <c r="Q172" s="223"/>
      <c r="R172" s="223"/>
      <c r="S172" s="224"/>
      <c r="T172" s="118"/>
      <c r="U172" s="176" t="s">
        <v>97</v>
      </c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21"/>
      <c r="AI172" s="121"/>
      <c r="AJ172" s="121"/>
      <c r="AK172" s="121"/>
      <c r="AL172" s="121"/>
      <c r="AM172" s="121"/>
      <c r="AN172" s="119"/>
      <c r="AO172" s="119"/>
      <c r="AP172" s="119"/>
      <c r="AQ172" s="119"/>
      <c r="AR172" s="119"/>
      <c r="AS172" s="119"/>
    </row>
    <row r="173">
      <c r="A173" s="101">
        <v>124.0</v>
      </c>
      <c r="B173" s="150"/>
      <c r="C173" s="104" t="s">
        <v>1712</v>
      </c>
      <c r="D173" s="105" t="s">
        <v>48</v>
      </c>
      <c r="E173" s="107" t="s">
        <v>48</v>
      </c>
      <c r="F173" s="101"/>
      <c r="G173" s="40" t="s">
        <v>1713</v>
      </c>
      <c r="H173" s="55" t="s">
        <v>1714</v>
      </c>
      <c r="I173" s="69" t="s">
        <v>1715</v>
      </c>
      <c r="J173" s="155"/>
      <c r="K173" s="37">
        <v>43847.0</v>
      </c>
      <c r="L173" s="37">
        <v>43850.0</v>
      </c>
      <c r="M173" s="73" t="s">
        <v>1716</v>
      </c>
      <c r="N173" s="73" t="s">
        <v>179</v>
      </c>
      <c r="O173" s="113">
        <v>43500.0</v>
      </c>
      <c r="P173" s="37">
        <v>43736.0</v>
      </c>
      <c r="Q173" s="22"/>
      <c r="R173" s="22"/>
      <c r="S173" s="117"/>
      <c r="T173" s="157"/>
      <c r="U173" s="176" t="s">
        <v>97</v>
      </c>
      <c r="V173" s="161"/>
      <c r="W173" s="161"/>
      <c r="X173" s="161"/>
      <c r="Y173" s="161"/>
      <c r="Z173" s="161"/>
      <c r="AA173" s="161"/>
      <c r="AB173" s="161"/>
      <c r="AC173" s="161"/>
      <c r="AD173" s="161"/>
      <c r="AE173" s="161"/>
      <c r="AF173" s="161"/>
      <c r="AG173" s="161"/>
      <c r="AH173" s="163"/>
      <c r="AI173" s="163"/>
      <c r="AJ173" s="163"/>
      <c r="AK173" s="163"/>
      <c r="AL173" s="163"/>
      <c r="AM173" s="163"/>
      <c r="AN173" s="161"/>
      <c r="AO173" s="161"/>
      <c r="AP173" s="161"/>
      <c r="AQ173" s="161"/>
      <c r="AR173" s="161"/>
      <c r="AS173" s="119"/>
    </row>
    <row r="174">
      <c r="A174" s="137">
        <v>125.0</v>
      </c>
      <c r="B174" s="150"/>
      <c r="C174" s="104" t="s">
        <v>1717</v>
      </c>
      <c r="D174" s="138" t="s">
        <v>56</v>
      </c>
      <c r="E174" s="156" t="s">
        <v>227</v>
      </c>
      <c r="F174" s="101"/>
      <c r="G174" s="40" t="s">
        <v>182</v>
      </c>
      <c r="H174" s="55" t="s">
        <v>183</v>
      </c>
      <c r="I174" s="69" t="s">
        <v>184</v>
      </c>
      <c r="J174" s="20" t="s">
        <v>186</v>
      </c>
      <c r="K174" s="37">
        <v>43923.0</v>
      </c>
      <c r="L174" s="37">
        <v>43926.0</v>
      </c>
      <c r="M174" s="73" t="s">
        <v>187</v>
      </c>
      <c r="N174" s="73" t="s">
        <v>159</v>
      </c>
      <c r="O174" s="113">
        <v>43744.0</v>
      </c>
      <c r="P174" s="37">
        <v>43841.0</v>
      </c>
      <c r="Q174" s="22"/>
      <c r="R174" s="22"/>
      <c r="S174" s="117"/>
      <c r="T174" s="157"/>
      <c r="U174" s="161"/>
      <c r="V174" s="161"/>
      <c r="W174" s="161"/>
      <c r="X174" s="161"/>
      <c r="Y174" s="161"/>
      <c r="Z174" s="161"/>
      <c r="AA174" s="218" t="s">
        <v>97</v>
      </c>
      <c r="AB174" s="161"/>
      <c r="AC174" s="161"/>
      <c r="AD174" s="161"/>
      <c r="AE174" s="161"/>
      <c r="AF174" s="161"/>
      <c r="AG174" s="161"/>
      <c r="AH174" s="163"/>
      <c r="AI174" s="163"/>
      <c r="AJ174" s="163"/>
      <c r="AK174" s="163"/>
      <c r="AL174" s="163"/>
      <c r="AM174" s="163"/>
      <c r="AN174" s="161"/>
      <c r="AO174" s="161"/>
      <c r="AP174" s="161"/>
      <c r="AQ174" s="161"/>
      <c r="AR174" s="161"/>
      <c r="AS174" s="119"/>
    </row>
    <row r="175">
      <c r="A175" s="137">
        <v>801.0</v>
      </c>
      <c r="B175" s="103">
        <v>9.0</v>
      </c>
      <c r="C175" s="104" t="s">
        <v>1718</v>
      </c>
      <c r="D175" s="105" t="s">
        <v>48</v>
      </c>
      <c r="E175" s="107" t="s">
        <v>48</v>
      </c>
      <c r="F175" s="109"/>
      <c r="G175" s="10" t="s">
        <v>1725</v>
      </c>
      <c r="H175" s="17" t="s">
        <v>1726</v>
      </c>
      <c r="I175" s="111" t="s">
        <v>1736</v>
      </c>
      <c r="J175" s="155"/>
      <c r="K175" s="37">
        <v>44097.0</v>
      </c>
      <c r="L175" s="37">
        <v>44101.0</v>
      </c>
      <c r="M175" s="24" t="s">
        <v>1742</v>
      </c>
      <c r="N175" s="24" t="s">
        <v>159</v>
      </c>
      <c r="O175" s="37">
        <v>43921.0</v>
      </c>
      <c r="P175" s="37">
        <v>44036.0</v>
      </c>
      <c r="Q175" s="115"/>
      <c r="R175" s="115"/>
      <c r="S175" s="193" t="s">
        <v>97</v>
      </c>
      <c r="T175" s="118"/>
      <c r="U175" s="176" t="s">
        <v>97</v>
      </c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21"/>
      <c r="AI175" s="121"/>
      <c r="AJ175" s="121"/>
      <c r="AK175" s="121"/>
      <c r="AL175" s="121"/>
      <c r="AM175" s="121"/>
      <c r="AN175" s="119"/>
      <c r="AO175" s="119"/>
      <c r="AP175" s="119"/>
      <c r="AQ175" s="119"/>
      <c r="AR175" s="119"/>
      <c r="AS175" s="119"/>
    </row>
    <row r="176">
      <c r="A176" s="137">
        <v>126.0</v>
      </c>
      <c r="B176" s="173">
        <v>10.0</v>
      </c>
      <c r="C176" s="104" t="s">
        <v>1743</v>
      </c>
      <c r="D176" s="296" t="s">
        <v>55</v>
      </c>
      <c r="E176" s="297" t="s">
        <v>55</v>
      </c>
      <c r="F176" s="101"/>
      <c r="G176" s="40" t="s">
        <v>1744</v>
      </c>
      <c r="H176" s="55" t="s">
        <v>1745</v>
      </c>
      <c r="I176" s="289" t="s">
        <v>24</v>
      </c>
      <c r="J176" s="155"/>
      <c r="K176" s="37">
        <v>43862.0</v>
      </c>
      <c r="L176" s="37">
        <v>43884.0</v>
      </c>
      <c r="M176" s="290" t="s">
        <v>187</v>
      </c>
      <c r="N176" s="290" t="s">
        <v>159</v>
      </c>
      <c r="O176" s="201" t="s">
        <v>24</v>
      </c>
      <c r="P176" s="201" t="s">
        <v>24</v>
      </c>
      <c r="Q176" s="223"/>
      <c r="R176" s="223"/>
      <c r="S176" s="224"/>
      <c r="T176" s="141"/>
      <c r="U176" s="119"/>
      <c r="V176" s="119"/>
      <c r="W176" s="119"/>
      <c r="X176" s="119"/>
      <c r="Y176" s="119"/>
      <c r="Z176" s="299" t="s">
        <v>97</v>
      </c>
      <c r="AA176" s="119"/>
      <c r="AB176" s="119"/>
      <c r="AC176" s="119"/>
      <c r="AD176" s="119"/>
      <c r="AE176" s="119"/>
      <c r="AF176" s="119"/>
      <c r="AG176" s="119"/>
      <c r="AH176" s="121"/>
      <c r="AI176" s="121"/>
      <c r="AJ176" s="121"/>
      <c r="AK176" s="121"/>
      <c r="AL176" s="121"/>
      <c r="AM176" s="121"/>
      <c r="AN176" s="119"/>
      <c r="AO176" s="119"/>
      <c r="AP176" s="119"/>
      <c r="AQ176" s="119"/>
      <c r="AR176" s="119"/>
      <c r="AS176" s="119"/>
    </row>
    <row r="177">
      <c r="A177" s="101">
        <v>127.0</v>
      </c>
      <c r="B177" s="150"/>
      <c r="C177" s="104" t="s">
        <v>1746</v>
      </c>
      <c r="D177" s="105" t="s">
        <v>48</v>
      </c>
      <c r="E177" s="107" t="s">
        <v>48</v>
      </c>
      <c r="F177" s="101"/>
      <c r="G177" s="40" t="s">
        <v>448</v>
      </c>
      <c r="H177" s="55" t="s">
        <v>449</v>
      </c>
      <c r="I177" s="69" t="s">
        <v>450</v>
      </c>
      <c r="J177" s="20" t="s">
        <v>454</v>
      </c>
      <c r="K177" s="37">
        <v>43937.0</v>
      </c>
      <c r="L177" s="37">
        <v>43940.0</v>
      </c>
      <c r="M177" s="174" t="s">
        <v>455</v>
      </c>
      <c r="N177" s="73" t="s">
        <v>303</v>
      </c>
      <c r="O177" s="113">
        <v>43793.0</v>
      </c>
      <c r="P177" s="37">
        <v>43856.0</v>
      </c>
      <c r="Q177" s="22"/>
      <c r="R177" s="22"/>
      <c r="S177" s="117"/>
      <c r="T177" s="157"/>
      <c r="U177" s="176" t="s">
        <v>97</v>
      </c>
      <c r="V177" s="161"/>
      <c r="W177" s="161"/>
      <c r="X177" s="161"/>
      <c r="Y177" s="161"/>
      <c r="Z177" s="161"/>
      <c r="AA177" s="161"/>
      <c r="AB177" s="161"/>
      <c r="AC177" s="161"/>
      <c r="AD177" s="161"/>
      <c r="AE177" s="161"/>
      <c r="AF177" s="161"/>
      <c r="AG177" s="161"/>
      <c r="AH177" s="163"/>
      <c r="AI177" s="163"/>
      <c r="AJ177" s="163"/>
      <c r="AK177" s="163"/>
      <c r="AL177" s="163"/>
      <c r="AM177" s="163"/>
      <c r="AN177" s="161"/>
      <c r="AO177" s="161"/>
      <c r="AP177" s="161"/>
      <c r="AQ177" s="161"/>
      <c r="AR177" s="161"/>
      <c r="AS177" s="119"/>
    </row>
    <row r="178">
      <c r="A178" s="137">
        <v>128.0</v>
      </c>
      <c r="B178" s="150"/>
      <c r="C178" s="104" t="s">
        <v>1747</v>
      </c>
      <c r="D178" s="105" t="s">
        <v>48</v>
      </c>
      <c r="E178" s="107" t="s">
        <v>48</v>
      </c>
      <c r="F178" s="101"/>
      <c r="G178" s="40" t="s">
        <v>1748</v>
      </c>
      <c r="H178" s="55" t="s">
        <v>1749</v>
      </c>
      <c r="I178" s="69" t="s">
        <v>1752</v>
      </c>
      <c r="J178" s="155"/>
      <c r="K178" s="37">
        <v>44030.0</v>
      </c>
      <c r="L178" s="37">
        <v>44030.0</v>
      </c>
      <c r="M178" s="73" t="s">
        <v>1754</v>
      </c>
      <c r="N178" s="73" t="s">
        <v>29</v>
      </c>
      <c r="O178" s="113">
        <v>43707.0</v>
      </c>
      <c r="P178" s="37">
        <v>43981.0</v>
      </c>
      <c r="Q178" s="22"/>
      <c r="R178" s="22"/>
      <c r="S178" s="117"/>
      <c r="T178" s="157"/>
      <c r="U178" s="176" t="s">
        <v>97</v>
      </c>
      <c r="V178" s="161"/>
      <c r="W178" s="161"/>
      <c r="X178" s="161"/>
      <c r="Y178" s="161"/>
      <c r="Z178" s="161"/>
      <c r="AA178" s="161"/>
      <c r="AB178" s="161"/>
      <c r="AC178" s="161"/>
      <c r="AD178" s="161"/>
      <c r="AE178" s="161"/>
      <c r="AF178" s="161"/>
      <c r="AG178" s="161"/>
      <c r="AH178" s="163"/>
      <c r="AI178" s="163"/>
      <c r="AJ178" s="163"/>
      <c r="AK178" s="163"/>
      <c r="AL178" s="163"/>
      <c r="AM178" s="163"/>
      <c r="AN178" s="161"/>
      <c r="AO178" s="161"/>
      <c r="AP178" s="161"/>
      <c r="AQ178" s="161"/>
      <c r="AR178" s="161"/>
      <c r="AS178" s="119"/>
    </row>
    <row r="179">
      <c r="A179" s="137">
        <v>129.0</v>
      </c>
      <c r="B179" s="150"/>
      <c r="C179" s="104" t="s">
        <v>1756</v>
      </c>
      <c r="D179" s="105" t="s">
        <v>48</v>
      </c>
      <c r="E179" s="107" t="s">
        <v>48</v>
      </c>
      <c r="F179" s="101"/>
      <c r="G179" s="40" t="s">
        <v>1757</v>
      </c>
      <c r="H179" s="55" t="s">
        <v>1758</v>
      </c>
      <c r="I179" s="69" t="s">
        <v>1761</v>
      </c>
      <c r="J179" s="155"/>
      <c r="K179" s="37">
        <v>44119.0</v>
      </c>
      <c r="L179" s="37">
        <v>44122.0</v>
      </c>
      <c r="M179" s="156" t="s">
        <v>196</v>
      </c>
      <c r="N179" s="73" t="s">
        <v>29</v>
      </c>
      <c r="O179" s="113">
        <v>43861.0</v>
      </c>
      <c r="P179" s="37">
        <v>44038.0</v>
      </c>
      <c r="Q179" s="22"/>
      <c r="R179" s="22"/>
      <c r="S179" s="117"/>
      <c r="T179" s="157"/>
      <c r="U179" s="176" t="s">
        <v>97</v>
      </c>
      <c r="V179" s="161"/>
      <c r="W179" s="161"/>
      <c r="X179" s="161"/>
      <c r="Y179" s="161"/>
      <c r="Z179" s="161"/>
      <c r="AA179" s="161"/>
      <c r="AB179" s="161"/>
      <c r="AC179" s="161"/>
      <c r="AD179" s="161"/>
      <c r="AE179" s="161"/>
      <c r="AF179" s="161"/>
      <c r="AG179" s="161"/>
      <c r="AH179" s="163"/>
      <c r="AI179" s="163"/>
      <c r="AJ179" s="163"/>
      <c r="AK179" s="163"/>
      <c r="AL179" s="163"/>
      <c r="AM179" s="163"/>
      <c r="AN179" s="161"/>
      <c r="AO179" s="161"/>
      <c r="AP179" s="161"/>
      <c r="AQ179" s="161"/>
      <c r="AR179" s="161"/>
      <c r="AS179" s="119"/>
    </row>
    <row r="180">
      <c r="A180" s="101">
        <v>130.0</v>
      </c>
      <c r="B180" s="150"/>
      <c r="C180" s="104" t="s">
        <v>1765</v>
      </c>
      <c r="D180" s="105" t="s">
        <v>69</v>
      </c>
      <c r="E180" s="107" t="s">
        <v>69</v>
      </c>
      <c r="F180" s="101"/>
      <c r="G180" s="40" t="s">
        <v>1254</v>
      </c>
      <c r="H180" s="55" t="s">
        <v>1255</v>
      </c>
      <c r="I180" s="69" t="s">
        <v>1257</v>
      </c>
      <c r="J180" s="20" t="s">
        <v>78</v>
      </c>
      <c r="K180" s="37">
        <v>43910.0</v>
      </c>
      <c r="L180" s="37">
        <v>43912.0</v>
      </c>
      <c r="M180" s="73" t="s">
        <v>230</v>
      </c>
      <c r="N180" s="73" t="s">
        <v>231</v>
      </c>
      <c r="O180" s="113">
        <v>43647.0</v>
      </c>
      <c r="P180" s="37">
        <v>43819.0</v>
      </c>
      <c r="Q180" s="22"/>
      <c r="R180" s="22"/>
      <c r="S180" s="117"/>
      <c r="T180" s="157"/>
      <c r="U180" s="161"/>
      <c r="V180" s="161"/>
      <c r="W180" s="161"/>
      <c r="X180" s="161"/>
      <c r="Y180" s="161"/>
      <c r="Z180" s="161"/>
      <c r="AA180" s="161"/>
      <c r="AB180" s="161"/>
      <c r="AC180" s="161"/>
      <c r="AD180" s="161"/>
      <c r="AE180" s="161"/>
      <c r="AF180" s="161"/>
      <c r="AG180" s="161"/>
      <c r="AH180" s="163"/>
      <c r="AI180" s="163"/>
      <c r="AJ180" s="163"/>
      <c r="AK180" s="332" t="s">
        <v>97</v>
      </c>
      <c r="AL180" s="163"/>
      <c r="AM180" s="163"/>
      <c r="AN180" s="161"/>
      <c r="AO180" s="161"/>
      <c r="AP180" s="161"/>
      <c r="AQ180" s="161"/>
      <c r="AR180" s="161"/>
      <c r="AS180" s="119"/>
    </row>
    <row r="181">
      <c r="A181" s="137">
        <v>131.0</v>
      </c>
      <c r="B181" s="150"/>
      <c r="C181" s="104" t="s">
        <v>1777</v>
      </c>
      <c r="D181" s="105" t="s">
        <v>64</v>
      </c>
      <c r="E181" s="107" t="s">
        <v>64</v>
      </c>
      <c r="F181" s="101"/>
      <c r="G181" s="40" t="s">
        <v>1779</v>
      </c>
      <c r="H181" s="55" t="s">
        <v>1780</v>
      </c>
      <c r="I181" s="69" t="s">
        <v>1783</v>
      </c>
      <c r="J181" s="155"/>
      <c r="K181" s="37">
        <v>44100.0</v>
      </c>
      <c r="L181" s="37">
        <v>44101.0</v>
      </c>
      <c r="M181" s="73" t="s">
        <v>440</v>
      </c>
      <c r="N181" s="73" t="s">
        <v>231</v>
      </c>
      <c r="O181" s="113">
        <v>43737.0</v>
      </c>
      <c r="P181" s="37">
        <v>44012.0</v>
      </c>
      <c r="Q181" s="22"/>
      <c r="R181" s="22"/>
      <c r="S181" s="117"/>
      <c r="T181" s="157"/>
      <c r="U181" s="161"/>
      <c r="V181" s="161"/>
      <c r="W181" s="161"/>
      <c r="X181" s="161"/>
      <c r="Y181" s="161"/>
      <c r="Z181" s="161"/>
      <c r="AA181" s="161"/>
      <c r="AB181" s="161"/>
      <c r="AC181" s="161"/>
      <c r="AD181" s="161"/>
      <c r="AE181" s="161"/>
      <c r="AF181" s="161"/>
      <c r="AG181" s="161"/>
      <c r="AH181" s="246" t="s">
        <v>97</v>
      </c>
      <c r="AI181" s="163"/>
      <c r="AJ181" s="163"/>
      <c r="AK181" s="163"/>
      <c r="AL181" s="163"/>
      <c r="AM181" s="163"/>
      <c r="AN181" s="161"/>
      <c r="AO181" s="161"/>
      <c r="AP181" s="161"/>
      <c r="AQ181" s="161"/>
      <c r="AR181" s="161"/>
      <c r="AS181" s="119"/>
    </row>
    <row r="182">
      <c r="A182" s="137">
        <v>132.0</v>
      </c>
      <c r="B182" s="150">
        <v>11.0</v>
      </c>
      <c r="C182" s="104" t="s">
        <v>1794</v>
      </c>
      <c r="D182" s="105" t="s">
        <v>88</v>
      </c>
      <c r="E182" s="107" t="s">
        <v>88</v>
      </c>
      <c r="F182" s="101"/>
      <c r="G182" s="40" t="s">
        <v>1797</v>
      </c>
      <c r="H182" s="55" t="s">
        <v>1798</v>
      </c>
      <c r="I182" s="69" t="s">
        <v>1802</v>
      </c>
      <c r="J182" s="155"/>
      <c r="K182" s="37">
        <v>44148.0</v>
      </c>
      <c r="L182" s="37">
        <v>44157.0</v>
      </c>
      <c r="M182" s="73" t="s">
        <v>230</v>
      </c>
      <c r="N182" s="73" t="s">
        <v>231</v>
      </c>
      <c r="O182" s="37">
        <v>43952.0</v>
      </c>
      <c r="P182" s="37">
        <v>43982.0</v>
      </c>
      <c r="Q182" s="200" t="s">
        <v>222</v>
      </c>
      <c r="R182" s="22"/>
      <c r="S182" s="117"/>
      <c r="T182" s="157"/>
      <c r="U182" s="161"/>
      <c r="V182" s="161"/>
      <c r="W182" s="161"/>
      <c r="X182" s="161"/>
      <c r="Y182" s="161"/>
      <c r="Z182" s="161"/>
      <c r="AA182" s="161"/>
      <c r="AB182" s="161"/>
      <c r="AC182" s="161"/>
      <c r="AD182" s="161"/>
      <c r="AE182" s="161"/>
      <c r="AF182" s="161"/>
      <c r="AG182" s="161"/>
      <c r="AH182" s="163"/>
      <c r="AI182" s="163"/>
      <c r="AJ182" s="163"/>
      <c r="AK182" s="163"/>
      <c r="AL182" s="163"/>
      <c r="AM182" s="163"/>
      <c r="AN182" s="161"/>
      <c r="AO182" s="161"/>
      <c r="AP182" s="368" t="s">
        <v>97</v>
      </c>
      <c r="AQ182" s="161"/>
      <c r="AR182" s="161"/>
      <c r="AS182" s="119"/>
    </row>
    <row r="183">
      <c r="A183" s="137">
        <v>133.0</v>
      </c>
      <c r="B183" s="177">
        <v>10.0</v>
      </c>
      <c r="C183" s="104" t="s">
        <v>1804</v>
      </c>
      <c r="D183" s="105" t="s">
        <v>48</v>
      </c>
      <c r="E183" s="107" t="s">
        <v>48</v>
      </c>
      <c r="F183" s="228"/>
      <c r="G183" s="183" t="s">
        <v>1807</v>
      </c>
      <c r="H183" s="81" t="s">
        <v>1808</v>
      </c>
      <c r="I183" s="84" t="s">
        <v>1810</v>
      </c>
      <c r="J183" s="155"/>
      <c r="K183" s="37">
        <v>44118.0</v>
      </c>
      <c r="L183" s="37">
        <v>44129.0</v>
      </c>
      <c r="M183" s="85" t="s">
        <v>230</v>
      </c>
      <c r="N183" s="85" t="s">
        <v>231</v>
      </c>
      <c r="O183" s="37">
        <v>43927.0</v>
      </c>
      <c r="P183" s="37">
        <v>44018.0</v>
      </c>
      <c r="Q183" s="200" t="s">
        <v>222</v>
      </c>
      <c r="R183" s="200" t="s">
        <v>222</v>
      </c>
      <c r="S183" s="224"/>
      <c r="T183" s="181"/>
      <c r="U183" s="182" t="s">
        <v>97</v>
      </c>
      <c r="V183" s="184"/>
      <c r="W183" s="184"/>
      <c r="X183" s="184"/>
      <c r="Y183" s="184"/>
      <c r="Z183" s="184"/>
      <c r="AA183" s="184"/>
      <c r="AB183" s="184"/>
      <c r="AC183" s="184"/>
      <c r="AD183" s="186"/>
      <c r="AE183" s="187"/>
      <c r="AF183" s="184"/>
      <c r="AG183" s="187"/>
      <c r="AH183" s="189"/>
      <c r="AI183" s="189"/>
      <c r="AJ183" s="189"/>
      <c r="AK183" s="189"/>
      <c r="AL183" s="189"/>
      <c r="AM183" s="189"/>
      <c r="AN183" s="187"/>
      <c r="AO183" s="187"/>
      <c r="AP183" s="184"/>
      <c r="AQ183" s="187"/>
      <c r="AR183" s="187"/>
      <c r="AS183" s="119"/>
    </row>
    <row r="184">
      <c r="A184" s="101">
        <v>812.0</v>
      </c>
      <c r="B184" s="103">
        <v>11.0</v>
      </c>
      <c r="C184" s="104" t="s">
        <v>1815</v>
      </c>
      <c r="D184" s="105" t="s">
        <v>52</v>
      </c>
      <c r="E184" s="107" t="s">
        <v>52</v>
      </c>
      <c r="F184" s="109"/>
      <c r="G184" s="10" t="s">
        <v>1819</v>
      </c>
      <c r="H184" s="17" t="s">
        <v>1820</v>
      </c>
      <c r="I184" s="111" t="s">
        <v>1822</v>
      </c>
      <c r="J184" s="155"/>
      <c r="K184" s="37">
        <v>44148.0</v>
      </c>
      <c r="L184" s="37">
        <v>44149.0</v>
      </c>
      <c r="M184" s="24" t="s">
        <v>230</v>
      </c>
      <c r="N184" s="24" t="s">
        <v>231</v>
      </c>
      <c r="O184" s="37">
        <v>43873.0</v>
      </c>
      <c r="P184" s="37">
        <v>44110.0</v>
      </c>
      <c r="Q184" s="115"/>
      <c r="R184" s="115"/>
      <c r="S184" s="117"/>
      <c r="T184" s="118"/>
      <c r="U184" s="119"/>
      <c r="V184" s="119"/>
      <c r="W184" s="120" t="s">
        <v>97</v>
      </c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21"/>
      <c r="AI184" s="121"/>
      <c r="AJ184" s="121"/>
      <c r="AK184" s="121"/>
      <c r="AL184" s="121"/>
      <c r="AM184" s="121"/>
      <c r="AN184" s="119"/>
      <c r="AO184" s="119"/>
      <c r="AP184" s="119"/>
      <c r="AQ184" s="119"/>
      <c r="AR184" s="119"/>
      <c r="AS184" s="119"/>
    </row>
    <row r="185">
      <c r="A185" s="101">
        <v>134.0</v>
      </c>
      <c r="B185" s="150"/>
      <c r="C185" s="104" t="s">
        <v>1826</v>
      </c>
      <c r="D185" s="138" t="s">
        <v>62</v>
      </c>
      <c r="E185" s="107" t="s">
        <v>523</v>
      </c>
      <c r="F185" s="101"/>
      <c r="G185" s="40" t="s">
        <v>1829</v>
      </c>
      <c r="H185" s="55" t="s">
        <v>1830</v>
      </c>
      <c r="I185" s="69" t="s">
        <v>1834</v>
      </c>
      <c r="J185" s="155"/>
      <c r="K185" s="37">
        <v>43888.0</v>
      </c>
      <c r="L185" s="37">
        <v>43891.0</v>
      </c>
      <c r="M185" s="73" t="s">
        <v>230</v>
      </c>
      <c r="N185" s="73" t="s">
        <v>231</v>
      </c>
      <c r="O185" s="113">
        <v>43726.0</v>
      </c>
      <c r="P185" s="37">
        <v>43800.0</v>
      </c>
      <c r="Q185" s="22"/>
      <c r="R185" s="22"/>
      <c r="S185" s="117"/>
      <c r="T185" s="157"/>
      <c r="U185" s="161"/>
      <c r="V185" s="161"/>
      <c r="W185" s="161"/>
      <c r="X185" s="161"/>
      <c r="Y185" s="161"/>
      <c r="Z185" s="161"/>
      <c r="AA185" s="161"/>
      <c r="AB185" s="161"/>
      <c r="AC185" s="161"/>
      <c r="AD185" s="161"/>
      <c r="AE185" s="161"/>
      <c r="AF185" s="548" t="s">
        <v>97</v>
      </c>
      <c r="AG185" s="161"/>
      <c r="AH185" s="163"/>
      <c r="AI185" s="163"/>
      <c r="AJ185" s="163"/>
      <c r="AK185" s="163"/>
      <c r="AL185" s="163"/>
      <c r="AM185" s="163"/>
      <c r="AN185" s="161"/>
      <c r="AO185" s="161"/>
      <c r="AP185" s="161"/>
      <c r="AQ185" s="161"/>
      <c r="AR185" s="161"/>
      <c r="AS185" s="119"/>
    </row>
    <row r="186">
      <c r="A186" s="137">
        <v>135.0</v>
      </c>
      <c r="B186" s="173"/>
      <c r="C186" s="104" t="s">
        <v>1837</v>
      </c>
      <c r="D186" s="296" t="s">
        <v>55</v>
      </c>
      <c r="E186" s="297" t="s">
        <v>55</v>
      </c>
      <c r="F186" s="101"/>
      <c r="G186" s="40" t="s">
        <v>1838</v>
      </c>
      <c r="H186" s="55" t="s">
        <v>1839</v>
      </c>
      <c r="I186" s="175" t="s">
        <v>1842</v>
      </c>
      <c r="J186" s="155"/>
      <c r="K186" s="37">
        <v>43889.0</v>
      </c>
      <c r="L186" s="37">
        <v>43905.0</v>
      </c>
      <c r="M186" s="290" t="s">
        <v>230</v>
      </c>
      <c r="N186" s="290" t="s">
        <v>231</v>
      </c>
      <c r="O186" s="113">
        <v>43801.0</v>
      </c>
      <c r="P186" s="37">
        <v>43801.0</v>
      </c>
      <c r="Q186" s="22"/>
      <c r="R186" s="22"/>
      <c r="S186" s="117"/>
      <c r="T186" s="141"/>
      <c r="U186" s="119"/>
      <c r="V186" s="119"/>
      <c r="W186" s="119"/>
      <c r="X186" s="119"/>
      <c r="Y186" s="119"/>
      <c r="Z186" s="299" t="s">
        <v>97</v>
      </c>
      <c r="AA186" s="119"/>
      <c r="AB186" s="119"/>
      <c r="AC186" s="119"/>
      <c r="AD186" s="119"/>
      <c r="AE186" s="119"/>
      <c r="AF186" s="119"/>
      <c r="AG186" s="119"/>
      <c r="AH186" s="121"/>
      <c r="AI186" s="121"/>
      <c r="AJ186" s="121"/>
      <c r="AK186" s="121"/>
      <c r="AL186" s="121"/>
      <c r="AM186" s="121"/>
      <c r="AN186" s="119"/>
      <c r="AO186" s="119"/>
      <c r="AP186" s="119"/>
      <c r="AQ186" s="119"/>
      <c r="AR186" s="119"/>
      <c r="AS186" s="119"/>
    </row>
    <row r="187">
      <c r="A187" s="137">
        <v>136.0</v>
      </c>
      <c r="B187" s="150"/>
      <c r="C187" s="104" t="s">
        <v>1844</v>
      </c>
      <c r="D187" s="138" t="s">
        <v>59</v>
      </c>
      <c r="E187" s="107" t="s">
        <v>352</v>
      </c>
      <c r="F187" s="101"/>
      <c r="G187" s="40" t="s">
        <v>671</v>
      </c>
      <c r="H187" s="55" t="s">
        <v>672</v>
      </c>
      <c r="I187" s="69" t="s">
        <v>673</v>
      </c>
      <c r="J187" s="20" t="s">
        <v>78</v>
      </c>
      <c r="K187" s="37">
        <v>43937.0</v>
      </c>
      <c r="L187" s="37">
        <v>43951.0</v>
      </c>
      <c r="M187" s="73" t="s">
        <v>230</v>
      </c>
      <c r="N187" s="73" t="s">
        <v>231</v>
      </c>
      <c r="O187" s="113">
        <v>43815.0</v>
      </c>
      <c r="P187" s="37">
        <v>43815.0</v>
      </c>
      <c r="Q187" s="22"/>
      <c r="R187" s="22"/>
      <c r="S187" s="117"/>
      <c r="T187" s="157"/>
      <c r="U187" s="161"/>
      <c r="V187" s="161"/>
      <c r="W187" s="161"/>
      <c r="X187" s="161"/>
      <c r="Y187" s="161"/>
      <c r="Z187" s="161"/>
      <c r="AA187" s="161"/>
      <c r="AB187" s="161"/>
      <c r="AC187" s="551" t="s">
        <v>97</v>
      </c>
      <c r="AD187" s="161"/>
      <c r="AE187" s="161"/>
      <c r="AF187" s="161"/>
      <c r="AG187" s="161"/>
      <c r="AH187" s="163"/>
      <c r="AI187" s="163"/>
      <c r="AJ187" s="163"/>
      <c r="AK187" s="163"/>
      <c r="AL187" s="163"/>
      <c r="AM187" s="163"/>
      <c r="AN187" s="161"/>
      <c r="AO187" s="161"/>
      <c r="AP187" s="161"/>
      <c r="AQ187" s="161"/>
      <c r="AR187" s="161"/>
      <c r="AS187" s="119"/>
    </row>
    <row r="188">
      <c r="A188" s="101">
        <v>137.0</v>
      </c>
      <c r="B188" s="292">
        <v>9.0</v>
      </c>
      <c r="C188" s="104" t="s">
        <v>1854</v>
      </c>
      <c r="D188" s="138" t="s">
        <v>57</v>
      </c>
      <c r="E188" s="107" t="s">
        <v>306</v>
      </c>
      <c r="F188" s="190"/>
      <c r="G188" s="192" t="s">
        <v>1855</v>
      </c>
      <c r="H188" s="81" t="s">
        <v>1856</v>
      </c>
      <c r="I188" s="158" t="s">
        <v>1857</v>
      </c>
      <c r="J188" s="155"/>
      <c r="K188" s="22" t="s">
        <v>27</v>
      </c>
      <c r="L188" s="22" t="s">
        <v>27</v>
      </c>
      <c r="M188" s="73" t="s">
        <v>230</v>
      </c>
      <c r="N188" s="73" t="s">
        <v>231</v>
      </c>
      <c r="O188" s="22" t="s">
        <v>27</v>
      </c>
      <c r="P188" s="22" t="s">
        <v>27</v>
      </c>
      <c r="Q188" s="22"/>
      <c r="R188" s="22"/>
      <c r="S188" s="117"/>
      <c r="T188" s="157"/>
      <c r="U188" s="194"/>
      <c r="V188" s="194"/>
      <c r="W188" s="194"/>
      <c r="X188" s="194"/>
      <c r="Y188" s="194"/>
      <c r="Z188" s="194"/>
      <c r="AA188" s="194"/>
      <c r="AB188" s="417" t="s">
        <v>97</v>
      </c>
      <c r="AC188" s="194"/>
      <c r="AD188" s="186"/>
      <c r="AE188" s="187"/>
      <c r="AF188" s="194"/>
      <c r="AG188" s="187"/>
      <c r="AH188" s="189"/>
      <c r="AI188" s="189"/>
      <c r="AJ188" s="189"/>
      <c r="AK188" s="189"/>
      <c r="AL188" s="189"/>
      <c r="AM188" s="189"/>
      <c r="AN188" s="187"/>
      <c r="AO188" s="187"/>
      <c r="AP188" s="194"/>
      <c r="AQ188" s="187"/>
      <c r="AR188" s="187"/>
      <c r="AS188" s="119"/>
    </row>
    <row r="189">
      <c r="A189" s="137">
        <v>138.0</v>
      </c>
      <c r="B189" s="177"/>
      <c r="C189" s="104" t="s">
        <v>1860</v>
      </c>
      <c r="D189" s="105" t="s">
        <v>65</v>
      </c>
      <c r="E189" s="107" t="s">
        <v>65</v>
      </c>
      <c r="F189" s="178"/>
      <c r="G189" s="77" t="s">
        <v>223</v>
      </c>
      <c r="H189" s="81" t="s">
        <v>224</v>
      </c>
      <c r="I189" s="84" t="s">
        <v>225</v>
      </c>
      <c r="J189" s="20" t="s">
        <v>229</v>
      </c>
      <c r="K189" s="37">
        <v>43992.0</v>
      </c>
      <c r="L189" s="37">
        <v>43996.0</v>
      </c>
      <c r="M189" s="85" t="s">
        <v>230</v>
      </c>
      <c r="N189" s="85" t="s">
        <v>231</v>
      </c>
      <c r="O189" s="113">
        <v>43763.0</v>
      </c>
      <c r="P189" s="37">
        <v>43854.0</v>
      </c>
      <c r="Q189" s="22"/>
      <c r="R189" s="22"/>
      <c r="S189" s="193" t="s">
        <v>97</v>
      </c>
      <c r="T189" s="181"/>
      <c r="U189" s="184"/>
      <c r="V189" s="184"/>
      <c r="W189" s="184"/>
      <c r="X189" s="184"/>
      <c r="Y189" s="184"/>
      <c r="Z189" s="184"/>
      <c r="AA189" s="184"/>
      <c r="AB189" s="184"/>
      <c r="AC189" s="184"/>
      <c r="AD189" s="186"/>
      <c r="AE189" s="187"/>
      <c r="AF189" s="184"/>
      <c r="AG189" s="187"/>
      <c r="AH189" s="189"/>
      <c r="AI189" s="342" t="s">
        <v>97</v>
      </c>
      <c r="AJ189" s="189"/>
      <c r="AK189" s="189"/>
      <c r="AL189" s="189"/>
      <c r="AM189" s="189"/>
      <c r="AN189" s="187"/>
      <c r="AO189" s="187"/>
      <c r="AP189" s="184"/>
      <c r="AQ189" s="187"/>
      <c r="AR189" s="187"/>
      <c r="AS189" s="119"/>
    </row>
    <row r="190">
      <c r="A190" s="137">
        <v>139.0</v>
      </c>
      <c r="B190" s="150">
        <v>11.0</v>
      </c>
      <c r="C190" s="104" t="s">
        <v>1865</v>
      </c>
      <c r="D190" s="105" t="s">
        <v>48</v>
      </c>
      <c r="E190" s="107" t="s">
        <v>48</v>
      </c>
      <c r="F190" s="101"/>
      <c r="G190" s="40" t="s">
        <v>1866</v>
      </c>
      <c r="H190" s="55" t="s">
        <v>1867</v>
      </c>
      <c r="I190" s="69" t="s">
        <v>1869</v>
      </c>
      <c r="J190" s="155"/>
      <c r="K190" s="37">
        <v>43965.0</v>
      </c>
      <c r="L190" s="37">
        <v>43975.0</v>
      </c>
      <c r="M190" s="73" t="s">
        <v>471</v>
      </c>
      <c r="N190" s="73" t="s">
        <v>72</v>
      </c>
      <c r="O190" s="37">
        <v>43965.0</v>
      </c>
      <c r="P190" s="37">
        <v>43975.0</v>
      </c>
      <c r="Q190" s="22"/>
      <c r="R190" s="22"/>
      <c r="S190" s="117"/>
      <c r="T190" s="157"/>
      <c r="U190" s="176" t="s">
        <v>97</v>
      </c>
      <c r="V190" s="161"/>
      <c r="W190" s="161"/>
      <c r="X190" s="161"/>
      <c r="Y190" s="161"/>
      <c r="Z190" s="161"/>
      <c r="AA190" s="161"/>
      <c r="AB190" s="161"/>
      <c r="AC190" s="161"/>
      <c r="AD190" s="161"/>
      <c r="AE190" s="161"/>
      <c r="AF190" s="161"/>
      <c r="AG190" s="161"/>
      <c r="AH190" s="163"/>
      <c r="AI190" s="163"/>
      <c r="AJ190" s="163"/>
      <c r="AK190" s="163"/>
      <c r="AL190" s="163"/>
      <c r="AM190" s="163"/>
      <c r="AN190" s="161"/>
      <c r="AO190" s="161"/>
      <c r="AP190" s="161"/>
      <c r="AQ190" s="161"/>
      <c r="AR190" s="161"/>
      <c r="AS190" s="119"/>
    </row>
    <row r="191">
      <c r="A191" s="101">
        <v>1004.0</v>
      </c>
      <c r="B191" s="284"/>
      <c r="C191" s="123" t="s">
        <v>1442</v>
      </c>
      <c r="D191" s="285" t="s">
        <v>88</v>
      </c>
      <c r="E191" s="287" t="s">
        <v>88</v>
      </c>
      <c r="F191" s="127"/>
      <c r="G191" s="128" t="s">
        <v>1870</v>
      </c>
      <c r="H191" s="89" t="s">
        <v>1871</v>
      </c>
      <c r="I191" s="91" t="str">
        <f>HYPERLINK("https://filmfreeway.com/ChildrensFilmFestivalSeattle","https://filmfreeway.com/ChildrensFilmFestivalSeattle")</f>
        <v>https://filmfreeway.com/ChildrensFilmFestivalSeattle</v>
      </c>
      <c r="J191" s="288"/>
      <c r="K191" s="145">
        <v>43888.0</v>
      </c>
      <c r="L191" s="145">
        <v>43898.0</v>
      </c>
      <c r="M191" s="130" t="s">
        <v>250</v>
      </c>
      <c r="N191" s="130" t="s">
        <v>251</v>
      </c>
      <c r="O191" s="145">
        <v>43709.0</v>
      </c>
      <c r="P191" s="145">
        <v>43753.0</v>
      </c>
      <c r="Q191" s="131"/>
      <c r="R191" s="132"/>
      <c r="S191" s="132"/>
      <c r="T191" s="118"/>
      <c r="U191" s="119"/>
      <c r="V191" s="119"/>
      <c r="W191" s="119"/>
      <c r="X191" s="119"/>
      <c r="Y191" s="134"/>
      <c r="Z191" s="119"/>
      <c r="AA191" s="119"/>
      <c r="AB191" s="119"/>
      <c r="AC191" s="119"/>
      <c r="AD191" s="119"/>
      <c r="AE191" s="119"/>
      <c r="AF191" s="119"/>
      <c r="AG191" s="119"/>
      <c r="AH191" s="121"/>
      <c r="AI191" s="121"/>
      <c r="AJ191" s="121"/>
      <c r="AK191" s="121"/>
      <c r="AL191" s="121"/>
      <c r="AM191" s="135"/>
      <c r="AN191" s="119"/>
      <c r="AO191" s="119"/>
      <c r="AP191" s="368" t="s">
        <v>97</v>
      </c>
      <c r="AQ191" s="119"/>
      <c r="AR191" s="119"/>
      <c r="AS191" s="119"/>
    </row>
    <row r="192">
      <c r="A192" s="101">
        <v>140.0</v>
      </c>
      <c r="B192" s="150"/>
      <c r="C192" s="104" t="s">
        <v>1873</v>
      </c>
      <c r="D192" s="105" t="s">
        <v>90</v>
      </c>
      <c r="E192" s="107" t="s">
        <v>1875</v>
      </c>
      <c r="F192" s="101"/>
      <c r="G192" s="40" t="s">
        <v>1876</v>
      </c>
      <c r="H192" s="55" t="s">
        <v>1877</v>
      </c>
      <c r="I192" s="69" t="s">
        <v>1880</v>
      </c>
      <c r="J192" s="155"/>
      <c r="K192" s="37">
        <v>43897.0</v>
      </c>
      <c r="L192" s="37">
        <v>43898.0</v>
      </c>
      <c r="M192" s="73" t="s">
        <v>1881</v>
      </c>
      <c r="N192" s="73" t="s">
        <v>72</v>
      </c>
      <c r="O192" s="113">
        <v>43836.0</v>
      </c>
      <c r="P192" s="37">
        <v>43878.0</v>
      </c>
      <c r="Q192" s="22"/>
      <c r="R192" s="22"/>
      <c r="S192" s="117"/>
      <c r="T192" s="157"/>
      <c r="U192" s="161"/>
      <c r="V192" s="161"/>
      <c r="W192" s="161"/>
      <c r="X192" s="161"/>
      <c r="Y192" s="161"/>
      <c r="Z192" s="161"/>
      <c r="AA192" s="161"/>
      <c r="AB192" s="161"/>
      <c r="AC192" s="161"/>
      <c r="AD192" s="161"/>
      <c r="AE192" s="161"/>
      <c r="AF192" s="161"/>
      <c r="AG192" s="161"/>
      <c r="AH192" s="163"/>
      <c r="AI192" s="163"/>
      <c r="AJ192" s="163"/>
      <c r="AK192" s="163"/>
      <c r="AL192" s="149" t="s">
        <v>97</v>
      </c>
      <c r="AM192" s="163"/>
      <c r="AN192" s="161"/>
      <c r="AO192" s="161"/>
      <c r="AP192" s="161"/>
      <c r="AQ192" s="161"/>
      <c r="AR192" s="554" t="s">
        <v>97</v>
      </c>
      <c r="AS192" s="119"/>
    </row>
    <row r="193">
      <c r="A193" s="137">
        <v>965.0</v>
      </c>
      <c r="B193" s="122">
        <v>5.0</v>
      </c>
      <c r="C193" s="123" t="s">
        <v>1882</v>
      </c>
      <c r="D193" s="138" t="s">
        <v>59</v>
      </c>
      <c r="E193" s="107" t="s">
        <v>1883</v>
      </c>
      <c r="F193" s="127"/>
      <c r="G193" s="128" t="s">
        <v>1884</v>
      </c>
      <c r="H193" s="89" t="s">
        <v>1885</v>
      </c>
      <c r="I193" s="91" t="str">
        <f>HYPERLINK("https://filmfreeway.com/CLAIFF","https://filmfreeway.com/CLAIFF")</f>
        <v>https://filmfreeway.com/CLAIFF</v>
      </c>
      <c r="J193" s="155"/>
      <c r="K193" s="37">
        <v>43957.0</v>
      </c>
      <c r="L193" s="37">
        <v>43961.0</v>
      </c>
      <c r="M193" s="130" t="s">
        <v>165</v>
      </c>
      <c r="N193" s="130" t="s">
        <v>102</v>
      </c>
      <c r="O193" s="37">
        <v>43847.0</v>
      </c>
      <c r="P193" s="37">
        <v>43875.0</v>
      </c>
      <c r="Q193" s="131"/>
      <c r="R193" s="132"/>
      <c r="S193" s="132"/>
      <c r="T193" s="118"/>
      <c r="U193" s="119"/>
      <c r="V193" s="119"/>
      <c r="W193" s="119"/>
      <c r="X193" s="119"/>
      <c r="Y193" s="134"/>
      <c r="Z193" s="119"/>
      <c r="AA193" s="119"/>
      <c r="AB193" s="119"/>
      <c r="AC193" s="551" t="s">
        <v>97</v>
      </c>
      <c r="AD193" s="558" t="s">
        <v>97</v>
      </c>
      <c r="AE193" s="119"/>
      <c r="AF193" s="119"/>
      <c r="AG193" s="119"/>
      <c r="AH193" s="121"/>
      <c r="AI193" s="121"/>
      <c r="AJ193" s="121"/>
      <c r="AK193" s="121"/>
      <c r="AL193" s="121"/>
      <c r="AM193" s="135"/>
      <c r="AN193" s="119"/>
      <c r="AO193" s="119"/>
      <c r="AP193" s="119"/>
      <c r="AQ193" s="119"/>
      <c r="AR193" s="119"/>
      <c r="AS193" s="119"/>
    </row>
    <row r="194">
      <c r="A194" s="137">
        <v>142.0</v>
      </c>
      <c r="B194" s="315">
        <v>11.0</v>
      </c>
      <c r="C194" s="104" t="s">
        <v>1892</v>
      </c>
      <c r="D194" s="105" t="s">
        <v>48</v>
      </c>
      <c r="E194" s="107" t="s">
        <v>48</v>
      </c>
      <c r="F194" s="178"/>
      <c r="G194" s="77" t="s">
        <v>1894</v>
      </c>
      <c r="H194" s="81" t="s">
        <v>1898</v>
      </c>
      <c r="I194" s="316" t="s">
        <v>24</v>
      </c>
      <c r="J194" s="155"/>
      <c r="K194" s="37">
        <v>44141.0</v>
      </c>
      <c r="L194" s="37">
        <v>44150.0</v>
      </c>
      <c r="M194" s="85" t="s">
        <v>911</v>
      </c>
      <c r="N194" s="85" t="s">
        <v>46</v>
      </c>
      <c r="O194" s="22" t="s">
        <v>27</v>
      </c>
      <c r="P194" s="22" t="s">
        <v>27</v>
      </c>
      <c r="Q194" s="201"/>
      <c r="R194" s="201"/>
      <c r="S194" s="224"/>
      <c r="T194" s="181"/>
      <c r="U194" s="182" t="s">
        <v>97</v>
      </c>
      <c r="V194" s="184"/>
      <c r="W194" s="184"/>
      <c r="X194" s="184"/>
      <c r="Y194" s="184"/>
      <c r="Z194" s="184"/>
      <c r="AA194" s="184"/>
      <c r="AB194" s="184"/>
      <c r="AC194" s="184"/>
      <c r="AD194" s="186"/>
      <c r="AE194" s="187"/>
      <c r="AF194" s="184"/>
      <c r="AG194" s="187"/>
      <c r="AH194" s="189"/>
      <c r="AI194" s="189"/>
      <c r="AJ194" s="189"/>
      <c r="AK194" s="189"/>
      <c r="AL194" s="189"/>
      <c r="AM194" s="189"/>
      <c r="AN194" s="187"/>
      <c r="AO194" s="187"/>
      <c r="AP194" s="184"/>
      <c r="AQ194" s="187"/>
      <c r="AR194" s="187"/>
      <c r="AS194" s="119"/>
    </row>
    <row r="195">
      <c r="A195" s="101">
        <v>143.0</v>
      </c>
      <c r="B195" s="177"/>
      <c r="C195" s="104" t="s">
        <v>1909</v>
      </c>
      <c r="D195" s="105" t="s">
        <v>48</v>
      </c>
      <c r="E195" s="107" t="s">
        <v>48</v>
      </c>
      <c r="F195" s="178"/>
      <c r="G195" s="77" t="s">
        <v>996</v>
      </c>
      <c r="H195" s="81" t="s">
        <v>997</v>
      </c>
      <c r="I195" s="84" t="s">
        <v>998</v>
      </c>
      <c r="J195" s="20" t="s">
        <v>78</v>
      </c>
      <c r="K195" s="37">
        <v>43908.0</v>
      </c>
      <c r="L195" s="37">
        <v>43912.0</v>
      </c>
      <c r="M195" s="85" t="s">
        <v>196</v>
      </c>
      <c r="N195" s="85" t="s">
        <v>29</v>
      </c>
      <c r="O195" s="113">
        <v>43742.0</v>
      </c>
      <c r="P195" s="37">
        <v>43819.0</v>
      </c>
      <c r="Q195" s="22"/>
      <c r="R195" s="22"/>
      <c r="S195" s="193" t="s">
        <v>97</v>
      </c>
      <c r="T195" s="181"/>
      <c r="U195" s="182" t="s">
        <v>97</v>
      </c>
      <c r="V195" s="184"/>
      <c r="W195" s="184"/>
      <c r="X195" s="184"/>
      <c r="Y195" s="184"/>
      <c r="Z195" s="184"/>
      <c r="AA195" s="184"/>
      <c r="AB195" s="184"/>
      <c r="AC195" s="184"/>
      <c r="AD195" s="186"/>
      <c r="AE195" s="187"/>
      <c r="AF195" s="184"/>
      <c r="AG195" s="187"/>
      <c r="AH195" s="189"/>
      <c r="AI195" s="189"/>
      <c r="AJ195" s="189"/>
      <c r="AK195" s="189"/>
      <c r="AL195" s="189"/>
      <c r="AM195" s="189"/>
      <c r="AN195" s="187"/>
      <c r="AO195" s="187"/>
      <c r="AP195" s="184"/>
      <c r="AQ195" s="187"/>
      <c r="AR195" s="187"/>
      <c r="AS195" s="119"/>
    </row>
    <row r="196">
      <c r="A196" s="137">
        <v>144.0</v>
      </c>
      <c r="B196" s="177"/>
      <c r="C196" s="104" t="s">
        <v>1924</v>
      </c>
      <c r="D196" s="105" t="s">
        <v>48</v>
      </c>
      <c r="E196" s="107" t="s">
        <v>48</v>
      </c>
      <c r="F196" s="178"/>
      <c r="G196" s="77" t="s">
        <v>1932</v>
      </c>
      <c r="H196" s="81" t="s">
        <v>1935</v>
      </c>
      <c r="I196" s="84" t="s">
        <v>1938</v>
      </c>
      <c r="J196" s="344"/>
      <c r="K196" s="152">
        <v>43882.0</v>
      </c>
      <c r="L196" s="152">
        <v>43884.0</v>
      </c>
      <c r="M196" s="85" t="s">
        <v>662</v>
      </c>
      <c r="N196" s="85" t="s">
        <v>72</v>
      </c>
      <c r="O196" s="113">
        <v>43556.0</v>
      </c>
      <c r="P196" s="113">
        <v>43856.0</v>
      </c>
      <c r="Q196" s="373"/>
      <c r="R196" s="373"/>
      <c r="S196" s="224"/>
      <c r="T196" s="181"/>
      <c r="U196" s="182" t="s">
        <v>97</v>
      </c>
      <c r="V196" s="184"/>
      <c r="W196" s="184"/>
      <c r="X196" s="184"/>
      <c r="Y196" s="184"/>
      <c r="Z196" s="184"/>
      <c r="AA196" s="184"/>
      <c r="AB196" s="184"/>
      <c r="AC196" s="184"/>
      <c r="AD196" s="186"/>
      <c r="AE196" s="187"/>
      <c r="AF196" s="184"/>
      <c r="AG196" s="187"/>
      <c r="AH196" s="189"/>
      <c r="AI196" s="189"/>
      <c r="AJ196" s="189"/>
      <c r="AK196" s="189"/>
      <c r="AL196" s="189"/>
      <c r="AM196" s="189"/>
      <c r="AN196" s="187"/>
      <c r="AO196" s="187"/>
      <c r="AP196" s="184"/>
      <c r="AQ196" s="187"/>
      <c r="AR196" s="187"/>
      <c r="AS196" s="119"/>
    </row>
    <row r="197">
      <c r="A197" s="137">
        <v>837.0</v>
      </c>
      <c r="B197" s="103"/>
      <c r="C197" s="104" t="s">
        <v>1945</v>
      </c>
      <c r="D197" s="226" t="s">
        <v>54</v>
      </c>
      <c r="E197" s="227" t="s">
        <v>54</v>
      </c>
      <c r="F197" s="109"/>
      <c r="G197" s="10" t="s">
        <v>1946</v>
      </c>
      <c r="H197" s="17" t="s">
        <v>1947</v>
      </c>
      <c r="I197" s="111" t="s">
        <v>1948</v>
      </c>
      <c r="J197" s="112"/>
      <c r="K197" s="113">
        <v>44091.0</v>
      </c>
      <c r="L197" s="113">
        <v>44094.0</v>
      </c>
      <c r="M197" s="24" t="s">
        <v>372</v>
      </c>
      <c r="N197" s="24" t="s">
        <v>72</v>
      </c>
      <c r="O197" s="114">
        <v>43952.0</v>
      </c>
      <c r="P197" s="114">
        <v>44043.0</v>
      </c>
      <c r="Q197" s="223"/>
      <c r="R197" s="223"/>
      <c r="S197" s="224"/>
      <c r="T197" s="118"/>
      <c r="U197" s="119"/>
      <c r="V197" s="119"/>
      <c r="W197" s="119"/>
      <c r="X197" s="119"/>
      <c r="Y197" s="374" t="s">
        <v>97</v>
      </c>
      <c r="Z197" s="119"/>
      <c r="AA197" s="119"/>
      <c r="AB197" s="119"/>
      <c r="AC197" s="119"/>
      <c r="AD197" s="119"/>
      <c r="AE197" s="119"/>
      <c r="AF197" s="119"/>
      <c r="AG197" s="119"/>
      <c r="AH197" s="121"/>
      <c r="AI197" s="121"/>
      <c r="AJ197" s="121"/>
      <c r="AK197" s="121"/>
      <c r="AL197" s="121"/>
      <c r="AM197" s="121"/>
      <c r="AN197" s="119"/>
      <c r="AO197" s="119"/>
      <c r="AP197" s="119"/>
      <c r="AQ197" s="119"/>
      <c r="AR197" s="119"/>
      <c r="AS197" s="119"/>
    </row>
    <row r="198">
      <c r="A198" s="137">
        <v>145.0</v>
      </c>
      <c r="B198" s="177"/>
      <c r="C198" s="104" t="s">
        <v>1951</v>
      </c>
      <c r="D198" s="105" t="s">
        <v>48</v>
      </c>
      <c r="E198" s="107" t="s">
        <v>48</v>
      </c>
      <c r="F198" s="178"/>
      <c r="G198" s="77" t="s">
        <v>1952</v>
      </c>
      <c r="H198" s="81" t="s">
        <v>1953</v>
      </c>
      <c r="I198" s="84" t="s">
        <v>1955</v>
      </c>
      <c r="J198" s="155"/>
      <c r="K198" s="37">
        <v>43852.0</v>
      </c>
      <c r="L198" s="37">
        <v>43859.0</v>
      </c>
      <c r="M198" s="85" t="s">
        <v>1959</v>
      </c>
      <c r="N198" s="85" t="s">
        <v>537</v>
      </c>
      <c r="O198" s="113">
        <v>43644.0</v>
      </c>
      <c r="P198" s="37">
        <v>43784.0</v>
      </c>
      <c r="Q198" s="22"/>
      <c r="R198" s="22"/>
      <c r="S198" s="193" t="s">
        <v>97</v>
      </c>
      <c r="T198" s="181"/>
      <c r="U198" s="182" t="s">
        <v>97</v>
      </c>
      <c r="V198" s="184"/>
      <c r="W198" s="184"/>
      <c r="X198" s="184"/>
      <c r="Y198" s="184"/>
      <c r="Z198" s="184"/>
      <c r="AA198" s="184"/>
      <c r="AB198" s="184"/>
      <c r="AC198" s="184"/>
      <c r="AD198" s="186"/>
      <c r="AE198" s="187"/>
      <c r="AF198" s="184"/>
      <c r="AG198" s="187"/>
      <c r="AH198" s="189"/>
      <c r="AI198" s="189"/>
      <c r="AJ198" s="189"/>
      <c r="AK198" s="189"/>
      <c r="AL198" s="189"/>
      <c r="AM198" s="189"/>
      <c r="AN198" s="187"/>
      <c r="AO198" s="187"/>
      <c r="AP198" s="184"/>
      <c r="AQ198" s="187"/>
      <c r="AR198" s="187"/>
      <c r="AS198" s="119"/>
    </row>
    <row r="199">
      <c r="A199" s="101">
        <v>146.0</v>
      </c>
      <c r="B199" s="150"/>
      <c r="C199" s="104" t="s">
        <v>1962</v>
      </c>
      <c r="D199" s="226" t="s">
        <v>54</v>
      </c>
      <c r="E199" s="227" t="s">
        <v>54</v>
      </c>
      <c r="F199" s="101"/>
      <c r="G199" s="40" t="s">
        <v>1973</v>
      </c>
      <c r="H199" s="55" t="s">
        <v>1974</v>
      </c>
      <c r="I199" s="69" t="s">
        <v>1976</v>
      </c>
      <c r="J199" s="155"/>
      <c r="K199" s="37">
        <v>43972.0</v>
      </c>
      <c r="L199" s="37">
        <v>43975.0</v>
      </c>
      <c r="M199" s="73" t="s">
        <v>1977</v>
      </c>
      <c r="N199" s="73" t="s">
        <v>1978</v>
      </c>
      <c r="O199" s="113">
        <v>43769.0</v>
      </c>
      <c r="P199" s="37">
        <v>43890.0</v>
      </c>
      <c r="Q199" s="22"/>
      <c r="R199" s="22"/>
      <c r="S199" s="117"/>
      <c r="T199" s="157"/>
      <c r="U199" s="161"/>
      <c r="V199" s="161"/>
      <c r="W199" s="161"/>
      <c r="X199" s="161"/>
      <c r="Y199" s="374" t="s">
        <v>97</v>
      </c>
      <c r="Z199" s="161"/>
      <c r="AA199" s="161"/>
      <c r="AB199" s="161"/>
      <c r="AC199" s="161"/>
      <c r="AD199" s="161"/>
      <c r="AE199" s="161"/>
      <c r="AF199" s="161"/>
      <c r="AG199" s="161"/>
      <c r="AH199" s="163"/>
      <c r="AI199" s="163"/>
      <c r="AJ199" s="163"/>
      <c r="AK199" s="163"/>
      <c r="AL199" s="163"/>
      <c r="AM199" s="163"/>
      <c r="AN199" s="161"/>
      <c r="AO199" s="161"/>
      <c r="AP199" s="161"/>
      <c r="AQ199" s="161"/>
      <c r="AR199" s="161"/>
      <c r="AS199" s="119"/>
    </row>
    <row r="200">
      <c r="A200" s="137">
        <v>147.0</v>
      </c>
      <c r="B200" s="150">
        <v>10.0</v>
      </c>
      <c r="C200" s="104" t="s">
        <v>1979</v>
      </c>
      <c r="D200" s="105" t="s">
        <v>52</v>
      </c>
      <c r="E200" s="107" t="s">
        <v>1139</v>
      </c>
      <c r="F200" s="101"/>
      <c r="G200" s="40" t="s">
        <v>1778</v>
      </c>
      <c r="H200" s="55" t="s">
        <v>1981</v>
      </c>
      <c r="I200" s="69" t="s">
        <v>1983</v>
      </c>
      <c r="J200" s="155"/>
      <c r="K200" s="37">
        <v>44105.0</v>
      </c>
      <c r="L200" s="37">
        <v>44135.0</v>
      </c>
      <c r="M200" s="73" t="s">
        <v>165</v>
      </c>
      <c r="N200" s="73" t="s">
        <v>102</v>
      </c>
      <c r="O200" s="37">
        <v>43832.0</v>
      </c>
      <c r="P200" s="37">
        <v>44043.0</v>
      </c>
      <c r="Q200" s="22"/>
      <c r="R200" s="22"/>
      <c r="S200" s="117"/>
      <c r="T200" s="157"/>
      <c r="U200" s="161"/>
      <c r="V200" s="161"/>
      <c r="W200" s="120" t="s">
        <v>97</v>
      </c>
      <c r="X200" s="161"/>
      <c r="Y200" s="161"/>
      <c r="Z200" s="161"/>
      <c r="AA200" s="161"/>
      <c r="AB200" s="161"/>
      <c r="AC200" s="161"/>
      <c r="AD200" s="161"/>
      <c r="AE200" s="161"/>
      <c r="AF200" s="161"/>
      <c r="AG200" s="161"/>
      <c r="AH200" s="163"/>
      <c r="AI200" s="163"/>
      <c r="AJ200" s="163"/>
      <c r="AK200" s="163"/>
      <c r="AL200" s="163"/>
      <c r="AM200" s="165" t="s">
        <v>97</v>
      </c>
      <c r="AN200" s="161"/>
      <c r="AO200" s="161"/>
      <c r="AP200" s="161"/>
      <c r="AQ200" s="161"/>
      <c r="AR200" s="161"/>
      <c r="AS200" s="119"/>
    </row>
    <row r="201">
      <c r="A201" s="101">
        <v>753.0</v>
      </c>
      <c r="B201" s="103"/>
      <c r="C201" s="104" t="s">
        <v>1985</v>
      </c>
      <c r="D201" s="138" t="s">
        <v>75</v>
      </c>
      <c r="E201" s="107" t="s">
        <v>345</v>
      </c>
      <c r="F201" s="109"/>
      <c r="G201" s="10" t="s">
        <v>1987</v>
      </c>
      <c r="H201" s="17" t="s">
        <v>1989</v>
      </c>
      <c r="I201" s="111" t="s">
        <v>1992</v>
      </c>
      <c r="J201" s="112"/>
      <c r="K201" s="113">
        <v>43874.0</v>
      </c>
      <c r="L201" s="113">
        <v>43877.0</v>
      </c>
      <c r="M201" s="24" t="s">
        <v>1995</v>
      </c>
      <c r="N201" s="24" t="s">
        <v>46</v>
      </c>
      <c r="O201" s="114">
        <v>43673.0</v>
      </c>
      <c r="P201" s="114">
        <v>43755.0</v>
      </c>
      <c r="Q201" s="115"/>
      <c r="R201" s="115"/>
      <c r="S201" s="117"/>
      <c r="T201" s="141" t="s">
        <v>50</v>
      </c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21"/>
      <c r="AI201" s="121"/>
      <c r="AJ201" s="121"/>
      <c r="AK201" s="121"/>
      <c r="AL201" s="121"/>
      <c r="AM201" s="121"/>
      <c r="AN201" s="143" t="s">
        <v>97</v>
      </c>
      <c r="AO201" s="119"/>
      <c r="AP201" s="119"/>
      <c r="AQ201" s="119"/>
      <c r="AR201" s="119"/>
      <c r="AS201" s="119"/>
    </row>
    <row r="202">
      <c r="A202" s="101">
        <v>847.0</v>
      </c>
      <c r="B202" s="103"/>
      <c r="C202" s="104" t="s">
        <v>1997</v>
      </c>
      <c r="D202" s="107" t="s">
        <v>91</v>
      </c>
      <c r="E202" s="107" t="s">
        <v>91</v>
      </c>
      <c r="F202" s="109"/>
      <c r="G202" s="10" t="s">
        <v>2003</v>
      </c>
      <c r="H202" s="582" t="s">
        <v>2004</v>
      </c>
      <c r="I202" s="316" t="s">
        <v>24</v>
      </c>
      <c r="J202" s="112"/>
      <c r="K202" s="113">
        <v>43951.0</v>
      </c>
      <c r="L202" s="113">
        <v>43961.0</v>
      </c>
      <c r="M202" s="24" t="s">
        <v>2009</v>
      </c>
      <c r="N202" s="24" t="s">
        <v>102</v>
      </c>
      <c r="O202" s="22" t="s">
        <v>27</v>
      </c>
      <c r="P202" s="22" t="s">
        <v>27</v>
      </c>
      <c r="Q202" s="223"/>
      <c r="R202" s="223"/>
      <c r="S202" s="224"/>
      <c r="T202" s="118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21"/>
      <c r="AI202" s="121"/>
      <c r="AJ202" s="121"/>
      <c r="AK202" s="121"/>
      <c r="AL202" s="121"/>
      <c r="AM202" s="121"/>
      <c r="AN202" s="119"/>
      <c r="AO202" s="119"/>
      <c r="AP202" s="119"/>
      <c r="AQ202" s="119"/>
      <c r="AR202" s="119"/>
      <c r="AS202" s="238" t="s">
        <v>97</v>
      </c>
    </row>
    <row r="203">
      <c r="A203" s="137">
        <v>148.0</v>
      </c>
      <c r="B203" s="150">
        <v>6.0</v>
      </c>
      <c r="C203" s="104" t="s">
        <v>2011</v>
      </c>
      <c r="D203" s="105" t="s">
        <v>64</v>
      </c>
      <c r="E203" s="107" t="s">
        <v>64</v>
      </c>
      <c r="F203" s="101"/>
      <c r="G203" s="40" t="s">
        <v>2015</v>
      </c>
      <c r="H203" s="55" t="s">
        <v>2016</v>
      </c>
      <c r="I203" s="69" t="s">
        <v>2017</v>
      </c>
      <c r="J203" s="155"/>
      <c r="K203" s="22" t="s">
        <v>27</v>
      </c>
      <c r="L203" s="22" t="s">
        <v>27</v>
      </c>
      <c r="M203" s="73" t="s">
        <v>230</v>
      </c>
      <c r="N203" s="73" t="s">
        <v>231</v>
      </c>
      <c r="O203" s="22" t="s">
        <v>27</v>
      </c>
      <c r="P203" s="22" t="s">
        <v>27</v>
      </c>
      <c r="Q203" s="22"/>
      <c r="R203" s="22"/>
      <c r="S203" s="117"/>
      <c r="T203" s="157"/>
      <c r="U203" s="161"/>
      <c r="V203" s="161"/>
      <c r="W203" s="161"/>
      <c r="X203" s="161"/>
      <c r="Y203" s="161"/>
      <c r="Z203" s="161"/>
      <c r="AA203" s="161"/>
      <c r="AB203" s="161"/>
      <c r="AC203" s="161"/>
      <c r="AD203" s="161"/>
      <c r="AE203" s="161"/>
      <c r="AF203" s="161"/>
      <c r="AG203" s="161"/>
      <c r="AH203" s="246" t="s">
        <v>97</v>
      </c>
      <c r="AI203" s="163"/>
      <c r="AJ203" s="163"/>
      <c r="AK203" s="163"/>
      <c r="AL203" s="163"/>
      <c r="AM203" s="163"/>
      <c r="AN203" s="161"/>
      <c r="AO203" s="161"/>
      <c r="AP203" s="161"/>
      <c r="AQ203" s="161"/>
      <c r="AR203" s="161"/>
      <c r="AS203" s="119"/>
    </row>
    <row r="204">
      <c r="A204" s="101">
        <v>149.0</v>
      </c>
      <c r="B204" s="292"/>
      <c r="C204" s="104" t="s">
        <v>2025</v>
      </c>
      <c r="D204" s="105" t="s">
        <v>48</v>
      </c>
      <c r="E204" s="107" t="s">
        <v>48</v>
      </c>
      <c r="F204" s="518"/>
      <c r="G204" s="153" t="s">
        <v>1282</v>
      </c>
      <c r="H204" s="81" t="s">
        <v>1283</v>
      </c>
      <c r="I204" s="158" t="s">
        <v>1287</v>
      </c>
      <c r="J204" s="20" t="s">
        <v>1288</v>
      </c>
      <c r="K204" s="37">
        <v>43893.0</v>
      </c>
      <c r="L204" s="37">
        <v>43905.0</v>
      </c>
      <c r="M204" s="73" t="s">
        <v>1289</v>
      </c>
      <c r="N204" s="73" t="s">
        <v>72</v>
      </c>
      <c r="O204" s="113">
        <v>43686.0</v>
      </c>
      <c r="P204" s="37">
        <v>43784.0</v>
      </c>
      <c r="Q204" s="200" t="s">
        <v>222</v>
      </c>
      <c r="R204" s="22"/>
      <c r="S204" s="117"/>
      <c r="T204" s="157"/>
      <c r="U204" s="293" t="s">
        <v>97</v>
      </c>
      <c r="V204" s="194"/>
      <c r="W204" s="194"/>
      <c r="X204" s="194"/>
      <c r="Y204" s="194"/>
      <c r="Z204" s="194"/>
      <c r="AA204" s="194"/>
      <c r="AB204" s="194"/>
      <c r="AC204" s="194"/>
      <c r="AD204" s="186"/>
      <c r="AE204" s="187"/>
      <c r="AF204" s="194"/>
      <c r="AG204" s="187"/>
      <c r="AH204" s="189"/>
      <c r="AI204" s="189"/>
      <c r="AJ204" s="189"/>
      <c r="AK204" s="189"/>
      <c r="AL204" s="189"/>
      <c r="AM204" s="189"/>
      <c r="AN204" s="187"/>
      <c r="AO204" s="187"/>
      <c r="AP204" s="194"/>
      <c r="AQ204" s="187"/>
      <c r="AR204" s="187"/>
      <c r="AS204" s="119"/>
    </row>
    <row r="205">
      <c r="A205" s="137">
        <v>150.0</v>
      </c>
      <c r="B205" s="177">
        <v>11.0</v>
      </c>
      <c r="C205" s="104" t="s">
        <v>2038</v>
      </c>
      <c r="D205" s="105" t="s">
        <v>48</v>
      </c>
      <c r="E205" s="107" t="s">
        <v>48</v>
      </c>
      <c r="F205" s="178"/>
      <c r="G205" s="77" t="s">
        <v>2043</v>
      </c>
      <c r="H205" s="81" t="s">
        <v>2047</v>
      </c>
      <c r="I205" s="84" t="s">
        <v>2057</v>
      </c>
      <c r="J205" s="155"/>
      <c r="K205" s="37">
        <v>44156.0</v>
      </c>
      <c r="L205" s="37">
        <v>44157.0</v>
      </c>
      <c r="M205" s="85" t="s">
        <v>2060</v>
      </c>
      <c r="N205" s="85" t="s">
        <v>102</v>
      </c>
      <c r="O205" s="37">
        <v>43997.0</v>
      </c>
      <c r="P205" s="37">
        <v>44048.0</v>
      </c>
      <c r="Q205" s="22"/>
      <c r="R205" s="22"/>
      <c r="S205" s="117"/>
      <c r="T205" s="181"/>
      <c r="U205" s="182" t="s">
        <v>97</v>
      </c>
      <c r="V205" s="184"/>
      <c r="W205" s="184"/>
      <c r="X205" s="184"/>
      <c r="Y205" s="184"/>
      <c r="Z205" s="184"/>
      <c r="AA205" s="184"/>
      <c r="AB205" s="184"/>
      <c r="AC205" s="184"/>
      <c r="AD205" s="186"/>
      <c r="AE205" s="187"/>
      <c r="AF205" s="184"/>
      <c r="AG205" s="187"/>
      <c r="AH205" s="189"/>
      <c r="AI205" s="189"/>
      <c r="AJ205" s="189"/>
      <c r="AK205" s="189"/>
      <c r="AL205" s="189"/>
      <c r="AM205" s="189"/>
      <c r="AN205" s="187"/>
      <c r="AO205" s="187"/>
      <c r="AP205" s="184"/>
      <c r="AQ205" s="187"/>
      <c r="AR205" s="187"/>
      <c r="AS205" s="119"/>
    </row>
    <row r="206">
      <c r="A206" s="137">
        <v>151.0</v>
      </c>
      <c r="B206" s="150">
        <v>4.0</v>
      </c>
      <c r="C206" s="104" t="s">
        <v>2061</v>
      </c>
      <c r="D206" s="105" t="s">
        <v>70</v>
      </c>
      <c r="E206" s="107" t="s">
        <v>70</v>
      </c>
      <c r="F206" s="101"/>
      <c r="G206" s="40" t="s">
        <v>2062</v>
      </c>
      <c r="H206" s="55" t="s">
        <v>2063</v>
      </c>
      <c r="I206" s="69" t="s">
        <v>2064</v>
      </c>
      <c r="J206" s="155"/>
      <c r="K206" s="37">
        <v>43959.0</v>
      </c>
      <c r="L206" s="37">
        <v>43961.0</v>
      </c>
      <c r="M206" s="73" t="s">
        <v>230</v>
      </c>
      <c r="N206" s="73" t="s">
        <v>231</v>
      </c>
      <c r="O206" s="37">
        <v>43868.0</v>
      </c>
      <c r="P206" s="37">
        <v>43896.0</v>
      </c>
      <c r="Q206" s="22"/>
      <c r="R206" s="22"/>
      <c r="S206" s="117"/>
      <c r="T206" s="157"/>
      <c r="U206" s="161"/>
      <c r="V206" s="161"/>
      <c r="W206" s="161"/>
      <c r="X206" s="161"/>
      <c r="Y206" s="161"/>
      <c r="Z206" s="161"/>
      <c r="AA206" s="161"/>
      <c r="AB206" s="161"/>
      <c r="AC206" s="161"/>
      <c r="AD206" s="161"/>
      <c r="AE206" s="161"/>
      <c r="AF206" s="161"/>
      <c r="AG206" s="161"/>
      <c r="AH206" s="163"/>
      <c r="AI206" s="163"/>
      <c r="AJ206" s="163"/>
      <c r="AK206" s="163"/>
      <c r="AL206" s="149" t="s">
        <v>97</v>
      </c>
      <c r="AM206" s="163"/>
      <c r="AN206" s="161"/>
      <c r="AO206" s="161"/>
      <c r="AP206" s="161"/>
      <c r="AQ206" s="161"/>
      <c r="AR206" s="161"/>
      <c r="AS206" s="119"/>
    </row>
    <row r="207">
      <c r="A207" s="101">
        <v>152.0</v>
      </c>
      <c r="B207" s="150"/>
      <c r="C207" s="104" t="s">
        <v>2065</v>
      </c>
      <c r="D207" s="105" t="s">
        <v>52</v>
      </c>
      <c r="E207" s="107" t="s">
        <v>52</v>
      </c>
      <c r="F207" s="101"/>
      <c r="G207" s="40" t="s">
        <v>2068</v>
      </c>
      <c r="H207" s="55" t="s">
        <v>2069</v>
      </c>
      <c r="I207" s="69" t="s">
        <v>2076</v>
      </c>
      <c r="J207" s="155"/>
      <c r="K207" s="37">
        <v>43924.0</v>
      </c>
      <c r="L207" s="37">
        <v>43925.0</v>
      </c>
      <c r="M207" s="73" t="s">
        <v>2082</v>
      </c>
      <c r="N207" s="73" t="s">
        <v>283</v>
      </c>
      <c r="O207" s="113">
        <v>43677.0</v>
      </c>
      <c r="P207" s="37">
        <v>43830.0</v>
      </c>
      <c r="Q207" s="22"/>
      <c r="R207" s="22"/>
      <c r="S207" s="117"/>
      <c r="T207" s="157"/>
      <c r="U207" s="161"/>
      <c r="V207" s="161"/>
      <c r="W207" s="120" t="s">
        <v>97</v>
      </c>
      <c r="X207" s="161"/>
      <c r="Y207" s="161"/>
      <c r="Z207" s="161"/>
      <c r="AA207" s="161"/>
      <c r="AB207" s="161"/>
      <c r="AC207" s="161"/>
      <c r="AD207" s="161"/>
      <c r="AE207" s="161"/>
      <c r="AF207" s="161"/>
      <c r="AG207" s="161"/>
      <c r="AH207" s="163"/>
      <c r="AI207" s="163"/>
      <c r="AJ207" s="163"/>
      <c r="AK207" s="163"/>
      <c r="AL207" s="163"/>
      <c r="AM207" s="163"/>
      <c r="AN207" s="161"/>
      <c r="AO207" s="161"/>
      <c r="AP207" s="161"/>
      <c r="AQ207" s="161"/>
      <c r="AR207" s="161"/>
      <c r="AS207" s="119"/>
    </row>
    <row r="208">
      <c r="A208" s="137">
        <v>153.0</v>
      </c>
      <c r="B208" s="292"/>
      <c r="C208" s="104" t="s">
        <v>2085</v>
      </c>
      <c r="D208" s="105" t="s">
        <v>48</v>
      </c>
      <c r="E208" s="107" t="s">
        <v>48</v>
      </c>
      <c r="F208" s="518"/>
      <c r="G208" s="153" t="s">
        <v>1086</v>
      </c>
      <c r="H208" s="81" t="s">
        <v>1087</v>
      </c>
      <c r="I208" s="158" t="s">
        <v>1089</v>
      </c>
      <c r="J208" s="20" t="s">
        <v>26</v>
      </c>
      <c r="K208" s="37">
        <v>43915.0</v>
      </c>
      <c r="L208" s="37">
        <v>43926.0</v>
      </c>
      <c r="M208" s="73" t="s">
        <v>1090</v>
      </c>
      <c r="N208" s="73" t="s">
        <v>622</v>
      </c>
      <c r="O208" s="113">
        <v>43677.0</v>
      </c>
      <c r="P208" s="37">
        <v>43819.0</v>
      </c>
      <c r="Q208" s="200" t="s">
        <v>222</v>
      </c>
      <c r="R208" s="200" t="s">
        <v>222</v>
      </c>
      <c r="S208" s="203" t="s">
        <v>97</v>
      </c>
      <c r="T208" s="157"/>
      <c r="U208" s="293" t="s">
        <v>97</v>
      </c>
      <c r="V208" s="194"/>
      <c r="W208" s="194"/>
      <c r="X208" s="194"/>
      <c r="Y208" s="194"/>
      <c r="Z208" s="194"/>
      <c r="AA208" s="194"/>
      <c r="AB208" s="194"/>
      <c r="AC208" s="194"/>
      <c r="AD208" s="186"/>
      <c r="AE208" s="187"/>
      <c r="AF208" s="194"/>
      <c r="AG208" s="187"/>
      <c r="AH208" s="189"/>
      <c r="AI208" s="189"/>
      <c r="AJ208" s="189"/>
      <c r="AK208" s="189"/>
      <c r="AL208" s="189"/>
      <c r="AM208" s="189"/>
      <c r="AN208" s="187"/>
      <c r="AO208" s="187"/>
      <c r="AP208" s="194"/>
      <c r="AQ208" s="187"/>
      <c r="AR208" s="187"/>
      <c r="AS208" s="119"/>
    </row>
    <row r="209">
      <c r="A209" s="137">
        <v>880.0</v>
      </c>
      <c r="B209" s="598"/>
      <c r="C209" s="130" t="s">
        <v>2104</v>
      </c>
      <c r="D209" s="226" t="s">
        <v>54</v>
      </c>
      <c r="E209" s="599" t="s">
        <v>2106</v>
      </c>
      <c r="F209" s="127"/>
      <c r="G209" s="128" t="s">
        <v>1047</v>
      </c>
      <c r="H209" s="278" t="s">
        <v>1048</v>
      </c>
      <c r="I209" s="280" t="s">
        <v>1052</v>
      </c>
      <c r="J209" s="93" t="s">
        <v>1054</v>
      </c>
      <c r="K209" s="282">
        <v>43937.0</v>
      </c>
      <c r="L209" s="282">
        <v>43940.0</v>
      </c>
      <c r="M209" s="130" t="s">
        <v>147</v>
      </c>
      <c r="N209" s="130" t="s">
        <v>148</v>
      </c>
      <c r="O209" s="282">
        <v>43753.0</v>
      </c>
      <c r="P209" s="282">
        <v>43845.0</v>
      </c>
      <c r="Q209" s="361"/>
      <c r="R209" s="361"/>
      <c r="S209" s="117"/>
      <c r="T209" s="265"/>
      <c r="U209" s="266"/>
      <c r="V209" s="266"/>
      <c r="W209" s="266"/>
      <c r="X209" s="602" t="s">
        <v>97</v>
      </c>
      <c r="Y209" s="603" t="s">
        <v>97</v>
      </c>
      <c r="Z209" s="266"/>
      <c r="AA209" s="266"/>
      <c r="AB209" s="266"/>
      <c r="AC209" s="266"/>
      <c r="AD209" s="266"/>
      <c r="AE209" s="266"/>
      <c r="AF209" s="266"/>
      <c r="AG209" s="266"/>
      <c r="AH209" s="266"/>
      <c r="AI209" s="266"/>
      <c r="AJ209" s="266"/>
      <c r="AK209" s="266"/>
      <c r="AL209" s="266"/>
      <c r="AM209" s="266"/>
      <c r="AN209" s="266"/>
      <c r="AO209" s="266"/>
      <c r="AP209" s="266"/>
      <c r="AQ209" s="266"/>
      <c r="AR209" s="266"/>
      <c r="AS209" s="119"/>
    </row>
    <row r="210">
      <c r="A210" s="137">
        <v>154.0</v>
      </c>
      <c r="B210" s="150"/>
      <c r="C210" s="104" t="s">
        <v>2121</v>
      </c>
      <c r="D210" s="105" t="s">
        <v>52</v>
      </c>
      <c r="E210" s="107" t="s">
        <v>52</v>
      </c>
      <c r="F210" s="101"/>
      <c r="G210" s="40" t="s">
        <v>2133</v>
      </c>
      <c r="H210" s="55" t="s">
        <v>2134</v>
      </c>
      <c r="I210" s="69" t="s">
        <v>2144</v>
      </c>
      <c r="J210" s="155"/>
      <c r="K210" s="37">
        <v>43896.0</v>
      </c>
      <c r="L210" s="37">
        <v>43897.0</v>
      </c>
      <c r="M210" s="73" t="s">
        <v>2152</v>
      </c>
      <c r="N210" s="73" t="s">
        <v>622</v>
      </c>
      <c r="O210" s="113">
        <v>43769.0</v>
      </c>
      <c r="P210" s="37">
        <v>43830.0</v>
      </c>
      <c r="Q210" s="22"/>
      <c r="R210" s="22"/>
      <c r="S210" s="117"/>
      <c r="T210" s="157"/>
      <c r="U210" s="161"/>
      <c r="V210" s="161"/>
      <c r="W210" s="120" t="s">
        <v>97</v>
      </c>
      <c r="X210" s="161"/>
      <c r="Y210" s="161"/>
      <c r="Z210" s="161"/>
      <c r="AA210" s="161"/>
      <c r="AB210" s="161"/>
      <c r="AC210" s="161"/>
      <c r="AD210" s="161"/>
      <c r="AE210" s="161"/>
      <c r="AF210" s="161"/>
      <c r="AG210" s="161"/>
      <c r="AH210" s="163"/>
      <c r="AI210" s="163"/>
      <c r="AJ210" s="163"/>
      <c r="AK210" s="163"/>
      <c r="AL210" s="163"/>
      <c r="AM210" s="163"/>
      <c r="AN210" s="161"/>
      <c r="AO210" s="161"/>
      <c r="AP210" s="161"/>
      <c r="AQ210" s="161"/>
      <c r="AR210" s="161"/>
      <c r="AS210" s="119"/>
    </row>
    <row r="211">
      <c r="A211" s="137">
        <v>155.0</v>
      </c>
      <c r="B211" s="197"/>
      <c r="C211" s="104" t="s">
        <v>2156</v>
      </c>
      <c r="D211" s="138" t="s">
        <v>75</v>
      </c>
      <c r="E211" s="107" t="s">
        <v>345</v>
      </c>
      <c r="F211" s="178"/>
      <c r="G211" s="77" t="s">
        <v>2166</v>
      </c>
      <c r="H211" s="81" t="s">
        <v>2169</v>
      </c>
      <c r="I211" s="34" t="s">
        <v>2173</v>
      </c>
      <c r="J211" s="155"/>
      <c r="K211" s="37">
        <v>43881.0</v>
      </c>
      <c r="L211" s="37">
        <v>43883.0</v>
      </c>
      <c r="M211" s="85" t="s">
        <v>2177</v>
      </c>
      <c r="N211" s="85" t="s">
        <v>110</v>
      </c>
      <c r="O211" s="114">
        <v>43708.0</v>
      </c>
      <c r="P211" s="114">
        <v>43779.0</v>
      </c>
      <c r="Q211" s="223"/>
      <c r="R211" s="223"/>
      <c r="S211" s="224"/>
      <c r="T211" s="181" t="s">
        <v>50</v>
      </c>
      <c r="U211" s="184"/>
      <c r="V211" s="184"/>
      <c r="W211" s="184"/>
      <c r="X211" s="184"/>
      <c r="Y211" s="184"/>
      <c r="Z211" s="184"/>
      <c r="AA211" s="184"/>
      <c r="AB211" s="184"/>
      <c r="AC211" s="184"/>
      <c r="AD211" s="186"/>
      <c r="AE211" s="187"/>
      <c r="AF211" s="184"/>
      <c r="AG211" s="187"/>
      <c r="AH211" s="189"/>
      <c r="AI211" s="189"/>
      <c r="AJ211" s="189"/>
      <c r="AK211" s="189"/>
      <c r="AL211" s="189"/>
      <c r="AM211" s="189"/>
      <c r="AN211" s="607" t="s">
        <v>97</v>
      </c>
      <c r="AO211" s="187"/>
      <c r="AP211" s="184"/>
      <c r="AQ211" s="187"/>
      <c r="AR211" s="187"/>
      <c r="AS211" s="119"/>
    </row>
    <row r="212">
      <c r="A212" s="101">
        <v>156.0</v>
      </c>
      <c r="B212" s="177"/>
      <c r="C212" s="104" t="s">
        <v>2183</v>
      </c>
      <c r="D212" s="105" t="s">
        <v>48</v>
      </c>
      <c r="E212" s="107" t="s">
        <v>48</v>
      </c>
      <c r="F212" s="178"/>
      <c r="G212" s="77" t="s">
        <v>2185</v>
      </c>
      <c r="H212" s="81" t="s">
        <v>2187</v>
      </c>
      <c r="I212" s="84" t="s">
        <v>2190</v>
      </c>
      <c r="J212" s="155"/>
      <c r="K212" s="37">
        <v>43938.0</v>
      </c>
      <c r="L212" s="37">
        <v>43939.0</v>
      </c>
      <c r="M212" s="85" t="s">
        <v>2194</v>
      </c>
      <c r="N212" s="85" t="s">
        <v>622</v>
      </c>
      <c r="O212" s="113">
        <v>43693.0</v>
      </c>
      <c r="P212" s="37">
        <v>43814.0</v>
      </c>
      <c r="Q212" s="22"/>
      <c r="R212" s="22"/>
      <c r="S212" s="117"/>
      <c r="T212" s="181"/>
      <c r="U212" s="182" t="s">
        <v>97</v>
      </c>
      <c r="V212" s="184"/>
      <c r="W212" s="184"/>
      <c r="X212" s="184"/>
      <c r="Y212" s="184"/>
      <c r="Z212" s="184"/>
      <c r="AA212" s="184"/>
      <c r="AB212" s="184"/>
      <c r="AC212" s="184"/>
      <c r="AD212" s="186"/>
      <c r="AE212" s="187"/>
      <c r="AF212" s="184"/>
      <c r="AG212" s="187"/>
      <c r="AH212" s="189"/>
      <c r="AI212" s="189"/>
      <c r="AJ212" s="189"/>
      <c r="AK212" s="189"/>
      <c r="AL212" s="189"/>
      <c r="AM212" s="189"/>
      <c r="AN212" s="187"/>
      <c r="AO212" s="187"/>
      <c r="AP212" s="184"/>
      <c r="AQ212" s="187"/>
      <c r="AR212" s="187"/>
      <c r="AS212" s="119"/>
    </row>
    <row r="213">
      <c r="A213" s="137">
        <v>157.0</v>
      </c>
      <c r="B213" s="173">
        <v>11.0</v>
      </c>
      <c r="C213" s="104" t="s">
        <v>2196</v>
      </c>
      <c r="D213" s="296" t="s">
        <v>55</v>
      </c>
      <c r="E213" s="297" t="s">
        <v>55</v>
      </c>
      <c r="F213" s="101"/>
      <c r="G213" s="40" t="s">
        <v>2197</v>
      </c>
      <c r="H213" s="55" t="s">
        <v>2198</v>
      </c>
      <c r="I213" s="289" t="s">
        <v>24</v>
      </c>
      <c r="J213" s="155"/>
      <c r="K213" s="22" t="s">
        <v>27</v>
      </c>
      <c r="L213" s="22" t="s">
        <v>27</v>
      </c>
      <c r="M213" s="290" t="s">
        <v>2194</v>
      </c>
      <c r="N213" s="290" t="s">
        <v>622</v>
      </c>
      <c r="O213" s="22" t="s">
        <v>27</v>
      </c>
      <c r="P213" s="22" t="s">
        <v>27</v>
      </c>
      <c r="Q213" s="348"/>
      <c r="R213" s="348"/>
      <c r="S213" s="224"/>
      <c r="T213" s="141"/>
      <c r="U213" s="119"/>
      <c r="V213" s="119"/>
      <c r="W213" s="119"/>
      <c r="X213" s="119"/>
      <c r="Y213" s="119"/>
      <c r="Z213" s="299" t="s">
        <v>97</v>
      </c>
      <c r="AA213" s="119"/>
      <c r="AB213" s="119"/>
      <c r="AC213" s="119"/>
      <c r="AD213" s="119"/>
      <c r="AE213" s="119"/>
      <c r="AF213" s="119"/>
      <c r="AG213" s="119"/>
      <c r="AH213" s="121"/>
      <c r="AI213" s="121"/>
      <c r="AJ213" s="121"/>
      <c r="AK213" s="121"/>
      <c r="AL213" s="121"/>
      <c r="AM213" s="121"/>
      <c r="AN213" s="119"/>
      <c r="AO213" s="119"/>
      <c r="AP213" s="119"/>
      <c r="AQ213" s="119"/>
      <c r="AR213" s="119"/>
      <c r="AS213" s="119"/>
    </row>
    <row r="214">
      <c r="A214" s="137">
        <v>158.0</v>
      </c>
      <c r="B214" s="150"/>
      <c r="C214" s="104" t="s">
        <v>2202</v>
      </c>
      <c r="D214" s="105" t="s">
        <v>52</v>
      </c>
      <c r="E214" s="107" t="s">
        <v>1139</v>
      </c>
      <c r="F214" s="101"/>
      <c r="G214" s="40" t="s">
        <v>2203</v>
      </c>
      <c r="H214" s="55" t="s">
        <v>2204</v>
      </c>
      <c r="I214" s="69" t="s">
        <v>2205</v>
      </c>
      <c r="J214" s="155"/>
      <c r="K214" s="37">
        <v>43973.0</v>
      </c>
      <c r="L214" s="37">
        <v>43975.0</v>
      </c>
      <c r="M214" s="73" t="s">
        <v>387</v>
      </c>
      <c r="N214" s="73" t="s">
        <v>102</v>
      </c>
      <c r="O214" s="113" t="s">
        <v>24</v>
      </c>
      <c r="P214" s="37" t="s">
        <v>24</v>
      </c>
      <c r="Q214" s="22"/>
      <c r="R214" s="22"/>
      <c r="S214" s="117"/>
      <c r="T214" s="157"/>
      <c r="U214" s="161"/>
      <c r="V214" s="161"/>
      <c r="W214" s="120" t="s">
        <v>97</v>
      </c>
      <c r="X214" s="161"/>
      <c r="Y214" s="161"/>
      <c r="Z214" s="161"/>
      <c r="AA214" s="161"/>
      <c r="AB214" s="161"/>
      <c r="AC214" s="161"/>
      <c r="AD214" s="161"/>
      <c r="AE214" s="161"/>
      <c r="AF214" s="161"/>
      <c r="AG214" s="161"/>
      <c r="AH214" s="163"/>
      <c r="AI214" s="163"/>
      <c r="AJ214" s="163"/>
      <c r="AK214" s="163"/>
      <c r="AL214" s="163"/>
      <c r="AM214" s="165" t="s">
        <v>97</v>
      </c>
      <c r="AN214" s="161"/>
      <c r="AO214" s="161"/>
      <c r="AP214" s="161"/>
      <c r="AQ214" s="161"/>
      <c r="AR214" s="161"/>
      <c r="AS214" s="119"/>
    </row>
    <row r="215">
      <c r="A215" s="101">
        <v>159.0</v>
      </c>
      <c r="B215" s="150"/>
      <c r="C215" s="104" t="s">
        <v>2212</v>
      </c>
      <c r="D215" s="138" t="s">
        <v>71</v>
      </c>
      <c r="E215" s="107" t="s">
        <v>71</v>
      </c>
      <c r="F215" s="101"/>
      <c r="G215" s="40" t="s">
        <v>2217</v>
      </c>
      <c r="H215" s="55" t="s">
        <v>2218</v>
      </c>
      <c r="I215" s="69" t="s">
        <v>2225</v>
      </c>
      <c r="J215" s="155"/>
      <c r="K215" s="37">
        <v>43875.0</v>
      </c>
      <c r="L215" s="37">
        <v>43878.0</v>
      </c>
      <c r="M215" s="73" t="s">
        <v>2230</v>
      </c>
      <c r="N215" s="73" t="s">
        <v>72</v>
      </c>
      <c r="O215" s="113">
        <v>43708.0</v>
      </c>
      <c r="P215" s="37">
        <v>43708.0</v>
      </c>
      <c r="Q215" s="22"/>
      <c r="R215" s="22"/>
      <c r="S215" s="117"/>
      <c r="T215" s="157"/>
      <c r="U215" s="161"/>
      <c r="V215" s="161"/>
      <c r="W215" s="161"/>
      <c r="X215" s="161"/>
      <c r="Y215" s="161"/>
      <c r="Z215" s="161"/>
      <c r="AA215" s="161"/>
      <c r="AB215" s="161"/>
      <c r="AC215" s="161"/>
      <c r="AD215" s="161"/>
      <c r="AE215" s="161"/>
      <c r="AF215" s="161"/>
      <c r="AG215" s="161"/>
      <c r="AH215" s="163"/>
      <c r="AI215" s="163"/>
      <c r="AJ215" s="163"/>
      <c r="AK215" s="163"/>
      <c r="AL215" s="163"/>
      <c r="AM215" s="165" t="s">
        <v>97</v>
      </c>
      <c r="AN215" s="161"/>
      <c r="AO215" s="161"/>
      <c r="AP215" s="161"/>
      <c r="AQ215" s="161"/>
      <c r="AR215" s="161"/>
      <c r="AS215" s="119"/>
    </row>
    <row r="216">
      <c r="A216" s="137">
        <v>975.0</v>
      </c>
      <c r="B216" s="284"/>
      <c r="C216" s="123" t="s">
        <v>2234</v>
      </c>
      <c r="D216" s="138" t="s">
        <v>63</v>
      </c>
      <c r="E216" s="138" t="s">
        <v>63</v>
      </c>
      <c r="F216" s="127"/>
      <c r="G216" s="128" t="s">
        <v>2235</v>
      </c>
      <c r="H216" s="89" t="s">
        <v>2236</v>
      </c>
      <c r="I216" s="91" t="str">
        <f>HYPERLINK("https://filmfreeway.com/ConNoogaFilmFest","https://filmfreeway.com/ConNoogaFilmFest")</f>
        <v>https://filmfreeway.com/ConNoogaFilmFest</v>
      </c>
      <c r="J216" s="288"/>
      <c r="K216" s="145">
        <v>43882.0</v>
      </c>
      <c r="L216" s="145">
        <v>43884.0</v>
      </c>
      <c r="M216" s="130" t="s">
        <v>455</v>
      </c>
      <c r="N216" s="130" t="s">
        <v>303</v>
      </c>
      <c r="O216" s="145">
        <v>43678.0</v>
      </c>
      <c r="P216" s="145">
        <v>43800.0</v>
      </c>
      <c r="Q216" s="131"/>
      <c r="R216" s="132"/>
      <c r="S216" s="132"/>
      <c r="T216" s="118"/>
      <c r="U216" s="119"/>
      <c r="V216" s="119"/>
      <c r="W216" s="119"/>
      <c r="X216" s="119"/>
      <c r="Y216" s="134"/>
      <c r="Z216" s="119"/>
      <c r="AA216" s="119"/>
      <c r="AB216" s="119"/>
      <c r="AC216" s="119"/>
      <c r="AD216" s="119"/>
      <c r="AE216" s="119"/>
      <c r="AF216" s="119"/>
      <c r="AG216" s="275" t="s">
        <v>97</v>
      </c>
      <c r="AH216" s="121"/>
      <c r="AI216" s="121"/>
      <c r="AJ216" s="121"/>
      <c r="AK216" s="121"/>
      <c r="AL216" s="121"/>
      <c r="AM216" s="135"/>
      <c r="AN216" s="119"/>
      <c r="AO216" s="119"/>
      <c r="AP216" s="119"/>
      <c r="AQ216" s="119"/>
      <c r="AR216" s="119"/>
      <c r="AS216" s="119"/>
    </row>
    <row r="217">
      <c r="A217" s="137">
        <v>160.0</v>
      </c>
      <c r="B217" s="173"/>
      <c r="C217" s="104" t="s">
        <v>2250</v>
      </c>
      <c r="D217" s="138" t="s">
        <v>63</v>
      </c>
      <c r="E217" s="107" t="s">
        <v>550</v>
      </c>
      <c r="F217" s="101"/>
      <c r="G217" s="40" t="s">
        <v>2252</v>
      </c>
      <c r="H217" s="55" t="s">
        <v>2254</v>
      </c>
      <c r="I217" s="175" t="s">
        <v>2261</v>
      </c>
      <c r="J217" s="155"/>
      <c r="K217" s="37">
        <v>43980.0</v>
      </c>
      <c r="L217" s="37">
        <v>43982.0</v>
      </c>
      <c r="M217" s="73" t="s">
        <v>187</v>
      </c>
      <c r="N217" s="73" t="s">
        <v>159</v>
      </c>
      <c r="O217" s="113">
        <v>43830.0</v>
      </c>
      <c r="P217" s="37">
        <v>43924.0</v>
      </c>
      <c r="Q217" s="22"/>
      <c r="R217" s="22"/>
      <c r="S217" s="117"/>
      <c r="T217" s="157"/>
      <c r="U217" s="161"/>
      <c r="V217" s="161"/>
      <c r="W217" s="120" t="s">
        <v>97</v>
      </c>
      <c r="X217" s="161"/>
      <c r="Y217" s="161"/>
      <c r="Z217" s="161"/>
      <c r="AA217" s="161"/>
      <c r="AB217" s="161"/>
      <c r="AC217" s="161"/>
      <c r="AD217" s="161"/>
      <c r="AE217" s="161"/>
      <c r="AF217" s="161"/>
      <c r="AG217" s="275" t="s">
        <v>97</v>
      </c>
      <c r="AH217" s="163"/>
      <c r="AI217" s="163"/>
      <c r="AJ217" s="163"/>
      <c r="AK217" s="163"/>
      <c r="AL217" s="163"/>
      <c r="AM217" s="163"/>
      <c r="AN217" s="161"/>
      <c r="AO217" s="161"/>
      <c r="AP217" s="161"/>
      <c r="AQ217" s="161"/>
      <c r="AR217" s="161"/>
      <c r="AS217" s="119"/>
    </row>
    <row r="218">
      <c r="A218" s="137">
        <v>161.0</v>
      </c>
      <c r="B218" s="177"/>
      <c r="C218" s="104" t="s">
        <v>2277</v>
      </c>
      <c r="D218" s="105" t="s">
        <v>48</v>
      </c>
      <c r="E218" s="107" t="s">
        <v>48</v>
      </c>
      <c r="F218" s="178"/>
      <c r="G218" s="77" t="s">
        <v>2278</v>
      </c>
      <c r="H218" s="81" t="s">
        <v>2279</v>
      </c>
      <c r="I218" s="84" t="s">
        <v>2280</v>
      </c>
      <c r="J218" s="155"/>
      <c r="K218" s="37">
        <v>44085.0</v>
      </c>
      <c r="L218" s="37">
        <v>44087.0</v>
      </c>
      <c r="M218" s="85" t="s">
        <v>28</v>
      </c>
      <c r="N218" s="85" t="s">
        <v>29</v>
      </c>
      <c r="O218" s="113">
        <v>43833.0</v>
      </c>
      <c r="P218" s="37">
        <v>44008.0</v>
      </c>
      <c r="Q218" s="22"/>
      <c r="R218" s="22"/>
      <c r="S218" s="117"/>
      <c r="T218" s="181"/>
      <c r="U218" s="182" t="s">
        <v>97</v>
      </c>
      <c r="V218" s="184"/>
      <c r="W218" s="184"/>
      <c r="X218" s="184"/>
      <c r="Y218" s="184"/>
      <c r="Z218" s="184"/>
      <c r="AA218" s="184"/>
      <c r="AB218" s="184"/>
      <c r="AC218" s="184"/>
      <c r="AD218" s="186"/>
      <c r="AE218" s="187"/>
      <c r="AF218" s="184"/>
      <c r="AG218" s="187"/>
      <c r="AH218" s="189"/>
      <c r="AI218" s="189"/>
      <c r="AJ218" s="189"/>
      <c r="AK218" s="189"/>
      <c r="AL218" s="189"/>
      <c r="AM218" s="189"/>
      <c r="AN218" s="187"/>
      <c r="AO218" s="187"/>
      <c r="AP218" s="184"/>
      <c r="AQ218" s="187"/>
      <c r="AR218" s="187"/>
      <c r="AS218" s="119"/>
    </row>
    <row r="219">
      <c r="A219" s="101">
        <v>162.0</v>
      </c>
      <c r="B219" s="177"/>
      <c r="C219" s="104" t="s">
        <v>2281</v>
      </c>
      <c r="D219" s="226" t="s">
        <v>54</v>
      </c>
      <c r="E219" s="227" t="s">
        <v>54</v>
      </c>
      <c r="F219" s="178"/>
      <c r="G219" s="77" t="s">
        <v>2282</v>
      </c>
      <c r="H219" s="81" t="s">
        <v>2283</v>
      </c>
      <c r="I219" s="175" t="s">
        <v>2284</v>
      </c>
      <c r="J219" s="155"/>
      <c r="K219" s="37">
        <v>43980.0</v>
      </c>
      <c r="L219" s="37">
        <v>43988.0</v>
      </c>
      <c r="M219" s="85" t="s">
        <v>2285</v>
      </c>
      <c r="N219" s="85" t="s">
        <v>339</v>
      </c>
      <c r="O219" s="113">
        <v>43845.0</v>
      </c>
      <c r="P219" s="37">
        <v>43891.0</v>
      </c>
      <c r="Q219" s="22"/>
      <c r="R219" s="22"/>
      <c r="S219" s="117"/>
      <c r="T219" s="181"/>
      <c r="U219" s="184"/>
      <c r="V219" s="184"/>
      <c r="W219" s="184"/>
      <c r="X219" s="184"/>
      <c r="Y219" s="233" t="s">
        <v>97</v>
      </c>
      <c r="Z219" s="184"/>
      <c r="AA219" s="184"/>
      <c r="AB219" s="184"/>
      <c r="AC219" s="184"/>
      <c r="AD219" s="186"/>
      <c r="AE219" s="187"/>
      <c r="AF219" s="184"/>
      <c r="AG219" s="187"/>
      <c r="AH219" s="189"/>
      <c r="AI219" s="189"/>
      <c r="AJ219" s="189"/>
      <c r="AK219" s="189"/>
      <c r="AL219" s="189"/>
      <c r="AM219" s="189"/>
      <c r="AN219" s="187"/>
      <c r="AO219" s="187"/>
      <c r="AP219" s="184"/>
      <c r="AQ219" s="187"/>
      <c r="AR219" s="187"/>
      <c r="AS219" s="119"/>
    </row>
    <row r="220">
      <c r="A220" s="137">
        <v>163.0</v>
      </c>
      <c r="B220" s="150"/>
      <c r="C220" s="104" t="s">
        <v>2286</v>
      </c>
      <c r="D220" s="105" t="s">
        <v>52</v>
      </c>
      <c r="E220" s="107" t="s">
        <v>52</v>
      </c>
      <c r="F220" s="101"/>
      <c r="G220" s="40" t="s">
        <v>2287</v>
      </c>
      <c r="H220" s="55" t="s">
        <v>2288</v>
      </c>
      <c r="I220" s="69" t="s">
        <v>2289</v>
      </c>
      <c r="J220" s="155"/>
      <c r="K220" s="37">
        <v>44142.0</v>
      </c>
      <c r="L220" s="37">
        <v>44143.0</v>
      </c>
      <c r="M220" s="73" t="s">
        <v>2290</v>
      </c>
      <c r="N220" s="73" t="s">
        <v>179</v>
      </c>
      <c r="O220" s="113">
        <v>43769.0</v>
      </c>
      <c r="P220" s="37">
        <v>44043.0</v>
      </c>
      <c r="Q220" s="22"/>
      <c r="R220" s="22"/>
      <c r="S220" s="117"/>
      <c r="T220" s="157"/>
      <c r="U220" s="161"/>
      <c r="V220" s="161"/>
      <c r="W220" s="120" t="s">
        <v>97</v>
      </c>
      <c r="X220" s="161"/>
      <c r="Y220" s="161"/>
      <c r="Z220" s="161"/>
      <c r="AA220" s="161"/>
      <c r="AB220" s="161"/>
      <c r="AC220" s="161"/>
      <c r="AD220" s="161"/>
      <c r="AE220" s="161"/>
      <c r="AF220" s="161"/>
      <c r="AG220" s="161"/>
      <c r="AH220" s="163"/>
      <c r="AI220" s="163"/>
      <c r="AJ220" s="163"/>
      <c r="AK220" s="163"/>
      <c r="AL220" s="163"/>
      <c r="AM220" s="163"/>
      <c r="AN220" s="161"/>
      <c r="AO220" s="161"/>
      <c r="AP220" s="161"/>
      <c r="AQ220" s="161"/>
      <c r="AR220" s="161"/>
      <c r="AS220" s="119"/>
    </row>
    <row r="221">
      <c r="A221" s="137">
        <v>164.0</v>
      </c>
      <c r="B221" s="150"/>
      <c r="C221" s="104" t="s">
        <v>2291</v>
      </c>
      <c r="D221" s="105" t="s">
        <v>48</v>
      </c>
      <c r="E221" s="107" t="s">
        <v>48</v>
      </c>
      <c r="F221" s="101"/>
      <c r="G221" s="40" t="s">
        <v>2292</v>
      </c>
      <c r="H221" s="55" t="s">
        <v>2293</v>
      </c>
      <c r="I221" s="69" t="s">
        <v>2294</v>
      </c>
      <c r="J221" s="155"/>
      <c r="K221" s="37">
        <v>44035.0</v>
      </c>
      <c r="L221" s="37">
        <v>44038.0</v>
      </c>
      <c r="M221" s="73" t="s">
        <v>2295</v>
      </c>
      <c r="N221" s="73" t="s">
        <v>148</v>
      </c>
      <c r="O221" s="113">
        <v>43753.0</v>
      </c>
      <c r="P221" s="37">
        <v>43982.0</v>
      </c>
      <c r="Q221" s="22"/>
      <c r="R221" s="22"/>
      <c r="S221" s="193" t="s">
        <v>97</v>
      </c>
      <c r="T221" s="157"/>
      <c r="U221" s="176" t="s">
        <v>97</v>
      </c>
      <c r="V221" s="161"/>
      <c r="W221" s="161"/>
      <c r="X221" s="161"/>
      <c r="Y221" s="161"/>
      <c r="Z221" s="161"/>
      <c r="AA221" s="161"/>
      <c r="AB221" s="161"/>
      <c r="AC221" s="161"/>
      <c r="AD221" s="161"/>
      <c r="AE221" s="161"/>
      <c r="AF221" s="161"/>
      <c r="AG221" s="161"/>
      <c r="AH221" s="163"/>
      <c r="AI221" s="163"/>
      <c r="AJ221" s="163"/>
      <c r="AK221" s="163"/>
      <c r="AL221" s="163"/>
      <c r="AM221" s="163"/>
      <c r="AN221" s="161"/>
      <c r="AO221" s="161"/>
      <c r="AP221" s="161"/>
      <c r="AQ221" s="161"/>
      <c r="AR221" s="161"/>
      <c r="AS221" s="119"/>
    </row>
    <row r="222">
      <c r="A222" s="101">
        <v>165.0</v>
      </c>
      <c r="B222" s="150"/>
      <c r="C222" s="104" t="s">
        <v>2296</v>
      </c>
      <c r="D222" s="105" t="s">
        <v>48</v>
      </c>
      <c r="E222" s="107" t="s">
        <v>48</v>
      </c>
      <c r="F222" s="101"/>
      <c r="G222" s="40" t="s">
        <v>2297</v>
      </c>
      <c r="H222" s="55" t="s">
        <v>2298</v>
      </c>
      <c r="I222" s="69" t="s">
        <v>2299</v>
      </c>
      <c r="J222" s="155"/>
      <c r="K222" s="37">
        <v>44000.0</v>
      </c>
      <c r="L222" s="37">
        <v>44003.0</v>
      </c>
      <c r="M222" s="73" t="s">
        <v>2300</v>
      </c>
      <c r="N222" s="73" t="s">
        <v>670</v>
      </c>
      <c r="O222" s="113">
        <v>43723.0</v>
      </c>
      <c r="P222" s="37">
        <v>43921.0</v>
      </c>
      <c r="Q222" s="22"/>
      <c r="R222" s="22"/>
      <c r="S222" s="117"/>
      <c r="T222" s="157"/>
      <c r="U222" s="176" t="s">
        <v>97</v>
      </c>
      <c r="V222" s="161"/>
      <c r="W222" s="161"/>
      <c r="X222" s="161"/>
      <c r="Y222" s="161"/>
      <c r="Z222" s="161"/>
      <c r="AA222" s="161"/>
      <c r="AB222" s="161"/>
      <c r="AC222" s="161"/>
      <c r="AD222" s="161"/>
      <c r="AE222" s="161"/>
      <c r="AF222" s="161"/>
      <c r="AG222" s="161"/>
      <c r="AH222" s="163"/>
      <c r="AI222" s="163"/>
      <c r="AJ222" s="163"/>
      <c r="AK222" s="163"/>
      <c r="AL222" s="163"/>
      <c r="AM222" s="163"/>
      <c r="AN222" s="161"/>
      <c r="AO222" s="161"/>
      <c r="AP222" s="161"/>
      <c r="AQ222" s="161"/>
      <c r="AR222" s="161"/>
      <c r="AS222" s="119"/>
    </row>
    <row r="223">
      <c r="A223" s="137">
        <v>949.0</v>
      </c>
      <c r="B223" s="284"/>
      <c r="C223" s="123" t="s">
        <v>2301</v>
      </c>
      <c r="D223" s="124" t="s">
        <v>53</v>
      </c>
      <c r="E223" s="126" t="s">
        <v>53</v>
      </c>
      <c r="F223" s="144"/>
      <c r="G223" s="87" t="s">
        <v>2302</v>
      </c>
      <c r="H223" s="259" t="s">
        <v>2303</v>
      </c>
      <c r="I223" s="91" t="str">
        <f>HYPERLINK("https://filmfreeway.com/COVENFilmFestival","https://filmfreeway.com/COVENFilmFestival")</f>
        <v>https://filmfreeway.com/COVENFilmFestival</v>
      </c>
      <c r="J223" s="288"/>
      <c r="K223" s="145">
        <v>43840.0</v>
      </c>
      <c r="L223" s="145">
        <v>43842.0</v>
      </c>
      <c r="M223" s="130" t="s">
        <v>399</v>
      </c>
      <c r="N223" s="130" t="s">
        <v>72</v>
      </c>
      <c r="O223" s="145">
        <v>43682.0</v>
      </c>
      <c r="P223" s="145">
        <v>43766.0</v>
      </c>
      <c r="Q223" s="131"/>
      <c r="R223" s="132"/>
      <c r="S223" s="148" t="s">
        <v>97</v>
      </c>
      <c r="T223" s="118"/>
      <c r="U223" s="119"/>
      <c r="V223" s="119"/>
      <c r="W223" s="119"/>
      <c r="X223" s="401" t="s">
        <v>97</v>
      </c>
      <c r="Y223" s="134"/>
      <c r="Z223" s="119"/>
      <c r="AA223" s="119"/>
      <c r="AB223" s="119"/>
      <c r="AC223" s="119"/>
      <c r="AD223" s="119"/>
      <c r="AE223" s="119"/>
      <c r="AF223" s="119"/>
      <c r="AG223" s="119"/>
      <c r="AH223" s="121"/>
      <c r="AI223" s="121"/>
      <c r="AJ223" s="121"/>
      <c r="AK223" s="121"/>
      <c r="AL223" s="121"/>
      <c r="AM223" s="135"/>
      <c r="AN223" s="119"/>
      <c r="AO223" s="119"/>
      <c r="AP223" s="119"/>
      <c r="AQ223" s="119"/>
      <c r="AR223" s="119"/>
      <c r="AS223" s="119"/>
    </row>
    <row r="224">
      <c r="A224" s="137">
        <v>166.0</v>
      </c>
      <c r="B224" s="177"/>
      <c r="C224" s="104" t="s">
        <v>2304</v>
      </c>
      <c r="D224" s="105" t="s">
        <v>48</v>
      </c>
      <c r="E224" s="107" t="s">
        <v>48</v>
      </c>
      <c r="F224" s="178"/>
      <c r="G224" s="77" t="s">
        <v>2305</v>
      </c>
      <c r="H224" s="81" t="s">
        <v>2306</v>
      </c>
      <c r="I224" s="84" t="s">
        <v>2307</v>
      </c>
      <c r="J224" s="155"/>
      <c r="K224" s="37">
        <v>44098.0</v>
      </c>
      <c r="L224" s="37">
        <v>44101.0</v>
      </c>
      <c r="M224" s="85" t="s">
        <v>2308</v>
      </c>
      <c r="N224" s="85" t="s">
        <v>110</v>
      </c>
      <c r="O224" s="37">
        <v>43831.0</v>
      </c>
      <c r="P224" s="37">
        <v>43931.0</v>
      </c>
      <c r="Q224" s="22"/>
      <c r="R224" s="22"/>
      <c r="S224" s="193" t="s">
        <v>97</v>
      </c>
      <c r="T224" s="181"/>
      <c r="U224" s="182" t="s">
        <v>97</v>
      </c>
      <c r="V224" s="184"/>
      <c r="W224" s="184"/>
      <c r="X224" s="184"/>
      <c r="Y224" s="184"/>
      <c r="Z224" s="184"/>
      <c r="AA224" s="184"/>
      <c r="AB224" s="184"/>
      <c r="AC224" s="184"/>
      <c r="AD224" s="186"/>
      <c r="AE224" s="187"/>
      <c r="AF224" s="184"/>
      <c r="AG224" s="187"/>
      <c r="AH224" s="189"/>
      <c r="AI224" s="189"/>
      <c r="AJ224" s="189"/>
      <c r="AK224" s="189"/>
      <c r="AL224" s="189"/>
      <c r="AM224" s="189"/>
      <c r="AN224" s="187"/>
      <c r="AO224" s="187"/>
      <c r="AP224" s="184"/>
      <c r="AQ224" s="187"/>
      <c r="AR224" s="187"/>
      <c r="AS224" s="119"/>
    </row>
    <row r="225">
      <c r="A225" s="137">
        <v>167.0</v>
      </c>
      <c r="B225" s="150"/>
      <c r="C225" s="104" t="s">
        <v>2309</v>
      </c>
      <c r="D225" s="105" t="s">
        <v>64</v>
      </c>
      <c r="E225" s="107" t="s">
        <v>64</v>
      </c>
      <c r="F225" s="101"/>
      <c r="G225" s="40" t="s">
        <v>2310</v>
      </c>
      <c r="H225" s="55" t="s">
        <v>2311</v>
      </c>
      <c r="I225" s="69" t="s">
        <v>2312</v>
      </c>
      <c r="J225" s="155"/>
      <c r="K225" s="37">
        <v>43973.0</v>
      </c>
      <c r="L225" s="37">
        <v>43975.0</v>
      </c>
      <c r="M225" s="73" t="s">
        <v>2313</v>
      </c>
      <c r="N225" s="73" t="s">
        <v>489</v>
      </c>
      <c r="O225" s="113">
        <v>43646.0</v>
      </c>
      <c r="P225" s="37">
        <v>43922.0</v>
      </c>
      <c r="Q225" s="22"/>
      <c r="R225" s="22"/>
      <c r="S225" s="117"/>
      <c r="T225" s="157"/>
      <c r="U225" s="161"/>
      <c r="V225" s="161"/>
      <c r="W225" s="161"/>
      <c r="X225" s="161"/>
      <c r="Y225" s="161"/>
      <c r="Z225" s="161"/>
      <c r="AA225" s="161"/>
      <c r="AB225" s="161"/>
      <c r="AC225" s="161"/>
      <c r="AD225" s="161"/>
      <c r="AE225" s="161"/>
      <c r="AF225" s="161"/>
      <c r="AG225" s="161"/>
      <c r="AH225" s="246" t="s">
        <v>97</v>
      </c>
      <c r="AI225" s="163"/>
      <c r="AJ225" s="163"/>
      <c r="AK225" s="163"/>
      <c r="AL225" s="163"/>
      <c r="AM225" s="163"/>
      <c r="AN225" s="161"/>
      <c r="AO225" s="161"/>
      <c r="AP225" s="161"/>
      <c r="AQ225" s="161"/>
      <c r="AR225" s="161"/>
      <c r="AS225" s="119"/>
    </row>
    <row r="226">
      <c r="A226" s="101">
        <v>1007.0</v>
      </c>
      <c r="B226" s="173">
        <v>6.0</v>
      </c>
      <c r="C226" s="104" t="s">
        <v>2314</v>
      </c>
      <c r="D226" s="107" t="s">
        <v>91</v>
      </c>
      <c r="E226" s="107" t="s">
        <v>91</v>
      </c>
      <c r="F226" s="101"/>
      <c r="G226" s="40" t="s">
        <v>1775</v>
      </c>
      <c r="H226" s="234" t="s">
        <v>2315</v>
      </c>
      <c r="I226" s="582" t="s">
        <v>2315</v>
      </c>
      <c r="J226" s="155"/>
      <c r="K226" s="22" t="s">
        <v>27</v>
      </c>
      <c r="L226" s="22" t="s">
        <v>27</v>
      </c>
      <c r="M226" s="73" t="s">
        <v>399</v>
      </c>
      <c r="N226" s="179" t="s">
        <v>72</v>
      </c>
      <c r="O226" s="22" t="s">
        <v>27</v>
      </c>
      <c r="P226" s="22" t="s">
        <v>27</v>
      </c>
      <c r="Q226" s="22"/>
      <c r="R226" s="22"/>
      <c r="S226" s="117"/>
      <c r="T226" s="236"/>
      <c r="U226" s="161"/>
      <c r="V226" s="161"/>
      <c r="W226" s="161"/>
      <c r="X226" s="161"/>
      <c r="Y226" s="161"/>
      <c r="Z226" s="161"/>
      <c r="AA226" s="161"/>
      <c r="AB226" s="161"/>
      <c r="AC226" s="161"/>
      <c r="AD226" s="161"/>
      <c r="AE226" s="161"/>
      <c r="AF226" s="161"/>
      <c r="AG226" s="237"/>
      <c r="AH226" s="163"/>
      <c r="AI226" s="163"/>
      <c r="AJ226" s="163"/>
      <c r="AK226" s="163"/>
      <c r="AL226" s="163"/>
      <c r="AM226" s="163"/>
      <c r="AN226" s="161"/>
      <c r="AO226" s="161"/>
      <c r="AP226" s="161"/>
      <c r="AQ226" s="161"/>
      <c r="AR226" s="161"/>
      <c r="AS226" s="238" t="s">
        <v>97</v>
      </c>
    </row>
    <row r="227">
      <c r="A227" s="101">
        <v>168.0</v>
      </c>
      <c r="B227" s="177"/>
      <c r="C227" s="104" t="s">
        <v>2316</v>
      </c>
      <c r="D227" s="105" t="s">
        <v>48</v>
      </c>
      <c r="E227" s="107" t="s">
        <v>48</v>
      </c>
      <c r="F227" s="178"/>
      <c r="G227" s="77" t="s">
        <v>2317</v>
      </c>
      <c r="H227" s="81" t="s">
        <v>2318</v>
      </c>
      <c r="I227" s="84" t="s">
        <v>2319</v>
      </c>
      <c r="J227" s="155"/>
      <c r="K227" s="37">
        <v>44140.0</v>
      </c>
      <c r="L227" s="37">
        <v>44143.0</v>
      </c>
      <c r="M227" s="85" t="s">
        <v>897</v>
      </c>
      <c r="N227" s="85" t="s">
        <v>405</v>
      </c>
      <c r="O227" s="113">
        <v>43678.0</v>
      </c>
      <c r="P227" s="37">
        <v>43882.0</v>
      </c>
      <c r="Q227" s="22"/>
      <c r="R227" s="22"/>
      <c r="S227" s="117"/>
      <c r="T227" s="181"/>
      <c r="U227" s="182" t="s">
        <v>97</v>
      </c>
      <c r="V227" s="184"/>
      <c r="W227" s="184"/>
      <c r="X227" s="184"/>
      <c r="Y227" s="184"/>
      <c r="Z227" s="184"/>
      <c r="AA227" s="184"/>
      <c r="AB227" s="184"/>
      <c r="AC227" s="184"/>
      <c r="AD227" s="186"/>
      <c r="AE227" s="187"/>
      <c r="AF227" s="184"/>
      <c r="AG227" s="187"/>
      <c r="AH227" s="189"/>
      <c r="AI227" s="189"/>
      <c r="AJ227" s="189"/>
      <c r="AK227" s="189"/>
      <c r="AL227" s="189"/>
      <c r="AM227" s="189"/>
      <c r="AN227" s="187"/>
      <c r="AO227" s="187"/>
      <c r="AP227" s="184"/>
      <c r="AQ227" s="413"/>
      <c r="AR227" s="187"/>
      <c r="AS227" s="119"/>
    </row>
    <row r="228">
      <c r="A228" s="137">
        <v>169.0</v>
      </c>
      <c r="B228" s="150"/>
      <c r="C228" s="104" t="s">
        <v>2320</v>
      </c>
      <c r="D228" s="105" t="s">
        <v>52</v>
      </c>
      <c r="E228" s="107" t="s">
        <v>52</v>
      </c>
      <c r="F228" s="101"/>
      <c r="G228" s="40" t="s">
        <v>2321</v>
      </c>
      <c r="H228" s="55" t="s">
        <v>2322</v>
      </c>
      <c r="I228" s="69" t="s">
        <v>2323</v>
      </c>
      <c r="J228" s="155"/>
      <c r="K228" s="37">
        <v>44119.0</v>
      </c>
      <c r="L228" s="37">
        <v>44121.0</v>
      </c>
      <c r="M228" s="73" t="s">
        <v>28</v>
      </c>
      <c r="N228" s="73" t="s">
        <v>29</v>
      </c>
      <c r="O228" s="113">
        <v>43983.0</v>
      </c>
      <c r="P228" s="37">
        <v>43983.0</v>
      </c>
      <c r="Q228" s="22"/>
      <c r="R228" s="22"/>
      <c r="S228" s="117"/>
      <c r="T228" s="157"/>
      <c r="U228" s="161"/>
      <c r="V228" s="161"/>
      <c r="W228" s="120" t="s">
        <v>97</v>
      </c>
      <c r="X228" s="161"/>
      <c r="Y228" s="161"/>
      <c r="Z228" s="161"/>
      <c r="AA228" s="161"/>
      <c r="AB228" s="161"/>
      <c r="AC228" s="161"/>
      <c r="AD228" s="161"/>
      <c r="AE228" s="161"/>
      <c r="AF228" s="161"/>
      <c r="AG228" s="161"/>
      <c r="AH228" s="163"/>
      <c r="AI228" s="163"/>
      <c r="AJ228" s="163"/>
      <c r="AK228" s="163"/>
      <c r="AL228" s="163"/>
      <c r="AM228" s="163"/>
      <c r="AN228" s="161"/>
      <c r="AO228" s="161"/>
      <c r="AP228" s="161"/>
      <c r="AQ228" s="161"/>
      <c r="AR228" s="161"/>
      <c r="AS228" s="119"/>
    </row>
    <row r="229">
      <c r="A229" s="137">
        <v>170.0</v>
      </c>
      <c r="B229" s="150"/>
      <c r="C229" s="104" t="s">
        <v>2324</v>
      </c>
      <c r="D229" s="105" t="s">
        <v>64</v>
      </c>
      <c r="E229" s="107" t="s">
        <v>64</v>
      </c>
      <c r="F229" s="101"/>
      <c r="G229" s="40" t="s">
        <v>2325</v>
      </c>
      <c r="H229" s="55" t="s">
        <v>2326</v>
      </c>
      <c r="I229" s="69" t="s">
        <v>2327</v>
      </c>
      <c r="J229" s="155"/>
      <c r="K229" s="37">
        <v>43952.0</v>
      </c>
      <c r="L229" s="37">
        <v>43954.0</v>
      </c>
      <c r="M229" s="174" t="s">
        <v>250</v>
      </c>
      <c r="N229" s="73" t="s">
        <v>251</v>
      </c>
      <c r="O229" s="113">
        <v>43834.0</v>
      </c>
      <c r="P229" s="37">
        <v>43897.0</v>
      </c>
      <c r="Q229" s="22"/>
      <c r="R229" s="22"/>
      <c r="S229" s="117"/>
      <c r="T229" s="157"/>
      <c r="U229" s="161"/>
      <c r="V229" s="161"/>
      <c r="W229" s="161"/>
      <c r="X229" s="161"/>
      <c r="Y229" s="161"/>
      <c r="Z229" s="161"/>
      <c r="AA229" s="161"/>
      <c r="AB229" s="161"/>
      <c r="AC229" s="161"/>
      <c r="AD229" s="161"/>
      <c r="AE229" s="161"/>
      <c r="AF229" s="161"/>
      <c r="AG229" s="161"/>
      <c r="AH229" s="246" t="s">
        <v>97</v>
      </c>
      <c r="AI229" s="163"/>
      <c r="AJ229" s="163"/>
      <c r="AK229" s="163"/>
      <c r="AL229" s="163"/>
      <c r="AM229" s="163"/>
      <c r="AN229" s="161"/>
      <c r="AO229" s="161"/>
      <c r="AP229" s="161"/>
      <c r="AQ229" s="161"/>
      <c r="AR229" s="161"/>
      <c r="AS229" s="119"/>
    </row>
    <row r="230">
      <c r="A230" s="101">
        <v>171.0</v>
      </c>
      <c r="B230" s="177">
        <v>11.0</v>
      </c>
      <c r="C230" s="104" t="s">
        <v>2328</v>
      </c>
      <c r="D230" s="105" t="s">
        <v>48</v>
      </c>
      <c r="E230" s="107" t="s">
        <v>48</v>
      </c>
      <c r="F230" s="178"/>
      <c r="G230" s="77" t="s">
        <v>2329</v>
      </c>
      <c r="H230" s="81" t="s">
        <v>2330</v>
      </c>
      <c r="I230" s="84" t="s">
        <v>2331</v>
      </c>
      <c r="J230" s="155"/>
      <c r="K230" s="22" t="s">
        <v>27</v>
      </c>
      <c r="L230" s="22" t="s">
        <v>27</v>
      </c>
      <c r="M230" s="85" t="s">
        <v>1537</v>
      </c>
      <c r="N230" s="85" t="s">
        <v>159</v>
      </c>
      <c r="O230" s="22" t="s">
        <v>27</v>
      </c>
      <c r="P230" s="22" t="s">
        <v>27</v>
      </c>
      <c r="Q230" s="22"/>
      <c r="R230" s="22"/>
      <c r="S230" s="193" t="s">
        <v>97</v>
      </c>
      <c r="T230" s="181"/>
      <c r="U230" s="182" t="s">
        <v>97</v>
      </c>
      <c r="V230" s="184"/>
      <c r="W230" s="184"/>
      <c r="X230" s="184"/>
      <c r="Y230" s="184"/>
      <c r="Z230" s="184"/>
      <c r="AA230" s="184"/>
      <c r="AB230" s="184"/>
      <c r="AC230" s="184"/>
      <c r="AD230" s="186"/>
      <c r="AE230" s="187"/>
      <c r="AF230" s="184"/>
      <c r="AG230" s="187"/>
      <c r="AH230" s="189"/>
      <c r="AI230" s="189"/>
      <c r="AJ230" s="189"/>
      <c r="AK230" s="189"/>
      <c r="AL230" s="189"/>
      <c r="AM230" s="189"/>
      <c r="AN230" s="187"/>
      <c r="AO230" s="187"/>
      <c r="AP230" s="184"/>
      <c r="AQ230" s="187"/>
      <c r="AR230" s="187"/>
      <c r="AS230" s="119"/>
    </row>
    <row r="231">
      <c r="A231" s="137">
        <v>172.0</v>
      </c>
      <c r="B231" s="150"/>
      <c r="C231" s="104" t="s">
        <v>2332</v>
      </c>
      <c r="D231" s="105" t="s">
        <v>52</v>
      </c>
      <c r="E231" s="107" t="s">
        <v>52</v>
      </c>
      <c r="F231" s="101"/>
      <c r="G231" s="40" t="s">
        <v>2333</v>
      </c>
      <c r="H231" s="55" t="s">
        <v>2334</v>
      </c>
      <c r="I231" s="69" t="s">
        <v>2335</v>
      </c>
      <c r="J231" s="155"/>
      <c r="K231" s="37">
        <v>43863.0</v>
      </c>
      <c r="L231" s="37">
        <v>43865.0</v>
      </c>
      <c r="M231" s="73" t="s">
        <v>2336</v>
      </c>
      <c r="N231" s="73" t="s">
        <v>1271</v>
      </c>
      <c r="O231" s="113">
        <v>43723.0</v>
      </c>
      <c r="P231" s="37">
        <v>43876.0</v>
      </c>
      <c r="Q231" s="22"/>
      <c r="R231" s="22"/>
      <c r="S231" s="117"/>
      <c r="T231" s="157"/>
      <c r="U231" s="161"/>
      <c r="V231" s="161"/>
      <c r="W231" s="120" t="s">
        <v>97</v>
      </c>
      <c r="X231" s="161"/>
      <c r="Y231" s="161"/>
      <c r="Z231" s="161"/>
      <c r="AA231" s="161"/>
      <c r="AB231" s="161"/>
      <c r="AC231" s="161"/>
      <c r="AD231" s="161"/>
      <c r="AE231" s="161"/>
      <c r="AF231" s="161"/>
      <c r="AG231" s="161"/>
      <c r="AH231" s="163"/>
      <c r="AI231" s="163"/>
      <c r="AJ231" s="163"/>
      <c r="AK231" s="163"/>
      <c r="AL231" s="163"/>
      <c r="AM231" s="163"/>
      <c r="AN231" s="161"/>
      <c r="AO231" s="161"/>
      <c r="AP231" s="161"/>
      <c r="AQ231" s="161"/>
      <c r="AR231" s="161"/>
      <c r="AS231" s="119"/>
    </row>
    <row r="232">
      <c r="A232" s="137">
        <v>173.0</v>
      </c>
      <c r="B232" s="177"/>
      <c r="C232" s="104" t="s">
        <v>2337</v>
      </c>
      <c r="D232" s="105" t="s">
        <v>48</v>
      </c>
      <c r="E232" s="107" t="s">
        <v>48</v>
      </c>
      <c r="F232" s="178"/>
      <c r="G232" s="77" t="s">
        <v>457</v>
      </c>
      <c r="H232" s="250" t="s">
        <v>461</v>
      </c>
      <c r="I232" s="84" t="s">
        <v>463</v>
      </c>
      <c r="J232" s="20" t="s">
        <v>464</v>
      </c>
      <c r="K232" s="37">
        <v>43937.0</v>
      </c>
      <c r="L232" s="113">
        <v>43944.0</v>
      </c>
      <c r="M232" s="85" t="s">
        <v>268</v>
      </c>
      <c r="N232" s="85" t="s">
        <v>102</v>
      </c>
      <c r="O232" s="113">
        <v>43774.0</v>
      </c>
      <c r="P232" s="113">
        <v>43839.0</v>
      </c>
      <c r="Q232" s="535"/>
      <c r="R232" s="535"/>
      <c r="S232" s="117"/>
      <c r="T232" s="181"/>
      <c r="U232" s="182" t="s">
        <v>97</v>
      </c>
      <c r="V232" s="184"/>
      <c r="W232" s="184"/>
      <c r="X232" s="184"/>
      <c r="Y232" s="184"/>
      <c r="Z232" s="184"/>
      <c r="AA232" s="184"/>
      <c r="AB232" s="184"/>
      <c r="AC232" s="184"/>
      <c r="AD232" s="186"/>
      <c r="AE232" s="187"/>
      <c r="AF232" s="184"/>
      <c r="AG232" s="187"/>
      <c r="AH232" s="189"/>
      <c r="AI232" s="189"/>
      <c r="AJ232" s="189"/>
      <c r="AK232" s="189"/>
      <c r="AL232" s="189"/>
      <c r="AM232" s="189"/>
      <c r="AN232" s="187"/>
      <c r="AO232" s="187"/>
      <c r="AP232" s="184"/>
      <c r="AQ232" s="187"/>
      <c r="AR232" s="187"/>
      <c r="AS232" s="119"/>
    </row>
    <row r="233">
      <c r="A233" s="101">
        <v>174.0</v>
      </c>
      <c r="B233" s="150"/>
      <c r="C233" s="104" t="s">
        <v>2338</v>
      </c>
      <c r="D233" s="105" t="s">
        <v>48</v>
      </c>
      <c r="E233" s="107" t="s">
        <v>48</v>
      </c>
      <c r="F233" s="101"/>
      <c r="G233" s="40" t="s">
        <v>2023</v>
      </c>
      <c r="H233" s="55" t="s">
        <v>2339</v>
      </c>
      <c r="I233" s="69" t="s">
        <v>2340</v>
      </c>
      <c r="J233" s="155"/>
      <c r="K233" s="37">
        <v>43868.0</v>
      </c>
      <c r="L233" s="37">
        <v>43871.0</v>
      </c>
      <c r="M233" s="174" t="s">
        <v>268</v>
      </c>
      <c r="N233" s="73" t="s">
        <v>102</v>
      </c>
      <c r="O233" s="113">
        <v>43659.0</v>
      </c>
      <c r="P233" s="37">
        <v>43774.0</v>
      </c>
      <c r="Q233" s="22"/>
      <c r="R233" s="22"/>
      <c r="S233" s="193" t="s">
        <v>97</v>
      </c>
      <c r="T233" s="157"/>
      <c r="U233" s="176" t="s">
        <v>97</v>
      </c>
      <c r="V233" s="161"/>
      <c r="W233" s="161"/>
      <c r="X233" s="161"/>
      <c r="Y233" s="161"/>
      <c r="Z233" s="161"/>
      <c r="AA233" s="161"/>
      <c r="AB233" s="161"/>
      <c r="AC233" s="161"/>
      <c r="AD233" s="161"/>
      <c r="AE233" s="161"/>
      <c r="AF233" s="161"/>
      <c r="AG233" s="161"/>
      <c r="AH233" s="163"/>
      <c r="AI233" s="163"/>
      <c r="AJ233" s="163"/>
      <c r="AK233" s="163"/>
      <c r="AL233" s="163"/>
      <c r="AM233" s="163"/>
      <c r="AN233" s="161"/>
      <c r="AO233" s="161"/>
      <c r="AP233" s="161"/>
      <c r="AQ233" s="161"/>
      <c r="AR233" s="161"/>
      <c r="AS233" s="119"/>
    </row>
    <row r="234">
      <c r="A234" s="137">
        <v>1013.0</v>
      </c>
      <c r="B234" s="173"/>
      <c r="C234" s="337" t="s">
        <v>2341</v>
      </c>
      <c r="D234" s="622" t="s">
        <v>51</v>
      </c>
      <c r="E234" s="622" t="s">
        <v>51</v>
      </c>
      <c r="F234" s="101"/>
      <c r="G234" s="256" t="s">
        <v>1937</v>
      </c>
      <c r="H234" s="89" t="s">
        <v>2342</v>
      </c>
      <c r="I234" s="259" t="s">
        <v>2342</v>
      </c>
      <c r="J234" s="288"/>
      <c r="K234" s="284" t="s">
        <v>27</v>
      </c>
      <c r="L234" s="284" t="s">
        <v>27</v>
      </c>
      <c r="M234" s="254" t="s">
        <v>268</v>
      </c>
      <c r="N234" s="254" t="s">
        <v>102</v>
      </c>
      <c r="O234" s="284" t="s">
        <v>27</v>
      </c>
      <c r="P234" s="284" t="s">
        <v>27</v>
      </c>
      <c r="Q234" s="132"/>
      <c r="R234" s="132"/>
      <c r="S234" s="132"/>
      <c r="T234" s="236"/>
      <c r="U234" s="161"/>
      <c r="V234" s="536" t="s">
        <v>97</v>
      </c>
      <c r="W234" s="161"/>
      <c r="X234" s="161"/>
      <c r="Y234" s="161"/>
      <c r="Z234" s="161"/>
      <c r="AA234" s="161"/>
      <c r="AB234" s="161"/>
      <c r="AC234" s="161"/>
      <c r="AD234" s="161"/>
      <c r="AE234" s="161"/>
      <c r="AF234" s="161"/>
      <c r="AG234" s="237"/>
      <c r="AH234" s="163"/>
      <c r="AI234" s="163"/>
      <c r="AJ234" s="163"/>
      <c r="AK234" s="163"/>
      <c r="AL234" s="163"/>
      <c r="AM234" s="163"/>
      <c r="AN234" s="161"/>
      <c r="AO234" s="161"/>
      <c r="AP234" s="161"/>
      <c r="AQ234" s="161"/>
      <c r="AR234" s="161"/>
      <c r="AS234" s="119"/>
    </row>
    <row r="235">
      <c r="A235" s="137">
        <v>175.0</v>
      </c>
      <c r="B235" s="177"/>
      <c r="C235" s="104" t="s">
        <v>2343</v>
      </c>
      <c r="D235" s="105" t="s">
        <v>52</v>
      </c>
      <c r="E235" s="107" t="s">
        <v>52</v>
      </c>
      <c r="F235" s="178"/>
      <c r="G235" s="77" t="s">
        <v>2344</v>
      </c>
      <c r="H235" s="81" t="s">
        <v>2345</v>
      </c>
      <c r="I235" s="84" t="s">
        <v>2346</v>
      </c>
      <c r="J235" s="155"/>
      <c r="K235" s="37">
        <v>43874.0</v>
      </c>
      <c r="L235" s="37">
        <v>43877.0</v>
      </c>
      <c r="M235" s="85" t="s">
        <v>2347</v>
      </c>
      <c r="N235" s="85" t="s">
        <v>148</v>
      </c>
      <c r="O235" s="113">
        <v>43598.0</v>
      </c>
      <c r="P235" s="37">
        <v>43770.0</v>
      </c>
      <c r="Q235" s="22"/>
      <c r="R235" s="22"/>
      <c r="S235" s="117"/>
      <c r="T235" s="181"/>
      <c r="U235" s="184"/>
      <c r="V235" s="184"/>
      <c r="W235" s="319" t="s">
        <v>97</v>
      </c>
      <c r="X235" s="184"/>
      <c r="Y235" s="184"/>
      <c r="Z235" s="184"/>
      <c r="AA235" s="184"/>
      <c r="AB235" s="184"/>
      <c r="AC235" s="184"/>
      <c r="AD235" s="186"/>
      <c r="AE235" s="187"/>
      <c r="AF235" s="184"/>
      <c r="AG235" s="187"/>
      <c r="AH235" s="189"/>
      <c r="AI235" s="189"/>
      <c r="AJ235" s="189"/>
      <c r="AK235" s="189"/>
      <c r="AL235" s="189"/>
      <c r="AM235" s="189"/>
      <c r="AN235" s="187"/>
      <c r="AO235" s="187"/>
      <c r="AP235" s="184"/>
      <c r="AQ235" s="187"/>
      <c r="AR235" s="187"/>
      <c r="AS235" s="119"/>
    </row>
    <row r="236">
      <c r="A236" s="137">
        <v>176.0</v>
      </c>
      <c r="B236" s="150"/>
      <c r="C236" s="104" t="s">
        <v>2348</v>
      </c>
      <c r="D236" s="226" t="s">
        <v>54</v>
      </c>
      <c r="E236" s="227" t="s">
        <v>54</v>
      </c>
      <c r="F236" s="101"/>
      <c r="G236" s="40" t="s">
        <v>2349</v>
      </c>
      <c r="H236" s="55" t="s">
        <v>2350</v>
      </c>
      <c r="I236" s="69" t="s">
        <v>2351</v>
      </c>
      <c r="J236" s="155"/>
      <c r="K236" s="37">
        <v>44022.0</v>
      </c>
      <c r="L236" s="37">
        <v>44024.0</v>
      </c>
      <c r="M236" s="174" t="s">
        <v>966</v>
      </c>
      <c r="N236" s="73" t="s">
        <v>967</v>
      </c>
      <c r="O236" s="113">
        <v>43970.0</v>
      </c>
      <c r="P236" s="37">
        <v>43970.0</v>
      </c>
      <c r="Q236" s="22"/>
      <c r="R236" s="22"/>
      <c r="S236" s="117"/>
      <c r="T236" s="157"/>
      <c r="U236" s="161"/>
      <c r="V236" s="161"/>
      <c r="W236" s="161"/>
      <c r="X236" s="161"/>
      <c r="Y236" s="374" t="s">
        <v>97</v>
      </c>
      <c r="Z236" s="161"/>
      <c r="AA236" s="161"/>
      <c r="AB236" s="161"/>
      <c r="AC236" s="161"/>
      <c r="AD236" s="161"/>
      <c r="AE236" s="161"/>
      <c r="AF236" s="161"/>
      <c r="AG236" s="161"/>
      <c r="AH236" s="163"/>
      <c r="AI236" s="163"/>
      <c r="AJ236" s="163"/>
      <c r="AK236" s="163"/>
      <c r="AL236" s="163"/>
      <c r="AM236" s="163"/>
      <c r="AN236" s="161"/>
      <c r="AO236" s="161"/>
      <c r="AP236" s="161"/>
      <c r="AQ236" s="161"/>
      <c r="AR236" s="161"/>
      <c r="AS236" s="119"/>
    </row>
    <row r="237">
      <c r="A237" s="137">
        <v>177.0</v>
      </c>
      <c r="B237" s="150"/>
      <c r="C237" s="104" t="s">
        <v>2352</v>
      </c>
      <c r="D237" s="105" t="s">
        <v>89</v>
      </c>
      <c r="E237" s="107" t="s">
        <v>89</v>
      </c>
      <c r="F237" s="101"/>
      <c r="G237" s="40" t="s">
        <v>2353</v>
      </c>
      <c r="H237" s="55" t="s">
        <v>2354</v>
      </c>
      <c r="I237" s="69" t="s">
        <v>2355</v>
      </c>
      <c r="J237" s="155"/>
      <c r="K237" s="37">
        <v>43839.0</v>
      </c>
      <c r="L237" s="37">
        <v>43842.0</v>
      </c>
      <c r="M237" s="73" t="s">
        <v>221</v>
      </c>
      <c r="N237" s="73" t="s">
        <v>72</v>
      </c>
      <c r="O237" s="113">
        <v>43662.0</v>
      </c>
      <c r="P237" s="113">
        <v>43756.0</v>
      </c>
      <c r="Q237" s="535"/>
      <c r="R237" s="535"/>
      <c r="S237" s="117"/>
      <c r="T237" s="157"/>
      <c r="U237" s="161"/>
      <c r="V237" s="161"/>
      <c r="W237" s="161"/>
      <c r="X237" s="161"/>
      <c r="Y237" s="161"/>
      <c r="Z237" s="161"/>
      <c r="AA237" s="161"/>
      <c r="AB237" s="161"/>
      <c r="AC237" s="161"/>
      <c r="AD237" s="161"/>
      <c r="AE237" s="161"/>
      <c r="AF237" s="161"/>
      <c r="AG237" s="161"/>
      <c r="AH237" s="163"/>
      <c r="AI237" s="163"/>
      <c r="AJ237" s="163"/>
      <c r="AK237" s="163"/>
      <c r="AL237" s="163"/>
      <c r="AM237" s="163"/>
      <c r="AN237" s="161"/>
      <c r="AO237" s="161"/>
      <c r="AP237" s="161"/>
      <c r="AQ237" s="172" t="s">
        <v>97</v>
      </c>
      <c r="AR237" s="161"/>
      <c r="AS237" s="119"/>
    </row>
    <row r="238">
      <c r="A238" s="137">
        <v>1005.0</v>
      </c>
      <c r="B238" s="284"/>
      <c r="C238" s="123" t="s">
        <v>2356</v>
      </c>
      <c r="D238" s="285" t="s">
        <v>89</v>
      </c>
      <c r="E238" s="287" t="s">
        <v>89</v>
      </c>
      <c r="F238" s="312"/>
      <c r="G238" s="216" t="s">
        <v>2357</v>
      </c>
      <c r="H238" s="89" t="s">
        <v>2358</v>
      </c>
      <c r="I238" s="91" t="str">
        <f>HYPERLINK("https://filmfreeway.com/DanceonCameraFestival","https://filmfreeway.com/DanceonCameraFestival")</f>
        <v>https://filmfreeway.com/DanceonCameraFestival</v>
      </c>
      <c r="J238" s="288"/>
      <c r="K238" s="145">
        <v>44029.0</v>
      </c>
      <c r="L238" s="145">
        <v>44032.0</v>
      </c>
      <c r="M238" s="130" t="s">
        <v>196</v>
      </c>
      <c r="N238" s="130" t="s">
        <v>29</v>
      </c>
      <c r="O238" s="145">
        <v>43831.0</v>
      </c>
      <c r="P238" s="145">
        <v>43922.0</v>
      </c>
      <c r="Q238" s="131"/>
      <c r="R238" s="132"/>
      <c r="S238" s="132"/>
      <c r="T238" s="118"/>
      <c r="U238" s="119"/>
      <c r="V238" s="119"/>
      <c r="W238" s="119"/>
      <c r="X238" s="119"/>
      <c r="Y238" s="134"/>
      <c r="Z238" s="119"/>
      <c r="AA238" s="119"/>
      <c r="AB238" s="119"/>
      <c r="AC238" s="119"/>
      <c r="AD238" s="119"/>
      <c r="AE238" s="119"/>
      <c r="AF238" s="119"/>
      <c r="AG238" s="119"/>
      <c r="AH238" s="121"/>
      <c r="AI238" s="121"/>
      <c r="AJ238" s="121"/>
      <c r="AK238" s="121"/>
      <c r="AL238" s="121"/>
      <c r="AM238" s="135"/>
      <c r="AN238" s="119"/>
      <c r="AO238" s="119"/>
      <c r="AP238" s="119"/>
      <c r="AQ238" s="172" t="s">
        <v>97</v>
      </c>
      <c r="AR238" s="119"/>
      <c r="AS238" s="119"/>
    </row>
    <row r="239">
      <c r="A239" s="101">
        <v>178.0</v>
      </c>
      <c r="B239" s="150"/>
      <c r="C239" s="104" t="s">
        <v>2359</v>
      </c>
      <c r="D239" s="105" t="s">
        <v>48</v>
      </c>
      <c r="E239" s="107" t="s">
        <v>48</v>
      </c>
      <c r="F239" s="101"/>
      <c r="G239" s="40" t="s">
        <v>2360</v>
      </c>
      <c r="H239" s="55" t="s">
        <v>2361</v>
      </c>
      <c r="I239" s="69" t="s">
        <v>2362</v>
      </c>
      <c r="J239" s="344"/>
      <c r="K239" s="152">
        <v>43993.0</v>
      </c>
      <c r="L239" s="152">
        <v>44003.0</v>
      </c>
      <c r="M239" s="290" t="s">
        <v>221</v>
      </c>
      <c r="N239" s="290" t="s">
        <v>72</v>
      </c>
      <c r="O239" s="114">
        <v>43796.0</v>
      </c>
      <c r="P239" s="152">
        <v>43915.0</v>
      </c>
      <c r="Q239" s="345"/>
      <c r="R239" s="345"/>
      <c r="S239" s="117"/>
      <c r="T239" s="141"/>
      <c r="U239" s="176" t="s">
        <v>97</v>
      </c>
      <c r="V239" s="119"/>
      <c r="W239" s="119"/>
      <c r="X239" s="119"/>
      <c r="Y239" s="119"/>
      <c r="Z239" s="119"/>
      <c r="AA239" s="119"/>
      <c r="AB239" s="119"/>
      <c r="AC239" s="119"/>
      <c r="AD239" s="623"/>
      <c r="AE239" s="119"/>
      <c r="AF239" s="119"/>
      <c r="AG239" s="119"/>
      <c r="AH239" s="121"/>
      <c r="AI239" s="121"/>
      <c r="AJ239" s="121"/>
      <c r="AK239" s="121"/>
      <c r="AL239" s="121"/>
      <c r="AM239" s="121"/>
      <c r="AN239" s="119"/>
      <c r="AO239" s="119"/>
      <c r="AP239" s="119"/>
      <c r="AQ239" s="119"/>
      <c r="AR239" s="119"/>
      <c r="AS239" s="119"/>
    </row>
    <row r="240">
      <c r="A240" s="137">
        <v>179.0</v>
      </c>
      <c r="B240" s="150"/>
      <c r="C240" s="104" t="s">
        <v>2363</v>
      </c>
      <c r="D240" s="105" t="s">
        <v>52</v>
      </c>
      <c r="E240" s="107" t="s">
        <v>2364</v>
      </c>
      <c r="F240" s="101"/>
      <c r="G240" s="40" t="s">
        <v>2365</v>
      </c>
      <c r="H240" s="55" t="s">
        <v>2366</v>
      </c>
      <c r="I240" s="69" t="s">
        <v>2367</v>
      </c>
      <c r="J240" s="155"/>
      <c r="K240" s="37">
        <v>43974.0</v>
      </c>
      <c r="L240" s="37">
        <v>43974.0</v>
      </c>
      <c r="M240" s="73" t="s">
        <v>2368</v>
      </c>
      <c r="N240" s="73" t="s">
        <v>72</v>
      </c>
      <c r="O240" s="113">
        <v>43780.0</v>
      </c>
      <c r="P240" s="37">
        <v>43780.0</v>
      </c>
      <c r="Q240" s="22"/>
      <c r="R240" s="22"/>
      <c r="S240" s="117"/>
      <c r="T240" s="157"/>
      <c r="U240" s="161"/>
      <c r="V240" s="161"/>
      <c r="W240" s="120" t="s">
        <v>97</v>
      </c>
      <c r="X240" s="161"/>
      <c r="Y240" s="161"/>
      <c r="Z240" s="161"/>
      <c r="AA240" s="161"/>
      <c r="AB240" s="161"/>
      <c r="AC240" s="161"/>
      <c r="AD240" s="161"/>
      <c r="AE240" s="161"/>
      <c r="AF240" s="161"/>
      <c r="AG240" s="161"/>
      <c r="AH240" s="163"/>
      <c r="AI240" s="163"/>
      <c r="AJ240" s="163"/>
      <c r="AK240" s="163"/>
      <c r="AL240" s="163"/>
      <c r="AM240" s="163"/>
      <c r="AN240" s="161"/>
      <c r="AO240" s="351" t="s">
        <v>97</v>
      </c>
      <c r="AP240" s="161"/>
      <c r="AQ240" s="161"/>
      <c r="AR240" s="161"/>
      <c r="AS240" s="119"/>
    </row>
    <row r="241">
      <c r="A241" s="137">
        <v>899.0</v>
      </c>
      <c r="B241" s="284"/>
      <c r="C241" s="123" t="s">
        <v>2369</v>
      </c>
      <c r="D241" s="285" t="s">
        <v>48</v>
      </c>
      <c r="E241" s="287" t="s">
        <v>48</v>
      </c>
      <c r="F241" s="312"/>
      <c r="G241" s="216" t="s">
        <v>2370</v>
      </c>
      <c r="H241" s="89" t="s">
        <v>2371</v>
      </c>
      <c r="I241" s="91" t="str">
        <f>HYPERLINK("https://filmfreeway.com/DavisFilmFestival","https://filmfreeway.com/DavisFilmFestival")</f>
        <v>https://filmfreeway.com/DavisFilmFestival</v>
      </c>
      <c r="J241" s="288"/>
      <c r="K241" s="145">
        <v>43926.0</v>
      </c>
      <c r="L241" s="145">
        <v>43926.0</v>
      </c>
      <c r="M241" s="130" t="s">
        <v>2368</v>
      </c>
      <c r="N241" s="130" t="s">
        <v>72</v>
      </c>
      <c r="O241" s="145">
        <v>43692.0</v>
      </c>
      <c r="P241" s="145">
        <v>43876.0</v>
      </c>
      <c r="Q241" s="131"/>
      <c r="R241" s="132"/>
      <c r="S241" s="132"/>
      <c r="T241" s="118"/>
      <c r="U241" s="176" t="s">
        <v>97</v>
      </c>
      <c r="V241" s="119"/>
      <c r="W241" s="119"/>
      <c r="X241" s="119"/>
      <c r="Y241" s="134"/>
      <c r="Z241" s="119"/>
      <c r="AA241" s="119"/>
      <c r="AB241" s="119"/>
      <c r="AC241" s="119"/>
      <c r="AD241" s="119"/>
      <c r="AE241" s="119"/>
      <c r="AF241" s="119"/>
      <c r="AG241" s="119"/>
      <c r="AH241" s="121"/>
      <c r="AI241" s="121"/>
      <c r="AJ241" s="121"/>
      <c r="AK241" s="121"/>
      <c r="AL241" s="121"/>
      <c r="AM241" s="135"/>
      <c r="AN241" s="119"/>
      <c r="AO241" s="119"/>
      <c r="AP241" s="119"/>
      <c r="AQ241" s="119"/>
      <c r="AR241" s="119"/>
      <c r="AS241" s="119"/>
    </row>
    <row r="242">
      <c r="A242" s="137">
        <v>180.0</v>
      </c>
      <c r="B242" s="173">
        <v>6.0</v>
      </c>
      <c r="C242" s="104" t="s">
        <v>2372</v>
      </c>
      <c r="D242" s="296" t="s">
        <v>55</v>
      </c>
      <c r="E242" s="297" t="s">
        <v>55</v>
      </c>
      <c r="F242" s="101"/>
      <c r="G242" s="40" t="s">
        <v>2373</v>
      </c>
      <c r="H242" s="55" t="s">
        <v>2374</v>
      </c>
      <c r="I242" s="289" t="s">
        <v>24</v>
      </c>
      <c r="J242" s="260"/>
      <c r="K242" s="282">
        <v>43991.0</v>
      </c>
      <c r="L242" s="282">
        <v>44012.0</v>
      </c>
      <c r="M242" s="290" t="s">
        <v>2375</v>
      </c>
      <c r="N242" s="290" t="s">
        <v>622</v>
      </c>
      <c r="O242" s="201" t="s">
        <v>24</v>
      </c>
      <c r="P242" s="201" t="s">
        <v>24</v>
      </c>
      <c r="Q242" s="201"/>
      <c r="R242" s="201"/>
      <c r="S242" s="224"/>
      <c r="T242" s="141"/>
      <c r="U242" s="119"/>
      <c r="V242" s="119"/>
      <c r="W242" s="119"/>
      <c r="X242" s="119"/>
      <c r="Y242" s="119"/>
      <c r="Z242" s="299" t="s">
        <v>97</v>
      </c>
      <c r="AA242" s="119"/>
      <c r="AB242" s="119"/>
      <c r="AC242" s="119"/>
      <c r="AD242" s="119"/>
      <c r="AE242" s="119"/>
      <c r="AF242" s="119"/>
      <c r="AG242" s="119"/>
      <c r="AH242" s="121"/>
      <c r="AI242" s="121"/>
      <c r="AJ242" s="121"/>
      <c r="AK242" s="121"/>
      <c r="AL242" s="121"/>
      <c r="AM242" s="121"/>
      <c r="AN242" s="119"/>
      <c r="AO242" s="119"/>
      <c r="AP242" s="119"/>
      <c r="AQ242" s="119"/>
      <c r="AR242" s="119"/>
      <c r="AS242" s="119"/>
    </row>
    <row r="243">
      <c r="A243" s="101">
        <v>181.0</v>
      </c>
      <c r="B243" s="150">
        <v>5.0</v>
      </c>
      <c r="C243" s="104" t="s">
        <v>2376</v>
      </c>
      <c r="D243" s="138" t="s">
        <v>57</v>
      </c>
      <c r="E243" s="107" t="s">
        <v>306</v>
      </c>
      <c r="F243" s="101"/>
      <c r="G243" s="40" t="s">
        <v>2377</v>
      </c>
      <c r="H243" s="55" t="s">
        <v>2378</v>
      </c>
      <c r="I243" s="624" t="s">
        <v>2379</v>
      </c>
      <c r="J243" s="625"/>
      <c r="K243" s="282">
        <v>43945.0</v>
      </c>
      <c r="L243" s="282">
        <v>43947.0</v>
      </c>
      <c r="M243" s="85" t="s">
        <v>131</v>
      </c>
      <c r="N243" s="73" t="s">
        <v>132</v>
      </c>
      <c r="O243" s="282">
        <v>43830.0</v>
      </c>
      <c r="P243" s="282">
        <v>43861.0</v>
      </c>
      <c r="Q243" s="22"/>
      <c r="R243" s="22"/>
      <c r="S243" s="117"/>
      <c r="T243" s="157"/>
      <c r="U243" s="161"/>
      <c r="V243" s="161"/>
      <c r="W243" s="161"/>
      <c r="X243" s="161"/>
      <c r="Y243" s="161"/>
      <c r="Z243" s="161"/>
      <c r="AA243" s="161"/>
      <c r="AB243" s="307" t="s">
        <v>97</v>
      </c>
      <c r="AC243" s="161"/>
      <c r="AD243" s="161"/>
      <c r="AE243" s="161"/>
      <c r="AF243" s="161"/>
      <c r="AG243" s="161"/>
      <c r="AH243" s="163"/>
      <c r="AI243" s="163"/>
      <c r="AJ243" s="163"/>
      <c r="AK243" s="163"/>
      <c r="AL243" s="163"/>
      <c r="AM243" s="163"/>
      <c r="AN243" s="161"/>
      <c r="AO243" s="161"/>
      <c r="AP243" s="161"/>
      <c r="AQ243" s="161"/>
      <c r="AR243" s="161"/>
      <c r="AS243" s="119"/>
    </row>
    <row r="244">
      <c r="A244" s="137">
        <v>959.0</v>
      </c>
      <c r="B244" s="122">
        <v>8.0</v>
      </c>
      <c r="C244" s="123" t="s">
        <v>2380</v>
      </c>
      <c r="D244" s="399" t="s">
        <v>56</v>
      </c>
      <c r="E244" s="403" t="s">
        <v>56</v>
      </c>
      <c r="F244" s="144"/>
      <c r="G244" s="87" t="s">
        <v>2381</v>
      </c>
      <c r="H244" s="89" t="s">
        <v>2382</v>
      </c>
      <c r="I244" s="91" t="str">
        <f>HYPERLINK("https://filmfreeway.com/DCBlackFilmFestival","https://filmfreeway.com/DCBlackFilmFestival")</f>
        <v>https://filmfreeway.com/DCBlackFilmFestival</v>
      </c>
      <c r="J244" s="260"/>
      <c r="K244" s="282">
        <v>44091.0</v>
      </c>
      <c r="L244" s="282">
        <v>44093.0</v>
      </c>
      <c r="M244" s="130" t="s">
        <v>585</v>
      </c>
      <c r="N244" s="264" t="s">
        <v>132</v>
      </c>
      <c r="O244" s="282">
        <v>43921.0</v>
      </c>
      <c r="P244" s="626">
        <v>44002.0</v>
      </c>
      <c r="Q244" s="131"/>
      <c r="R244" s="132"/>
      <c r="S244" s="148" t="s">
        <v>97</v>
      </c>
      <c r="T244" s="118"/>
      <c r="U244" s="119"/>
      <c r="V244" s="119"/>
      <c r="W244" s="119"/>
      <c r="X244" s="119"/>
      <c r="Y244" s="134"/>
      <c r="Z244" s="119"/>
      <c r="AA244" s="218" t="s">
        <v>97</v>
      </c>
      <c r="AB244" s="119"/>
      <c r="AC244" s="119"/>
      <c r="AD244" s="119"/>
      <c r="AE244" s="119"/>
      <c r="AF244" s="119"/>
      <c r="AG244" s="119"/>
      <c r="AH244" s="121"/>
      <c r="AI244" s="121"/>
      <c r="AJ244" s="121"/>
      <c r="AK244" s="121"/>
      <c r="AL244" s="121"/>
      <c r="AM244" s="135"/>
      <c r="AN244" s="119"/>
      <c r="AO244" s="119"/>
      <c r="AP244" s="119"/>
      <c r="AQ244" s="119"/>
      <c r="AR244" s="119"/>
      <c r="AS244" s="119"/>
    </row>
    <row r="245">
      <c r="A245" s="137">
        <v>182.0</v>
      </c>
      <c r="B245" s="177"/>
      <c r="C245" s="104" t="s">
        <v>2383</v>
      </c>
      <c r="D245" s="105" t="s">
        <v>48</v>
      </c>
      <c r="E245" s="107" t="s">
        <v>48</v>
      </c>
      <c r="F245" s="178"/>
      <c r="G245" s="77" t="s">
        <v>2384</v>
      </c>
      <c r="H245" s="81" t="s">
        <v>2385</v>
      </c>
      <c r="I245" s="84" t="s">
        <v>2386</v>
      </c>
      <c r="J245" s="155"/>
      <c r="K245" s="37">
        <v>43894.0</v>
      </c>
      <c r="L245" s="37">
        <v>43898.0</v>
      </c>
      <c r="M245" s="85" t="s">
        <v>131</v>
      </c>
      <c r="N245" s="85" t="s">
        <v>132</v>
      </c>
      <c r="O245" s="113">
        <v>43735.0</v>
      </c>
      <c r="P245" s="37">
        <v>43818.0</v>
      </c>
      <c r="Q245" s="22"/>
      <c r="R245" s="22"/>
      <c r="S245" s="117"/>
      <c r="T245" s="181"/>
      <c r="U245" s="182" t="s">
        <v>97</v>
      </c>
      <c r="V245" s="184"/>
      <c r="W245" s="184"/>
      <c r="X245" s="184"/>
      <c r="Y245" s="184"/>
      <c r="Z245" s="184"/>
      <c r="AA245" s="184"/>
      <c r="AB245" s="184"/>
      <c r="AC245" s="184"/>
      <c r="AD245" s="186"/>
      <c r="AE245" s="187"/>
      <c r="AF245" s="184"/>
      <c r="AG245" s="187"/>
      <c r="AH245" s="189"/>
      <c r="AI245" s="189"/>
      <c r="AJ245" s="189"/>
      <c r="AK245" s="189"/>
      <c r="AL245" s="189"/>
      <c r="AM245" s="189"/>
      <c r="AN245" s="187"/>
      <c r="AO245" s="187"/>
      <c r="AP245" s="184"/>
      <c r="AQ245" s="187"/>
      <c r="AR245" s="187"/>
      <c r="AS245" s="119"/>
    </row>
    <row r="246">
      <c r="A246" s="137">
        <v>183.0</v>
      </c>
      <c r="B246" s="177"/>
      <c r="C246" s="104" t="s">
        <v>2387</v>
      </c>
      <c r="D246" s="105" t="s">
        <v>52</v>
      </c>
      <c r="E246" s="107" t="s">
        <v>52</v>
      </c>
      <c r="F246" s="178"/>
      <c r="G246" s="77" t="s">
        <v>2388</v>
      </c>
      <c r="H246" s="81" t="s">
        <v>2389</v>
      </c>
      <c r="I246" s="84" t="s">
        <v>2390</v>
      </c>
      <c r="J246" s="155"/>
      <c r="K246" s="37">
        <v>44084.0</v>
      </c>
      <c r="L246" s="37">
        <v>44093.0</v>
      </c>
      <c r="M246" s="85" t="s">
        <v>131</v>
      </c>
      <c r="N246" s="85" t="s">
        <v>132</v>
      </c>
      <c r="O246" s="113">
        <v>43830.0</v>
      </c>
      <c r="P246" s="37">
        <v>43966.0</v>
      </c>
      <c r="Q246" s="22"/>
      <c r="R246" s="22"/>
      <c r="S246" s="193" t="s">
        <v>97</v>
      </c>
      <c r="T246" s="181"/>
      <c r="U246" s="184"/>
      <c r="V246" s="184"/>
      <c r="W246" s="319" t="s">
        <v>97</v>
      </c>
      <c r="X246" s="184"/>
      <c r="Y246" s="184"/>
      <c r="Z246" s="184"/>
      <c r="AA246" s="184"/>
      <c r="AB246" s="184"/>
      <c r="AC246" s="184"/>
      <c r="AD246" s="186"/>
      <c r="AE246" s="187"/>
      <c r="AF246" s="184"/>
      <c r="AG246" s="187"/>
      <c r="AH246" s="189"/>
      <c r="AI246" s="189"/>
      <c r="AJ246" s="189"/>
      <c r="AK246" s="189"/>
      <c r="AL246" s="189"/>
      <c r="AM246" s="189"/>
      <c r="AN246" s="187"/>
      <c r="AO246" s="187"/>
      <c r="AP246" s="184"/>
      <c r="AQ246" s="187"/>
      <c r="AR246" s="187"/>
      <c r="AS246" s="119"/>
    </row>
    <row r="247">
      <c r="A247" s="101">
        <v>184.0</v>
      </c>
      <c r="B247" s="177"/>
      <c r="C247" s="104" t="s">
        <v>2391</v>
      </c>
      <c r="D247" s="105" t="s">
        <v>48</v>
      </c>
      <c r="E247" s="107" t="s">
        <v>48</v>
      </c>
      <c r="F247" s="178"/>
      <c r="G247" s="77" t="s">
        <v>2392</v>
      </c>
      <c r="H247" s="81" t="s">
        <v>2393</v>
      </c>
      <c r="I247" s="84" t="s">
        <v>2394</v>
      </c>
      <c r="J247" s="155"/>
      <c r="K247" s="37">
        <v>43993.0</v>
      </c>
      <c r="L247" s="37">
        <v>43996.0</v>
      </c>
      <c r="M247" s="85" t="s">
        <v>2395</v>
      </c>
      <c r="N247" s="85" t="s">
        <v>283</v>
      </c>
      <c r="O247" s="113">
        <v>43769.0</v>
      </c>
      <c r="P247" s="37">
        <v>43882.0</v>
      </c>
      <c r="Q247" s="22"/>
      <c r="R247" s="22"/>
      <c r="S247" s="193" t="s">
        <v>97</v>
      </c>
      <c r="T247" s="181"/>
      <c r="U247" s="182" t="s">
        <v>97</v>
      </c>
      <c r="V247" s="184"/>
      <c r="W247" s="184"/>
      <c r="X247" s="184"/>
      <c r="Y247" s="184"/>
      <c r="Z247" s="184"/>
      <c r="AA247" s="184"/>
      <c r="AB247" s="184"/>
      <c r="AC247" s="184"/>
      <c r="AD247" s="186"/>
      <c r="AE247" s="187"/>
      <c r="AF247" s="184"/>
      <c r="AG247" s="187"/>
      <c r="AH247" s="189"/>
      <c r="AI247" s="189"/>
      <c r="AJ247" s="189"/>
      <c r="AK247" s="189"/>
      <c r="AL247" s="189"/>
      <c r="AM247" s="189"/>
      <c r="AN247" s="187"/>
      <c r="AO247" s="187"/>
      <c r="AP247" s="184"/>
      <c r="AQ247" s="187"/>
      <c r="AR247" s="187"/>
      <c r="AS247" s="119"/>
    </row>
    <row r="248">
      <c r="A248" s="137">
        <v>997.0</v>
      </c>
      <c r="B248" s="284"/>
      <c r="C248" s="123" t="s">
        <v>2396</v>
      </c>
      <c r="D248" s="507" t="s">
        <v>71</v>
      </c>
      <c r="E248" s="371" t="s">
        <v>71</v>
      </c>
      <c r="F248" s="312"/>
      <c r="G248" s="216" t="s">
        <v>413</v>
      </c>
      <c r="H248" s="89" t="s">
        <v>414</v>
      </c>
      <c r="I248" s="91" t="str">
        <f>HYPERLINK("https://filmfreeway.com/DeafRochesterFilmFestival","https://filmfreeway.com/DeafRochesterFilmFestival")</f>
        <v>https://filmfreeway.com/DeafRochesterFilmFestival</v>
      </c>
      <c r="J248" s="93" t="s">
        <v>78</v>
      </c>
      <c r="K248" s="145">
        <v>43935.0</v>
      </c>
      <c r="L248" s="145">
        <v>43939.0</v>
      </c>
      <c r="M248" s="130" t="s">
        <v>419</v>
      </c>
      <c r="N248" s="130" t="s">
        <v>29</v>
      </c>
      <c r="O248" s="145">
        <v>43876.0</v>
      </c>
      <c r="P248" s="145">
        <v>43876.0</v>
      </c>
      <c r="Q248" s="131"/>
      <c r="R248" s="132"/>
      <c r="S248" s="132"/>
      <c r="T248" s="118"/>
      <c r="U248" s="119"/>
      <c r="V248" s="119"/>
      <c r="W248" s="119"/>
      <c r="X248" s="119"/>
      <c r="Y248" s="134"/>
      <c r="Z248" s="119"/>
      <c r="AA248" s="119"/>
      <c r="AB248" s="119"/>
      <c r="AC248" s="119"/>
      <c r="AD248" s="119"/>
      <c r="AE248" s="119"/>
      <c r="AF248" s="119"/>
      <c r="AG248" s="119"/>
      <c r="AH248" s="121"/>
      <c r="AI248" s="121"/>
      <c r="AJ248" s="121"/>
      <c r="AK248" s="121"/>
      <c r="AL248" s="121"/>
      <c r="AM248" s="165" t="s">
        <v>97</v>
      </c>
      <c r="AN248" s="119"/>
      <c r="AO248" s="119"/>
      <c r="AP248" s="119"/>
      <c r="AQ248" s="119"/>
      <c r="AR248" s="119"/>
      <c r="AS248" s="119"/>
    </row>
    <row r="249">
      <c r="A249" s="137">
        <v>185.0</v>
      </c>
      <c r="B249" s="150"/>
      <c r="C249" s="104" t="s">
        <v>2397</v>
      </c>
      <c r="D249" s="105" t="s">
        <v>48</v>
      </c>
      <c r="E249" s="107" t="s">
        <v>48</v>
      </c>
      <c r="F249" s="101"/>
      <c r="G249" s="40" t="s">
        <v>2398</v>
      </c>
      <c r="H249" s="55" t="s">
        <v>2399</v>
      </c>
      <c r="I249" s="69" t="s">
        <v>2400</v>
      </c>
      <c r="J249" s="155"/>
      <c r="K249" s="37">
        <v>44056.0</v>
      </c>
      <c r="L249" s="37">
        <v>44059.0</v>
      </c>
      <c r="M249" s="174" t="s">
        <v>2401</v>
      </c>
      <c r="N249" s="73" t="s">
        <v>102</v>
      </c>
      <c r="O249" s="113">
        <v>43718.0</v>
      </c>
      <c r="P249" s="37">
        <v>43991.0</v>
      </c>
      <c r="Q249" s="22"/>
      <c r="R249" s="22"/>
      <c r="S249" s="117"/>
      <c r="T249" s="157"/>
      <c r="U249" s="176" t="s">
        <v>97</v>
      </c>
      <c r="V249" s="161"/>
      <c r="W249" s="161"/>
      <c r="X249" s="161"/>
      <c r="Y249" s="161"/>
      <c r="Z249" s="161"/>
      <c r="AA249" s="161"/>
      <c r="AB249" s="161"/>
      <c r="AC249" s="161"/>
      <c r="AD249" s="161"/>
      <c r="AE249" s="161"/>
      <c r="AF249" s="161"/>
      <c r="AG249" s="161"/>
      <c r="AH249" s="163"/>
      <c r="AI249" s="163"/>
      <c r="AJ249" s="163"/>
      <c r="AK249" s="163"/>
      <c r="AL249" s="163"/>
      <c r="AM249" s="163"/>
      <c r="AN249" s="161"/>
      <c r="AO249" s="161"/>
      <c r="AP249" s="161"/>
      <c r="AQ249" s="161"/>
      <c r="AR249" s="161"/>
      <c r="AS249" s="119"/>
    </row>
    <row r="250">
      <c r="A250" s="137">
        <v>186.0</v>
      </c>
      <c r="B250" s="150"/>
      <c r="C250" s="104" t="s">
        <v>2402</v>
      </c>
      <c r="D250" s="105" t="s">
        <v>48</v>
      </c>
      <c r="E250" s="107" t="s">
        <v>48</v>
      </c>
      <c r="F250" s="101"/>
      <c r="G250" s="40" t="s">
        <v>2403</v>
      </c>
      <c r="H250" s="55" t="s">
        <v>2404</v>
      </c>
      <c r="I250" s="69" t="s">
        <v>2405</v>
      </c>
      <c r="J250" s="155"/>
      <c r="K250" s="37">
        <v>44064.0</v>
      </c>
      <c r="L250" s="37">
        <v>44065.0</v>
      </c>
      <c r="M250" s="73" t="s">
        <v>2406</v>
      </c>
      <c r="N250" s="73" t="s">
        <v>303</v>
      </c>
      <c r="O250" s="113">
        <v>43864.0</v>
      </c>
      <c r="P250" s="37">
        <v>43976.0</v>
      </c>
      <c r="Q250" s="22"/>
      <c r="R250" s="22"/>
      <c r="S250" s="117"/>
      <c r="T250" s="157"/>
      <c r="U250" s="176" t="s">
        <v>97</v>
      </c>
      <c r="V250" s="161"/>
      <c r="W250" s="161"/>
      <c r="X250" s="161"/>
      <c r="Y250" s="161"/>
      <c r="Z250" s="161"/>
      <c r="AA250" s="161"/>
      <c r="AB250" s="161"/>
      <c r="AC250" s="161"/>
      <c r="AD250" s="161"/>
      <c r="AE250" s="161"/>
      <c r="AF250" s="161"/>
      <c r="AG250" s="161"/>
      <c r="AH250" s="163"/>
      <c r="AI250" s="163"/>
      <c r="AJ250" s="163"/>
      <c r="AK250" s="163"/>
      <c r="AL250" s="163"/>
      <c r="AM250" s="163"/>
      <c r="AN250" s="161"/>
      <c r="AO250" s="161"/>
      <c r="AP250" s="161"/>
      <c r="AQ250" s="161"/>
      <c r="AR250" s="161"/>
      <c r="AS250" s="119"/>
    </row>
    <row r="251">
      <c r="A251" s="101">
        <v>982.0</v>
      </c>
      <c r="B251" s="122">
        <v>3.0</v>
      </c>
      <c r="C251" s="123" t="s">
        <v>2407</v>
      </c>
      <c r="D251" s="285" t="s">
        <v>70</v>
      </c>
      <c r="E251" s="287" t="s">
        <v>70</v>
      </c>
      <c r="F251" s="127"/>
      <c r="G251" s="128" t="s">
        <v>2408</v>
      </c>
      <c r="H251" s="89" t="s">
        <v>2409</v>
      </c>
      <c r="I251" s="91" t="str">
        <f>HYPERLINK("https://filmfreeway.com/DeltaMoonStudentFilmFestival","https://filmfreeway.com/DeltaMoonStudentFilmFestival")</f>
        <v>https://filmfreeway.com/DeltaMoonStudentFilmFestival</v>
      </c>
      <c r="J251" s="155"/>
      <c r="K251" s="22" t="s">
        <v>27</v>
      </c>
      <c r="L251" s="22" t="s">
        <v>27</v>
      </c>
      <c r="M251" s="130" t="s">
        <v>2410</v>
      </c>
      <c r="N251" s="130" t="s">
        <v>72</v>
      </c>
      <c r="O251" s="22" t="s">
        <v>27</v>
      </c>
      <c r="P251" s="22" t="s">
        <v>27</v>
      </c>
      <c r="Q251" s="131"/>
      <c r="R251" s="132"/>
      <c r="S251" s="132"/>
      <c r="T251" s="118"/>
      <c r="U251" s="119"/>
      <c r="V251" s="119"/>
      <c r="W251" s="119"/>
      <c r="X251" s="119"/>
      <c r="Y251" s="134"/>
      <c r="Z251" s="119"/>
      <c r="AA251" s="119"/>
      <c r="AB251" s="119"/>
      <c r="AC251" s="119"/>
      <c r="AD251" s="119"/>
      <c r="AE251" s="119"/>
      <c r="AF251" s="119"/>
      <c r="AG251" s="119"/>
      <c r="AH251" s="121"/>
      <c r="AI251" s="121"/>
      <c r="AJ251" s="121"/>
      <c r="AK251" s="121"/>
      <c r="AL251" s="149" t="s">
        <v>97</v>
      </c>
      <c r="AM251" s="135"/>
      <c r="AN251" s="119"/>
      <c r="AO251" s="119"/>
      <c r="AP251" s="119"/>
      <c r="AQ251" s="119"/>
      <c r="AR251" s="119"/>
      <c r="AS251" s="119"/>
    </row>
    <row r="252">
      <c r="A252" s="101">
        <v>187.0</v>
      </c>
      <c r="B252" s="406"/>
      <c r="C252" s="104" t="s">
        <v>2411</v>
      </c>
      <c r="D252" s="138" t="s">
        <v>56</v>
      </c>
      <c r="E252" s="156" t="s">
        <v>227</v>
      </c>
      <c r="F252" s="627"/>
      <c r="G252" s="628" t="s">
        <v>2412</v>
      </c>
      <c r="H252" s="81" t="s">
        <v>2413</v>
      </c>
      <c r="I252" s="409" t="s">
        <v>2414</v>
      </c>
      <c r="J252" s="155"/>
      <c r="K252" s="37">
        <v>43852.0</v>
      </c>
      <c r="L252" s="37">
        <v>43856.0</v>
      </c>
      <c r="M252" s="410" t="s">
        <v>2415</v>
      </c>
      <c r="N252" s="410" t="s">
        <v>102</v>
      </c>
      <c r="O252" s="113">
        <v>43654.0</v>
      </c>
      <c r="P252" s="37">
        <v>43780.0</v>
      </c>
      <c r="Q252" s="22"/>
      <c r="R252" s="22"/>
      <c r="S252" s="193" t="s">
        <v>97</v>
      </c>
      <c r="T252" s="411"/>
      <c r="U252" s="413"/>
      <c r="V252" s="413"/>
      <c r="W252" s="413"/>
      <c r="X252" s="413"/>
      <c r="Y252" s="413"/>
      <c r="Z252" s="413"/>
      <c r="AA252" s="629" t="s">
        <v>97</v>
      </c>
      <c r="AB252" s="413"/>
      <c r="AC252" s="413"/>
      <c r="AD252" s="186"/>
      <c r="AE252" s="187"/>
      <c r="AF252" s="413"/>
      <c r="AG252" s="187"/>
      <c r="AH252" s="189"/>
      <c r="AI252" s="189"/>
      <c r="AJ252" s="189"/>
      <c r="AK252" s="189"/>
      <c r="AL252" s="189"/>
      <c r="AM252" s="189"/>
      <c r="AN252" s="187"/>
      <c r="AO252" s="187"/>
      <c r="AP252" s="413"/>
      <c r="AQ252" s="187"/>
      <c r="AR252" s="187"/>
      <c r="AS252" s="119"/>
    </row>
    <row r="253">
      <c r="A253" s="137">
        <v>188.0</v>
      </c>
      <c r="B253" s="315">
        <v>11.0</v>
      </c>
      <c r="C253" s="104" t="s">
        <v>2416</v>
      </c>
      <c r="D253" s="105" t="s">
        <v>48</v>
      </c>
      <c r="E253" s="107" t="s">
        <v>48</v>
      </c>
      <c r="F253" s="178"/>
      <c r="G253" s="77" t="s">
        <v>2417</v>
      </c>
      <c r="H253" s="81" t="s">
        <v>2418</v>
      </c>
      <c r="I253" s="84" t="str">
        <f>HYPERLINK("https://filmfreeway.com/DenverFilmFestival","https://filmfreeway.com/DenverFilmFestival")</f>
        <v>https://filmfreeway.com/DenverFilmFestival</v>
      </c>
      <c r="J253" s="260"/>
      <c r="K253" s="282">
        <v>44139.0</v>
      </c>
      <c r="L253" s="626">
        <v>44150.0</v>
      </c>
      <c r="M253" s="85" t="s">
        <v>136</v>
      </c>
      <c r="N253" s="85" t="s">
        <v>110</v>
      </c>
      <c r="O253" s="282">
        <v>43892.0</v>
      </c>
      <c r="P253" s="626">
        <v>44022.0</v>
      </c>
      <c r="Q253" s="535"/>
      <c r="R253" s="535"/>
      <c r="S253" s="193" t="s">
        <v>97</v>
      </c>
      <c r="T253" s="181"/>
      <c r="U253" s="182" t="s">
        <v>97</v>
      </c>
      <c r="V253" s="184"/>
      <c r="W253" s="184"/>
      <c r="X253" s="184"/>
      <c r="Y253" s="184"/>
      <c r="Z253" s="184"/>
      <c r="AA253" s="184"/>
      <c r="AB253" s="184"/>
      <c r="AC253" s="184"/>
      <c r="AD253" s="186"/>
      <c r="AE253" s="187"/>
      <c r="AF253" s="184"/>
      <c r="AG253" s="187"/>
      <c r="AH253" s="189"/>
      <c r="AI253" s="189"/>
      <c r="AJ253" s="189"/>
      <c r="AK253" s="189"/>
      <c r="AL253" s="189"/>
      <c r="AM253" s="189"/>
      <c r="AN253" s="187"/>
      <c r="AO253" s="187"/>
      <c r="AP253" s="184"/>
      <c r="AQ253" s="187"/>
      <c r="AR253" s="187"/>
      <c r="AS253" s="119"/>
    </row>
    <row r="254">
      <c r="A254" s="137">
        <v>189.0</v>
      </c>
      <c r="B254" s="177"/>
      <c r="C254" s="104" t="s">
        <v>2419</v>
      </c>
      <c r="D254" s="296" t="s">
        <v>55</v>
      </c>
      <c r="E254" s="297" t="s">
        <v>55</v>
      </c>
      <c r="F254" s="178"/>
      <c r="G254" s="77" t="s">
        <v>2420</v>
      </c>
      <c r="H254" s="81" t="s">
        <v>2421</v>
      </c>
      <c r="I254" s="84" t="s">
        <v>2422</v>
      </c>
      <c r="J254" s="112"/>
      <c r="K254" s="113">
        <v>43866.0</v>
      </c>
      <c r="L254" s="113">
        <v>43878.0</v>
      </c>
      <c r="M254" s="85" t="s">
        <v>136</v>
      </c>
      <c r="N254" s="85" t="s">
        <v>110</v>
      </c>
      <c r="O254" s="113">
        <v>43677.0</v>
      </c>
      <c r="P254" s="113">
        <v>43677.0</v>
      </c>
      <c r="Q254" s="22"/>
      <c r="R254" s="22"/>
      <c r="S254" s="117"/>
      <c r="T254" s="181"/>
      <c r="U254" s="184"/>
      <c r="V254" s="184"/>
      <c r="W254" s="184"/>
      <c r="X254" s="184"/>
      <c r="Y254" s="184"/>
      <c r="Z254" s="420" t="s">
        <v>97</v>
      </c>
      <c r="AA254" s="184"/>
      <c r="AB254" s="184"/>
      <c r="AC254" s="184"/>
      <c r="AD254" s="186"/>
      <c r="AE254" s="187"/>
      <c r="AF254" s="184"/>
      <c r="AG254" s="187"/>
      <c r="AH254" s="189"/>
      <c r="AI254" s="189"/>
      <c r="AJ254" s="189"/>
      <c r="AK254" s="189"/>
      <c r="AL254" s="189"/>
      <c r="AM254" s="189"/>
      <c r="AN254" s="187"/>
      <c r="AO254" s="187"/>
      <c r="AP254" s="184"/>
      <c r="AQ254" s="187"/>
      <c r="AR254" s="187"/>
      <c r="AS254" s="119"/>
    </row>
    <row r="255">
      <c r="A255" s="137">
        <v>767.0</v>
      </c>
      <c r="B255" s="103">
        <v>3.0</v>
      </c>
      <c r="C255" s="104" t="s">
        <v>2423</v>
      </c>
      <c r="D255" s="105" t="s">
        <v>65</v>
      </c>
      <c r="E255" s="107" t="s">
        <v>65</v>
      </c>
      <c r="F255" s="109"/>
      <c r="G255" s="10" t="s">
        <v>2424</v>
      </c>
      <c r="H255" s="17" t="s">
        <v>2425</v>
      </c>
      <c r="I255" s="111" t="s">
        <v>2426</v>
      </c>
      <c r="J255" s="260"/>
      <c r="K255" s="282">
        <v>44169.0</v>
      </c>
      <c r="L255" s="626">
        <v>44169.0</v>
      </c>
      <c r="M255" s="24" t="s">
        <v>136</v>
      </c>
      <c r="N255" s="24" t="s">
        <v>110</v>
      </c>
      <c r="O255" s="282">
        <v>44167.0</v>
      </c>
      <c r="P255" s="626">
        <v>44167.0</v>
      </c>
      <c r="Q255" s="115"/>
      <c r="R255" s="115"/>
      <c r="S255" s="117"/>
      <c r="T255" s="118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21"/>
      <c r="AI255" s="283" t="s">
        <v>97</v>
      </c>
      <c r="AJ255" s="121"/>
      <c r="AK255" s="121"/>
      <c r="AL255" s="121"/>
      <c r="AM255" s="121"/>
      <c r="AN255" s="119"/>
      <c r="AO255" s="119"/>
      <c r="AP255" s="119"/>
      <c r="AQ255" s="119"/>
      <c r="AR255" s="119"/>
      <c r="AS255" s="119"/>
    </row>
    <row r="256">
      <c r="A256" s="101">
        <v>190.0</v>
      </c>
      <c r="B256" s="150">
        <v>10.0</v>
      </c>
      <c r="C256" s="104" t="s">
        <v>2427</v>
      </c>
      <c r="D256" s="105" t="s">
        <v>64</v>
      </c>
      <c r="E256" s="107" t="s">
        <v>64</v>
      </c>
      <c r="F256" s="101"/>
      <c r="G256" s="40" t="s">
        <v>2428</v>
      </c>
      <c r="H256" s="55" t="s">
        <v>2429</v>
      </c>
      <c r="I256" s="69" t="s">
        <v>2430</v>
      </c>
      <c r="J256" s="260"/>
      <c r="K256" s="282">
        <v>44134.0</v>
      </c>
      <c r="L256" s="626">
        <v>44135.0</v>
      </c>
      <c r="M256" s="73" t="s">
        <v>2431</v>
      </c>
      <c r="N256" s="73" t="s">
        <v>155</v>
      </c>
      <c r="O256" s="282">
        <v>43982.0</v>
      </c>
      <c r="P256" s="626">
        <v>44094.0</v>
      </c>
      <c r="Q256" s="22"/>
      <c r="R256" s="22"/>
      <c r="S256" s="117"/>
      <c r="T256" s="157"/>
      <c r="U256" s="161"/>
      <c r="V256" s="161"/>
      <c r="W256" s="161"/>
      <c r="X256" s="161"/>
      <c r="Y256" s="161"/>
      <c r="Z256" s="161"/>
      <c r="AA256" s="161"/>
      <c r="AB256" s="161"/>
      <c r="AC256" s="161"/>
      <c r="AD256" s="161"/>
      <c r="AE256" s="161"/>
      <c r="AF256" s="161"/>
      <c r="AG256" s="161"/>
      <c r="AH256" s="246" t="s">
        <v>97</v>
      </c>
      <c r="AI256" s="163"/>
      <c r="AJ256" s="163"/>
      <c r="AK256" s="163"/>
      <c r="AL256" s="163"/>
      <c r="AM256" s="163"/>
      <c r="AN256" s="161"/>
      <c r="AO256" s="161"/>
      <c r="AP256" s="161"/>
      <c r="AQ256" s="161"/>
      <c r="AR256" s="161"/>
      <c r="AS256" s="119"/>
    </row>
    <row r="257">
      <c r="A257" s="137">
        <v>191.0</v>
      </c>
      <c r="B257" s="150"/>
      <c r="C257" s="104" t="s">
        <v>2432</v>
      </c>
      <c r="D257" s="105" t="s">
        <v>48</v>
      </c>
      <c r="E257" s="107" t="s">
        <v>48</v>
      </c>
      <c r="F257" s="101"/>
      <c r="G257" s="40" t="s">
        <v>2433</v>
      </c>
      <c r="H257" s="55" t="s">
        <v>2434</v>
      </c>
      <c r="I257" s="69" t="s">
        <v>2435</v>
      </c>
      <c r="J257" s="155"/>
      <c r="K257" s="37">
        <v>43889.0</v>
      </c>
      <c r="L257" s="37">
        <v>43891.0</v>
      </c>
      <c r="M257" s="174" t="s">
        <v>2436</v>
      </c>
      <c r="N257" s="73" t="s">
        <v>251</v>
      </c>
      <c r="O257" s="113">
        <v>43644.0</v>
      </c>
      <c r="P257" s="37">
        <v>43777.0</v>
      </c>
      <c r="Q257" s="22"/>
      <c r="R257" s="22"/>
      <c r="S257" s="193" t="s">
        <v>97</v>
      </c>
      <c r="T257" s="157"/>
      <c r="U257" s="176" t="s">
        <v>97</v>
      </c>
      <c r="V257" s="161"/>
      <c r="W257" s="161"/>
      <c r="X257" s="161"/>
      <c r="Y257" s="161"/>
      <c r="Z257" s="161"/>
      <c r="AA257" s="161"/>
      <c r="AB257" s="161"/>
      <c r="AC257" s="161"/>
      <c r="AD257" s="161"/>
      <c r="AE257" s="161"/>
      <c r="AF257" s="161"/>
      <c r="AG257" s="161"/>
      <c r="AH257" s="163"/>
      <c r="AI257" s="163"/>
      <c r="AJ257" s="163"/>
      <c r="AK257" s="163"/>
      <c r="AL257" s="163"/>
      <c r="AM257" s="163"/>
      <c r="AN257" s="161"/>
      <c r="AO257" s="161"/>
      <c r="AP257" s="161"/>
      <c r="AQ257" s="161"/>
      <c r="AR257" s="161"/>
      <c r="AS257" s="119"/>
    </row>
    <row r="258">
      <c r="A258" s="137">
        <v>192.0</v>
      </c>
      <c r="B258" s="150"/>
      <c r="C258" s="104" t="s">
        <v>2437</v>
      </c>
      <c r="D258" s="105" t="s">
        <v>66</v>
      </c>
      <c r="E258" s="107" t="s">
        <v>451</v>
      </c>
      <c r="F258" s="101"/>
      <c r="G258" s="40" t="s">
        <v>213</v>
      </c>
      <c r="H258" s="55" t="s">
        <v>214</v>
      </c>
      <c r="I258" s="69" t="s">
        <v>218</v>
      </c>
      <c r="J258" s="20" t="s">
        <v>220</v>
      </c>
      <c r="K258" s="37">
        <v>43924.0</v>
      </c>
      <c r="L258" s="37">
        <v>43925.0</v>
      </c>
      <c r="M258" s="73" t="s">
        <v>153</v>
      </c>
      <c r="N258" s="73" t="s">
        <v>155</v>
      </c>
      <c r="O258" s="113">
        <v>43891.0</v>
      </c>
      <c r="P258" s="37">
        <v>43891.0</v>
      </c>
      <c r="Q258" s="22"/>
      <c r="R258" s="22"/>
      <c r="S258" s="117"/>
      <c r="T258" s="157"/>
      <c r="U258" s="161"/>
      <c r="V258" s="161"/>
      <c r="W258" s="120" t="s">
        <v>97</v>
      </c>
      <c r="X258" s="161"/>
      <c r="Y258" s="161"/>
      <c r="Z258" s="161"/>
      <c r="AA258" s="161"/>
      <c r="AB258" s="161"/>
      <c r="AC258" s="161"/>
      <c r="AD258" s="161"/>
      <c r="AE258" s="161"/>
      <c r="AF258" s="161"/>
      <c r="AG258" s="161"/>
      <c r="AH258" s="163"/>
      <c r="AI258" s="163"/>
      <c r="AJ258" s="242" t="s">
        <v>97</v>
      </c>
      <c r="AK258" s="163"/>
      <c r="AL258" s="163"/>
      <c r="AM258" s="163"/>
      <c r="AN258" s="161"/>
      <c r="AO258" s="161"/>
      <c r="AP258" s="161"/>
      <c r="AQ258" s="161"/>
      <c r="AR258" s="161"/>
      <c r="AS258" s="119"/>
    </row>
    <row r="259">
      <c r="A259" s="101">
        <v>193.0</v>
      </c>
      <c r="B259" s="173"/>
      <c r="C259" s="104" t="s">
        <v>2438</v>
      </c>
      <c r="D259" s="296" t="s">
        <v>55</v>
      </c>
      <c r="E259" s="297" t="s">
        <v>55</v>
      </c>
      <c r="F259" s="101"/>
      <c r="G259" s="40" t="s">
        <v>2439</v>
      </c>
      <c r="H259" s="55" t="s">
        <v>2440</v>
      </c>
      <c r="I259" s="289" t="s">
        <v>24</v>
      </c>
      <c r="J259" s="155"/>
      <c r="K259" s="37">
        <v>43954.0</v>
      </c>
      <c r="L259" s="37">
        <v>43964.0</v>
      </c>
      <c r="M259" s="290" t="s">
        <v>153</v>
      </c>
      <c r="N259" s="290" t="s">
        <v>155</v>
      </c>
      <c r="O259" s="152" t="s">
        <v>24</v>
      </c>
      <c r="P259" s="152" t="s">
        <v>24</v>
      </c>
      <c r="Q259" s="201"/>
      <c r="R259" s="201"/>
      <c r="S259" s="224"/>
      <c r="T259" s="141"/>
      <c r="U259" s="119"/>
      <c r="V259" s="119"/>
      <c r="W259" s="119"/>
      <c r="X259" s="119"/>
      <c r="Y259" s="119"/>
      <c r="Z259" s="299" t="s">
        <v>97</v>
      </c>
      <c r="AA259" s="119"/>
      <c r="AB259" s="119"/>
      <c r="AC259" s="119"/>
      <c r="AD259" s="119"/>
      <c r="AE259" s="119"/>
      <c r="AF259" s="119"/>
      <c r="AG259" s="119"/>
      <c r="AH259" s="121"/>
      <c r="AI259" s="121"/>
      <c r="AJ259" s="121"/>
      <c r="AK259" s="121"/>
      <c r="AL259" s="121"/>
      <c r="AM259" s="121"/>
      <c r="AN259" s="119"/>
      <c r="AO259" s="119"/>
      <c r="AP259" s="119"/>
      <c r="AQ259" s="119"/>
      <c r="AR259" s="119"/>
      <c r="AS259" s="119"/>
    </row>
    <row r="260">
      <c r="A260" s="137">
        <v>194.0</v>
      </c>
      <c r="B260" s="150"/>
      <c r="C260" s="104" t="s">
        <v>2441</v>
      </c>
      <c r="D260" s="138" t="s">
        <v>57</v>
      </c>
      <c r="E260" s="107" t="s">
        <v>306</v>
      </c>
      <c r="F260" s="101"/>
      <c r="G260" s="40" t="s">
        <v>2442</v>
      </c>
      <c r="H260" s="55" t="s">
        <v>2443</v>
      </c>
      <c r="I260" s="69" t="s">
        <v>2444</v>
      </c>
      <c r="J260" s="155"/>
      <c r="K260" s="37">
        <v>43902.0</v>
      </c>
      <c r="L260" s="37">
        <v>43905.0</v>
      </c>
      <c r="M260" s="73" t="s">
        <v>593</v>
      </c>
      <c r="N260" s="73" t="s">
        <v>594</v>
      </c>
      <c r="O260" s="113">
        <v>43738.0</v>
      </c>
      <c r="P260" s="37">
        <v>43794.0</v>
      </c>
      <c r="Q260" s="22"/>
      <c r="R260" s="22"/>
      <c r="S260" s="117"/>
      <c r="T260" s="157"/>
      <c r="U260" s="161"/>
      <c r="V260" s="161"/>
      <c r="W260" s="161"/>
      <c r="X260" s="161"/>
      <c r="Y260" s="161"/>
      <c r="Z260" s="161"/>
      <c r="AA260" s="161"/>
      <c r="AB260" s="307" t="s">
        <v>97</v>
      </c>
      <c r="AC260" s="161"/>
      <c r="AD260" s="161"/>
      <c r="AE260" s="161"/>
      <c r="AF260" s="161"/>
      <c r="AG260" s="161"/>
      <c r="AH260" s="163"/>
      <c r="AI260" s="163"/>
      <c r="AJ260" s="163"/>
      <c r="AK260" s="163"/>
      <c r="AL260" s="163"/>
      <c r="AM260" s="163"/>
      <c r="AN260" s="161"/>
      <c r="AO260" s="161"/>
      <c r="AP260" s="161"/>
      <c r="AQ260" s="161"/>
      <c r="AR260" s="161"/>
      <c r="AS260" s="119"/>
    </row>
    <row r="261">
      <c r="A261" s="137">
        <v>195.0</v>
      </c>
      <c r="B261" s="150"/>
      <c r="C261" s="104" t="s">
        <v>2445</v>
      </c>
      <c r="D261" s="138" t="s">
        <v>62</v>
      </c>
      <c r="E261" s="107" t="s">
        <v>523</v>
      </c>
      <c r="F261" s="101"/>
      <c r="G261" s="40" t="s">
        <v>2446</v>
      </c>
      <c r="H261" s="55" t="s">
        <v>2447</v>
      </c>
      <c r="I261" s="69" t="s">
        <v>2448</v>
      </c>
      <c r="J261" s="155"/>
      <c r="K261" s="37">
        <v>43988.0</v>
      </c>
      <c r="L261" s="37">
        <v>43989.0</v>
      </c>
      <c r="M261" s="73" t="s">
        <v>2449</v>
      </c>
      <c r="N261" s="73" t="s">
        <v>251</v>
      </c>
      <c r="O261" s="113">
        <v>43905.0</v>
      </c>
      <c r="P261" s="37">
        <v>43905.0</v>
      </c>
      <c r="Q261" s="22"/>
      <c r="R261" s="22"/>
      <c r="S261" s="117"/>
      <c r="T261" s="157"/>
      <c r="U261" s="161"/>
      <c r="V261" s="161"/>
      <c r="W261" s="161"/>
      <c r="X261" s="161"/>
      <c r="Y261" s="161"/>
      <c r="Z261" s="161"/>
      <c r="AA261" s="161"/>
      <c r="AB261" s="161"/>
      <c r="AC261" s="161"/>
      <c r="AD261" s="161"/>
      <c r="AE261" s="161"/>
      <c r="AF261" s="548" t="s">
        <v>97</v>
      </c>
      <c r="AG261" s="161"/>
      <c r="AH261" s="163"/>
      <c r="AI261" s="163"/>
      <c r="AJ261" s="163"/>
      <c r="AK261" s="163"/>
      <c r="AL261" s="163"/>
      <c r="AM261" s="163"/>
      <c r="AN261" s="161"/>
      <c r="AO261" s="161"/>
      <c r="AP261" s="161"/>
      <c r="AQ261" s="161"/>
      <c r="AR261" s="161"/>
      <c r="AS261" s="119"/>
    </row>
    <row r="262">
      <c r="A262" s="137">
        <v>984.0</v>
      </c>
      <c r="B262" s="284"/>
      <c r="C262" s="123" t="s">
        <v>2450</v>
      </c>
      <c r="D262" s="285" t="s">
        <v>70</v>
      </c>
      <c r="E262" s="287" t="s">
        <v>70</v>
      </c>
      <c r="F262" s="127"/>
      <c r="G262" s="128" t="s">
        <v>836</v>
      </c>
      <c r="H262" s="89" t="s">
        <v>837</v>
      </c>
      <c r="I262" s="91" t="str">
        <f>HYPERLINK("https://filmfreeway.com/diydsfilmfest","https://filmfreeway.com/diydsfilmfest")</f>
        <v>https://filmfreeway.com/diydsfilmfest</v>
      </c>
      <c r="J262" s="93" t="s">
        <v>838</v>
      </c>
      <c r="K262" s="145">
        <v>43909.0</v>
      </c>
      <c r="L262" s="145">
        <v>43911.0</v>
      </c>
      <c r="M262" s="130" t="s">
        <v>447</v>
      </c>
      <c r="N262" s="130" t="s">
        <v>80</v>
      </c>
      <c r="O262" s="145">
        <v>43785.0</v>
      </c>
      <c r="P262" s="145">
        <v>43785.0</v>
      </c>
      <c r="Q262" s="131"/>
      <c r="R262" s="132"/>
      <c r="S262" s="132"/>
      <c r="T262" s="118"/>
      <c r="U262" s="119"/>
      <c r="V262" s="119"/>
      <c r="W262" s="119"/>
      <c r="X262" s="119"/>
      <c r="Y262" s="134"/>
      <c r="Z262" s="119"/>
      <c r="AA262" s="119"/>
      <c r="AB262" s="119"/>
      <c r="AC262" s="119"/>
      <c r="AD262" s="119"/>
      <c r="AE262" s="119"/>
      <c r="AF262" s="119"/>
      <c r="AG262" s="119"/>
      <c r="AH262" s="121"/>
      <c r="AI262" s="121"/>
      <c r="AJ262" s="121"/>
      <c r="AK262" s="121"/>
      <c r="AL262" s="149" t="s">
        <v>97</v>
      </c>
      <c r="AM262" s="135"/>
      <c r="AN262" s="119"/>
      <c r="AO262" s="119"/>
      <c r="AP262" s="119"/>
      <c r="AQ262" s="119"/>
      <c r="AR262" s="119"/>
      <c r="AS262" s="119"/>
    </row>
    <row r="263">
      <c r="A263" s="101">
        <v>196.0</v>
      </c>
      <c r="B263" s="150"/>
      <c r="C263" s="104" t="s">
        <v>2451</v>
      </c>
      <c r="D263" s="105" t="s">
        <v>51</v>
      </c>
      <c r="E263" s="107" t="s">
        <v>51</v>
      </c>
      <c r="F263" s="101"/>
      <c r="G263" s="40" t="s">
        <v>2452</v>
      </c>
      <c r="H263" s="55" t="s">
        <v>2453</v>
      </c>
      <c r="I263" s="69" t="s">
        <v>2454</v>
      </c>
      <c r="J263" s="155"/>
      <c r="K263" s="37">
        <v>44125.0</v>
      </c>
      <c r="L263" s="37">
        <v>44129.0</v>
      </c>
      <c r="M263" s="73" t="s">
        <v>1022</v>
      </c>
      <c r="N263" s="73" t="s">
        <v>72</v>
      </c>
      <c r="O263" s="113">
        <v>43851.0</v>
      </c>
      <c r="P263" s="37">
        <v>44095.0</v>
      </c>
      <c r="Q263" s="22"/>
      <c r="R263" s="22"/>
      <c r="S263" s="117"/>
      <c r="T263" s="157"/>
      <c r="U263" s="161"/>
      <c r="V263" s="241" t="s">
        <v>97</v>
      </c>
      <c r="W263" s="161"/>
      <c r="X263" s="161"/>
      <c r="Y263" s="161"/>
      <c r="Z263" s="161"/>
      <c r="AA263" s="161"/>
      <c r="AB263" s="161"/>
      <c r="AC263" s="161"/>
      <c r="AD263" s="161"/>
      <c r="AE263" s="161"/>
      <c r="AF263" s="161"/>
      <c r="AG263" s="161"/>
      <c r="AH263" s="163"/>
      <c r="AI263" s="163"/>
      <c r="AJ263" s="163"/>
      <c r="AK263" s="163"/>
      <c r="AL263" s="163"/>
      <c r="AM263" s="163"/>
      <c r="AN263" s="161"/>
      <c r="AO263" s="161"/>
      <c r="AP263" s="161"/>
      <c r="AQ263" s="161"/>
      <c r="AR263" s="161"/>
      <c r="AS263" s="119"/>
    </row>
    <row r="264">
      <c r="A264" s="137">
        <v>197.0</v>
      </c>
      <c r="B264" s="177">
        <v>11.0</v>
      </c>
      <c r="C264" s="104" t="s">
        <v>2455</v>
      </c>
      <c r="D264" s="105" t="s">
        <v>51</v>
      </c>
      <c r="E264" s="107" t="s">
        <v>51</v>
      </c>
      <c r="F264" s="178"/>
      <c r="G264" s="77" t="s">
        <v>2456</v>
      </c>
      <c r="H264" s="81" t="s">
        <v>2457</v>
      </c>
      <c r="I264" s="84" t="s">
        <v>2458</v>
      </c>
      <c r="J264" s="155"/>
      <c r="K264" s="37">
        <v>44146.0</v>
      </c>
      <c r="L264" s="37">
        <v>44154.0</v>
      </c>
      <c r="M264" s="85" t="s">
        <v>196</v>
      </c>
      <c r="N264" s="85" t="s">
        <v>29</v>
      </c>
      <c r="O264" s="37">
        <v>43882.0</v>
      </c>
      <c r="P264" s="37">
        <v>44013.0</v>
      </c>
      <c r="Q264" s="373"/>
      <c r="R264" s="200" t="s">
        <v>222</v>
      </c>
      <c r="S264" s="203" t="s">
        <v>97</v>
      </c>
      <c r="T264" s="181"/>
      <c r="U264" s="184"/>
      <c r="V264" s="536" t="s">
        <v>97</v>
      </c>
      <c r="W264" s="184"/>
      <c r="X264" s="184"/>
      <c r="Y264" s="184"/>
      <c r="Z264" s="184"/>
      <c r="AA264" s="184"/>
      <c r="AB264" s="184"/>
      <c r="AC264" s="184"/>
      <c r="AD264" s="186"/>
      <c r="AE264" s="187"/>
      <c r="AF264" s="184"/>
      <c r="AG264" s="187"/>
      <c r="AH264" s="189"/>
      <c r="AI264" s="189"/>
      <c r="AJ264" s="189"/>
      <c r="AK264" s="189"/>
      <c r="AL264" s="189"/>
      <c r="AM264" s="189"/>
      <c r="AN264" s="187"/>
      <c r="AO264" s="187"/>
      <c r="AP264" s="184"/>
      <c r="AQ264" s="187"/>
      <c r="AR264" s="187"/>
      <c r="AS264" s="119"/>
    </row>
    <row r="265">
      <c r="A265" s="137">
        <v>198.0</v>
      </c>
      <c r="B265" s="150"/>
      <c r="C265" s="104" t="s">
        <v>2459</v>
      </c>
      <c r="D265" s="105" t="s">
        <v>51</v>
      </c>
      <c r="E265" s="107" t="s">
        <v>51</v>
      </c>
      <c r="F265" s="101"/>
      <c r="G265" s="40" t="s">
        <v>2460</v>
      </c>
      <c r="H265" s="55" t="s">
        <v>2461</v>
      </c>
      <c r="I265" s="69" t="s">
        <v>2462</v>
      </c>
      <c r="J265" s="155"/>
      <c r="K265" s="37">
        <v>44000.0</v>
      </c>
      <c r="L265" s="37">
        <v>44003.0</v>
      </c>
      <c r="M265" s="73" t="s">
        <v>2463</v>
      </c>
      <c r="N265" s="73" t="s">
        <v>2464</v>
      </c>
      <c r="O265" s="113">
        <v>43830.0</v>
      </c>
      <c r="P265" s="37">
        <v>43905.0</v>
      </c>
      <c r="Q265" s="22"/>
      <c r="R265" s="22"/>
      <c r="S265" s="193" t="s">
        <v>97</v>
      </c>
      <c r="T265" s="157"/>
      <c r="U265" s="161"/>
      <c r="V265" s="241" t="s">
        <v>97</v>
      </c>
      <c r="W265" s="161"/>
      <c r="X265" s="161"/>
      <c r="Y265" s="161"/>
      <c r="Z265" s="161"/>
      <c r="AA265" s="161"/>
      <c r="AB265" s="161"/>
      <c r="AC265" s="161"/>
      <c r="AD265" s="161"/>
      <c r="AE265" s="161"/>
      <c r="AF265" s="161"/>
      <c r="AG265" s="161"/>
      <c r="AH265" s="163"/>
      <c r="AI265" s="163"/>
      <c r="AJ265" s="163"/>
      <c r="AK265" s="163"/>
      <c r="AL265" s="163"/>
      <c r="AM265" s="163"/>
      <c r="AN265" s="161"/>
      <c r="AO265" s="161"/>
      <c r="AP265" s="161"/>
      <c r="AQ265" s="161"/>
      <c r="AR265" s="161"/>
      <c r="AS265" s="119"/>
    </row>
    <row r="266">
      <c r="A266" s="101">
        <v>1014.0</v>
      </c>
      <c r="B266" s="173"/>
      <c r="C266" s="170" t="s">
        <v>2465</v>
      </c>
      <c r="D266" s="622" t="s">
        <v>51</v>
      </c>
      <c r="E266" s="622" t="s">
        <v>51</v>
      </c>
      <c r="F266" s="101"/>
      <c r="G266" s="256" t="s">
        <v>1942</v>
      </c>
      <c r="H266" s="89" t="s">
        <v>2466</v>
      </c>
      <c r="I266" s="259" t="s">
        <v>2467</v>
      </c>
      <c r="J266" s="288"/>
      <c r="K266" s="262">
        <v>43951.0</v>
      </c>
      <c r="L266" s="262">
        <v>43954.0</v>
      </c>
      <c r="M266" s="254" t="s">
        <v>2468</v>
      </c>
      <c r="N266" s="254" t="s">
        <v>72</v>
      </c>
      <c r="O266" s="262">
        <v>43864.0</v>
      </c>
      <c r="P266" s="262">
        <v>43875.0</v>
      </c>
      <c r="Q266" s="132"/>
      <c r="R266" s="132"/>
      <c r="S266" s="132"/>
      <c r="T266" s="236"/>
      <c r="U266" s="161"/>
      <c r="V266" s="536" t="s">
        <v>97</v>
      </c>
      <c r="W266" s="161"/>
      <c r="X266" s="161"/>
      <c r="Y266" s="161"/>
      <c r="Z266" s="161"/>
      <c r="AA266" s="161"/>
      <c r="AB266" s="161"/>
      <c r="AC266" s="161"/>
      <c r="AD266" s="161"/>
      <c r="AE266" s="161"/>
      <c r="AF266" s="161"/>
      <c r="AG266" s="237"/>
      <c r="AH266" s="163"/>
      <c r="AI266" s="163"/>
      <c r="AJ266" s="163"/>
      <c r="AK266" s="163"/>
      <c r="AL266" s="163"/>
      <c r="AM266" s="163"/>
      <c r="AN266" s="161"/>
      <c r="AO266" s="161"/>
      <c r="AP266" s="161"/>
      <c r="AQ266" s="161"/>
      <c r="AR266" s="161"/>
      <c r="AS266" s="119"/>
    </row>
    <row r="267">
      <c r="A267" s="137">
        <v>199.0</v>
      </c>
      <c r="B267" s="150"/>
      <c r="C267" s="104" t="s">
        <v>2469</v>
      </c>
      <c r="D267" s="105" t="s">
        <v>51</v>
      </c>
      <c r="E267" s="107" t="s">
        <v>51</v>
      </c>
      <c r="F267" s="101"/>
      <c r="G267" s="40" t="s">
        <v>2470</v>
      </c>
      <c r="H267" s="81" t="s">
        <v>2471</v>
      </c>
      <c r="I267" s="69" t="s">
        <v>2472</v>
      </c>
      <c r="J267" s="155"/>
      <c r="K267" s="37">
        <v>44137.0</v>
      </c>
      <c r="L267" s="37">
        <v>44142.0</v>
      </c>
      <c r="M267" s="73" t="s">
        <v>2473</v>
      </c>
      <c r="N267" s="73" t="s">
        <v>967</v>
      </c>
      <c r="O267" s="113">
        <v>43896.0</v>
      </c>
      <c r="P267" s="37">
        <v>43994.0</v>
      </c>
      <c r="Q267" s="22"/>
      <c r="R267" s="22"/>
      <c r="S267" s="193" t="s">
        <v>97</v>
      </c>
      <c r="T267" s="157"/>
      <c r="U267" s="194"/>
      <c r="V267" s="195" t="s">
        <v>97</v>
      </c>
      <c r="W267" s="194"/>
      <c r="X267" s="194"/>
      <c r="Y267" s="194"/>
      <c r="Z267" s="194"/>
      <c r="AA267" s="194"/>
      <c r="AB267" s="194"/>
      <c r="AC267" s="194"/>
      <c r="AD267" s="186"/>
      <c r="AE267" s="187"/>
      <c r="AF267" s="194"/>
      <c r="AG267" s="187"/>
      <c r="AH267" s="189"/>
      <c r="AI267" s="189"/>
      <c r="AJ267" s="189"/>
      <c r="AK267" s="189"/>
      <c r="AL267" s="189"/>
      <c r="AM267" s="189"/>
      <c r="AN267" s="187"/>
      <c r="AO267" s="187"/>
      <c r="AP267" s="194"/>
      <c r="AQ267" s="187"/>
      <c r="AR267" s="187"/>
      <c r="AS267" s="119"/>
    </row>
    <row r="268">
      <c r="A268" s="101">
        <v>200.0</v>
      </c>
      <c r="B268" s="150">
        <v>9.0</v>
      </c>
      <c r="C268" s="104" t="s">
        <v>2474</v>
      </c>
      <c r="D268" s="105" t="s">
        <v>51</v>
      </c>
      <c r="E268" s="107" t="s">
        <v>51</v>
      </c>
      <c r="F268" s="101"/>
      <c r="G268" s="40" t="s">
        <v>2475</v>
      </c>
      <c r="H268" s="55" t="s">
        <v>2476</v>
      </c>
      <c r="I268" s="69" t="s">
        <v>2477</v>
      </c>
      <c r="J268" s="630"/>
      <c r="K268" s="631">
        <v>44091.0</v>
      </c>
      <c r="L268" s="632">
        <v>44094.0</v>
      </c>
      <c r="M268" s="156" t="s">
        <v>136</v>
      </c>
      <c r="N268" s="73" t="s">
        <v>110</v>
      </c>
      <c r="O268" s="631">
        <v>43847.0</v>
      </c>
      <c r="P268" s="632">
        <v>43980.0</v>
      </c>
      <c r="Q268" s="22"/>
      <c r="R268" s="22"/>
      <c r="S268" s="117"/>
      <c r="T268" s="157"/>
      <c r="U268" s="161"/>
      <c r="V268" s="241" t="s">
        <v>97</v>
      </c>
      <c r="W268" s="161"/>
      <c r="X268" s="161"/>
      <c r="Y268" s="161"/>
      <c r="Z268" s="161"/>
      <c r="AA268" s="161"/>
      <c r="AB268" s="161"/>
      <c r="AC268" s="161"/>
      <c r="AD268" s="161"/>
      <c r="AE268" s="161"/>
      <c r="AF268" s="161"/>
      <c r="AG268" s="161"/>
      <c r="AH268" s="163"/>
      <c r="AI268" s="163"/>
      <c r="AJ268" s="163"/>
      <c r="AK268" s="163"/>
      <c r="AL268" s="163"/>
      <c r="AM268" s="163"/>
      <c r="AN268" s="161"/>
      <c r="AO268" s="161"/>
      <c r="AP268" s="161"/>
      <c r="AQ268" s="161"/>
      <c r="AR268" s="161"/>
      <c r="AS268" s="119"/>
    </row>
    <row r="269">
      <c r="A269" s="137">
        <v>201.0</v>
      </c>
      <c r="B269" s="150"/>
      <c r="C269" s="104" t="s">
        <v>2478</v>
      </c>
      <c r="D269" s="105" t="s">
        <v>52</v>
      </c>
      <c r="E269" s="107" t="s">
        <v>52</v>
      </c>
      <c r="F269" s="101"/>
      <c r="G269" s="40" t="s">
        <v>2479</v>
      </c>
      <c r="H269" s="55" t="s">
        <v>2480</v>
      </c>
      <c r="I269" s="69" t="s">
        <v>2481</v>
      </c>
      <c r="J269" s="155"/>
      <c r="K269" s="37">
        <v>43875.0</v>
      </c>
      <c r="L269" s="37">
        <v>43876.0</v>
      </c>
      <c r="M269" s="174" t="s">
        <v>2482</v>
      </c>
      <c r="N269" s="73" t="s">
        <v>350</v>
      </c>
      <c r="O269" s="113">
        <v>43708.0</v>
      </c>
      <c r="P269" s="37">
        <v>43830.0</v>
      </c>
      <c r="Q269" s="22"/>
      <c r="R269" s="22"/>
      <c r="S269" s="117"/>
      <c r="T269" s="157"/>
      <c r="U269" s="161"/>
      <c r="V269" s="161"/>
      <c r="W269" s="120" t="s">
        <v>97</v>
      </c>
      <c r="X269" s="161"/>
      <c r="Y269" s="161"/>
      <c r="Z269" s="161"/>
      <c r="AA269" s="161"/>
      <c r="AB269" s="161"/>
      <c r="AC269" s="161"/>
      <c r="AD269" s="161"/>
      <c r="AE269" s="161"/>
      <c r="AF269" s="161"/>
      <c r="AG269" s="161"/>
      <c r="AH269" s="163"/>
      <c r="AI269" s="163"/>
      <c r="AJ269" s="163"/>
      <c r="AK269" s="163"/>
      <c r="AL269" s="163"/>
      <c r="AM269" s="163"/>
      <c r="AN269" s="161"/>
      <c r="AO269" s="161"/>
      <c r="AP269" s="161"/>
      <c r="AQ269" s="161"/>
      <c r="AR269" s="161"/>
      <c r="AS269" s="119"/>
    </row>
    <row r="270">
      <c r="A270" s="137">
        <v>991.0</v>
      </c>
      <c r="B270" s="122">
        <v>10.0</v>
      </c>
      <c r="C270" s="123" t="s">
        <v>2483</v>
      </c>
      <c r="D270" s="124" t="s">
        <v>71</v>
      </c>
      <c r="E270" s="126" t="s">
        <v>71</v>
      </c>
      <c r="F270" s="144"/>
      <c r="G270" s="87" t="s">
        <v>2484</v>
      </c>
      <c r="H270" s="89" t="s">
        <v>2485</v>
      </c>
      <c r="I270" s="91" t="str">
        <f>HYPERLINK("https://doubleexposurefestival.com/","https://doubleexposurefestival.com/")</f>
        <v>https://doubleexposurefestival.com/</v>
      </c>
      <c r="J270" s="630"/>
      <c r="K270" s="631">
        <v>44112.0</v>
      </c>
      <c r="L270" s="632">
        <v>44115.0</v>
      </c>
      <c r="M270" s="130" t="s">
        <v>585</v>
      </c>
      <c r="N270" s="264" t="s">
        <v>132</v>
      </c>
      <c r="O270" s="633" t="s">
        <v>24</v>
      </c>
      <c r="P270" s="634" t="s">
        <v>24</v>
      </c>
      <c r="Q270" s="131"/>
      <c r="R270" s="132"/>
      <c r="S270" s="148" t="s">
        <v>97</v>
      </c>
      <c r="T270" s="118"/>
      <c r="U270" s="119"/>
      <c r="V270" s="119"/>
      <c r="W270" s="119"/>
      <c r="X270" s="119"/>
      <c r="Y270" s="134"/>
      <c r="Z270" s="119"/>
      <c r="AA270" s="119"/>
      <c r="AB270" s="119"/>
      <c r="AC270" s="119"/>
      <c r="AD270" s="119"/>
      <c r="AE270" s="119"/>
      <c r="AF270" s="119"/>
      <c r="AG270" s="119"/>
      <c r="AH270" s="121"/>
      <c r="AI270" s="121"/>
      <c r="AJ270" s="121"/>
      <c r="AK270" s="121"/>
      <c r="AL270" s="121"/>
      <c r="AM270" s="165" t="s">
        <v>97</v>
      </c>
      <c r="AN270" s="119"/>
      <c r="AO270" s="119"/>
      <c r="AP270" s="119"/>
      <c r="AQ270" s="119"/>
      <c r="AR270" s="119"/>
      <c r="AS270" s="119"/>
    </row>
    <row r="271">
      <c r="A271" s="137">
        <v>202.0</v>
      </c>
      <c r="B271" s="150"/>
      <c r="C271" s="104" t="s">
        <v>2486</v>
      </c>
      <c r="D271" s="138" t="s">
        <v>75</v>
      </c>
      <c r="E271" s="107" t="s">
        <v>345</v>
      </c>
      <c r="F271" s="101"/>
      <c r="G271" s="40" t="s">
        <v>2487</v>
      </c>
      <c r="H271" s="55" t="s">
        <v>2488</v>
      </c>
      <c r="I271" s="69" t="s">
        <v>2489</v>
      </c>
      <c r="J271" s="155"/>
      <c r="K271" s="37">
        <v>43881.0</v>
      </c>
      <c r="L271" s="37">
        <v>43883.0</v>
      </c>
      <c r="M271" s="73" t="s">
        <v>2490</v>
      </c>
      <c r="N271" s="73" t="s">
        <v>336</v>
      </c>
      <c r="O271" s="113">
        <v>43800.0</v>
      </c>
      <c r="P271" s="37">
        <v>43831.0</v>
      </c>
      <c r="Q271" s="22"/>
      <c r="R271" s="22"/>
      <c r="S271" s="117"/>
      <c r="T271" s="157" t="s">
        <v>50</v>
      </c>
      <c r="U271" s="161"/>
      <c r="V271" s="161"/>
      <c r="W271" s="161"/>
      <c r="X271" s="161"/>
      <c r="Y271" s="161"/>
      <c r="Z271" s="161"/>
      <c r="AA271" s="161"/>
      <c r="AB271" s="161"/>
      <c r="AC271" s="161"/>
      <c r="AD271" s="161"/>
      <c r="AE271" s="161"/>
      <c r="AF271" s="161"/>
      <c r="AG271" s="161"/>
      <c r="AH271" s="163"/>
      <c r="AI271" s="163"/>
      <c r="AJ271" s="163"/>
      <c r="AK271" s="163"/>
      <c r="AL271" s="163"/>
      <c r="AM271" s="163"/>
      <c r="AN271" s="143" t="s">
        <v>97</v>
      </c>
      <c r="AO271" s="161"/>
      <c r="AP271" s="161"/>
      <c r="AQ271" s="161"/>
      <c r="AR271" s="161"/>
      <c r="AS271" s="119"/>
    </row>
    <row r="272">
      <c r="A272" s="101">
        <v>838.0</v>
      </c>
      <c r="B272" s="103"/>
      <c r="C272" s="104" t="s">
        <v>2491</v>
      </c>
      <c r="D272" s="138" t="s">
        <v>63</v>
      </c>
      <c r="E272" s="107" t="s">
        <v>1297</v>
      </c>
      <c r="F272" s="109"/>
      <c r="G272" s="10" t="s">
        <v>2492</v>
      </c>
      <c r="H272" s="17" t="s">
        <v>2493</v>
      </c>
      <c r="I272" s="111" t="s">
        <v>2494</v>
      </c>
      <c r="J272" s="112"/>
      <c r="K272" s="113">
        <v>44077.0</v>
      </c>
      <c r="L272" s="113">
        <v>44081.0</v>
      </c>
      <c r="M272" s="24" t="s">
        <v>322</v>
      </c>
      <c r="N272" s="24" t="s">
        <v>19</v>
      </c>
      <c r="O272" s="22" t="s">
        <v>27</v>
      </c>
      <c r="P272" s="22" t="s">
        <v>27</v>
      </c>
      <c r="Q272" s="223"/>
      <c r="R272" s="223"/>
      <c r="S272" s="224"/>
      <c r="T272" s="118"/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  <c r="AE272" s="119"/>
      <c r="AF272" s="119"/>
      <c r="AG272" s="275" t="s">
        <v>97</v>
      </c>
      <c r="AH272" s="121"/>
      <c r="AI272" s="121"/>
      <c r="AJ272" s="121"/>
      <c r="AK272" s="121"/>
      <c r="AL272" s="121"/>
      <c r="AM272" s="121"/>
      <c r="AN272" s="119"/>
      <c r="AO272" s="119"/>
      <c r="AP272" s="119"/>
      <c r="AQ272" s="119"/>
      <c r="AR272" s="119"/>
      <c r="AS272" s="119"/>
    </row>
    <row r="273">
      <c r="A273" s="137">
        <v>792.0</v>
      </c>
      <c r="B273" s="103">
        <v>10.0</v>
      </c>
      <c r="C273" s="104" t="s">
        <v>2495</v>
      </c>
      <c r="D273" s="105" t="s">
        <v>65</v>
      </c>
      <c r="E273" s="107" t="s">
        <v>65</v>
      </c>
      <c r="F273" s="109"/>
      <c r="G273" s="10" t="s">
        <v>2496</v>
      </c>
      <c r="H273" s="17" t="s">
        <v>2497</v>
      </c>
      <c r="I273" s="111" t="s">
        <v>2498</v>
      </c>
      <c r="J273" s="155"/>
      <c r="K273" s="22" t="s">
        <v>27</v>
      </c>
      <c r="L273" s="22" t="s">
        <v>27</v>
      </c>
      <c r="M273" s="24" t="s">
        <v>221</v>
      </c>
      <c r="N273" s="24" t="s">
        <v>72</v>
      </c>
      <c r="O273" s="22" t="s">
        <v>27</v>
      </c>
      <c r="P273" s="22" t="s">
        <v>27</v>
      </c>
      <c r="Q273" s="115"/>
      <c r="R273" s="115"/>
      <c r="S273" s="117"/>
      <c r="T273" s="118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  <c r="AG273" s="119"/>
      <c r="AH273" s="121"/>
      <c r="AI273" s="283" t="s">
        <v>97</v>
      </c>
      <c r="AJ273" s="121"/>
      <c r="AK273" s="121"/>
      <c r="AL273" s="121"/>
      <c r="AM273" s="121"/>
      <c r="AN273" s="119"/>
      <c r="AO273" s="119"/>
      <c r="AP273" s="119"/>
      <c r="AQ273" s="119"/>
      <c r="AR273" s="119"/>
      <c r="AS273" s="119"/>
    </row>
    <row r="274">
      <c r="A274" s="137">
        <v>791.0</v>
      </c>
      <c r="B274" s="103">
        <v>10.0</v>
      </c>
      <c r="C274" s="104" t="s">
        <v>2499</v>
      </c>
      <c r="D274" s="105" t="s">
        <v>48</v>
      </c>
      <c r="E274" s="107" t="s">
        <v>48</v>
      </c>
      <c r="F274" s="109"/>
      <c r="G274" s="10" t="s">
        <v>546</v>
      </c>
      <c r="H274" s="274" t="s">
        <v>547</v>
      </c>
      <c r="I274" s="111" t="s">
        <v>549</v>
      </c>
      <c r="J274" s="20" t="s">
        <v>78</v>
      </c>
      <c r="K274" s="22" t="s">
        <v>27</v>
      </c>
      <c r="L274" s="22" t="s">
        <v>27</v>
      </c>
      <c r="M274" s="24" t="s">
        <v>221</v>
      </c>
      <c r="N274" s="24" t="s">
        <v>72</v>
      </c>
      <c r="O274" s="22" t="s">
        <v>27</v>
      </c>
      <c r="P274" s="22" t="s">
        <v>27</v>
      </c>
      <c r="Q274" s="115"/>
      <c r="R274" s="115"/>
      <c r="S274" s="117"/>
      <c r="T274" s="118"/>
      <c r="U274" s="176" t="s">
        <v>97</v>
      </c>
      <c r="V274" s="119"/>
      <c r="W274" s="119"/>
      <c r="X274" s="119"/>
      <c r="Y274" s="119"/>
      <c r="Z274" s="119"/>
      <c r="AA274" s="119"/>
      <c r="AB274" s="119"/>
      <c r="AC274" s="119"/>
      <c r="AD274" s="119"/>
      <c r="AE274" s="119"/>
      <c r="AF274" s="119"/>
      <c r="AG274" s="119"/>
      <c r="AH274" s="121"/>
      <c r="AI274" s="121"/>
      <c r="AJ274" s="121"/>
      <c r="AK274" s="121"/>
      <c r="AL274" s="121"/>
      <c r="AM274" s="121"/>
      <c r="AN274" s="119"/>
      <c r="AO274" s="119"/>
      <c r="AP274" s="119"/>
      <c r="AQ274" s="119"/>
      <c r="AR274" s="119"/>
      <c r="AS274" s="119"/>
    </row>
    <row r="275">
      <c r="A275" s="101">
        <v>203.0</v>
      </c>
      <c r="B275" s="406"/>
      <c r="C275" s="104" t="s">
        <v>2500</v>
      </c>
      <c r="D275" s="105" t="s">
        <v>48</v>
      </c>
      <c r="E275" s="107" t="s">
        <v>48</v>
      </c>
      <c r="F275" s="627"/>
      <c r="G275" s="628" t="s">
        <v>2501</v>
      </c>
      <c r="H275" s="81" t="s">
        <v>2502</v>
      </c>
      <c r="I275" s="409" t="s">
        <v>2503</v>
      </c>
      <c r="J275" s="155"/>
      <c r="K275" s="37">
        <v>43985.0</v>
      </c>
      <c r="L275" s="37">
        <v>43989.0</v>
      </c>
      <c r="M275" s="410" t="s">
        <v>2504</v>
      </c>
      <c r="N275" s="410" t="s">
        <v>336</v>
      </c>
      <c r="O275" s="113">
        <v>43921.0</v>
      </c>
      <c r="P275" s="37">
        <v>43921.0</v>
      </c>
      <c r="Q275" s="22"/>
      <c r="R275" s="22"/>
      <c r="S275" s="117"/>
      <c r="T275" s="411"/>
      <c r="U275" s="412" t="s">
        <v>97</v>
      </c>
      <c r="V275" s="413"/>
      <c r="W275" s="413"/>
      <c r="X275" s="413"/>
      <c r="Y275" s="413"/>
      <c r="Z275" s="413"/>
      <c r="AA275" s="413"/>
      <c r="AB275" s="413"/>
      <c r="AC275" s="413"/>
      <c r="AD275" s="186"/>
      <c r="AE275" s="187"/>
      <c r="AF275" s="413"/>
      <c r="AG275" s="187"/>
      <c r="AH275" s="189"/>
      <c r="AI275" s="189"/>
      <c r="AJ275" s="189"/>
      <c r="AK275" s="189"/>
      <c r="AL275" s="189"/>
      <c r="AM275" s="189"/>
      <c r="AN275" s="187"/>
      <c r="AO275" s="187"/>
      <c r="AP275" s="413"/>
      <c r="AQ275" s="187"/>
      <c r="AR275" s="187"/>
      <c r="AS275" s="119"/>
    </row>
    <row r="276">
      <c r="A276" s="137">
        <v>204.0</v>
      </c>
      <c r="B276" s="177"/>
      <c r="C276" s="104" t="s">
        <v>2505</v>
      </c>
      <c r="D276" s="105" t="s">
        <v>48</v>
      </c>
      <c r="E276" s="107" t="s">
        <v>48</v>
      </c>
      <c r="F276" s="178"/>
      <c r="G276" s="77" t="s">
        <v>2506</v>
      </c>
      <c r="H276" s="81" t="s">
        <v>2507</v>
      </c>
      <c r="I276" s="84" t="s">
        <v>2508</v>
      </c>
      <c r="J276" s="155"/>
      <c r="K276" s="37">
        <v>43894.0</v>
      </c>
      <c r="L276" s="37">
        <v>43898.0</v>
      </c>
      <c r="M276" s="85" t="s">
        <v>2509</v>
      </c>
      <c r="N276" s="85" t="s">
        <v>110</v>
      </c>
      <c r="O276" s="113">
        <v>43678.0</v>
      </c>
      <c r="P276" s="37">
        <v>43770.0</v>
      </c>
      <c r="Q276" s="22"/>
      <c r="R276" s="22"/>
      <c r="S276" s="193" t="s">
        <v>97</v>
      </c>
      <c r="T276" s="181"/>
      <c r="U276" s="182" t="s">
        <v>97</v>
      </c>
      <c r="V276" s="184"/>
      <c r="W276" s="184"/>
      <c r="X276" s="184"/>
      <c r="Y276" s="184"/>
      <c r="Z276" s="184"/>
      <c r="AA276" s="184"/>
      <c r="AB276" s="184"/>
      <c r="AC276" s="184"/>
      <c r="AD276" s="186"/>
      <c r="AE276" s="187"/>
      <c r="AF276" s="184"/>
      <c r="AG276" s="187"/>
      <c r="AH276" s="189"/>
      <c r="AI276" s="189"/>
      <c r="AJ276" s="189"/>
      <c r="AK276" s="189"/>
      <c r="AL276" s="189"/>
      <c r="AM276" s="189"/>
      <c r="AN276" s="187"/>
      <c r="AO276" s="187"/>
      <c r="AP276" s="184"/>
      <c r="AQ276" s="187"/>
      <c r="AR276" s="187"/>
      <c r="AS276" s="119"/>
    </row>
    <row r="277">
      <c r="A277" s="137">
        <v>205.0</v>
      </c>
      <c r="B277" s="150"/>
      <c r="C277" s="104" t="s">
        <v>2510</v>
      </c>
      <c r="D277" s="138" t="s">
        <v>75</v>
      </c>
      <c r="E277" s="107" t="s">
        <v>345</v>
      </c>
      <c r="F277" s="101"/>
      <c r="G277" s="40" t="s">
        <v>465</v>
      </c>
      <c r="H277" s="55" t="s">
        <v>466</v>
      </c>
      <c r="I277" s="69" t="s">
        <v>467</v>
      </c>
      <c r="J277" s="20" t="s">
        <v>470</v>
      </c>
      <c r="K277" s="37">
        <v>43902.0</v>
      </c>
      <c r="L277" s="37">
        <v>43909.0</v>
      </c>
      <c r="M277" s="73" t="s">
        <v>471</v>
      </c>
      <c r="N277" s="73" t="s">
        <v>72</v>
      </c>
      <c r="O277" s="113">
        <v>43678.0</v>
      </c>
      <c r="P277" s="37">
        <v>43799.0</v>
      </c>
      <c r="Q277" s="22"/>
      <c r="R277" s="22"/>
      <c r="S277" s="117"/>
      <c r="T277" s="157" t="s">
        <v>50</v>
      </c>
      <c r="U277" s="161"/>
      <c r="V277" s="161"/>
      <c r="W277" s="161"/>
      <c r="X277" s="161"/>
      <c r="Y277" s="161"/>
      <c r="Z277" s="161"/>
      <c r="AA277" s="161"/>
      <c r="AB277" s="161"/>
      <c r="AC277" s="161"/>
      <c r="AD277" s="161"/>
      <c r="AE277" s="161"/>
      <c r="AF277" s="161"/>
      <c r="AG277" s="161"/>
      <c r="AH277" s="163"/>
      <c r="AI277" s="163"/>
      <c r="AJ277" s="163"/>
      <c r="AK277" s="163"/>
      <c r="AL277" s="163"/>
      <c r="AM277" s="163"/>
      <c r="AN277" s="143" t="s">
        <v>97</v>
      </c>
      <c r="AO277" s="161"/>
      <c r="AP277" s="161"/>
      <c r="AQ277" s="161"/>
      <c r="AR277" s="161"/>
      <c r="AS277" s="119"/>
    </row>
    <row r="278">
      <c r="A278" s="101">
        <v>206.0</v>
      </c>
      <c r="B278" s="150"/>
      <c r="C278" s="104" t="s">
        <v>2511</v>
      </c>
      <c r="D278" s="138" t="s">
        <v>75</v>
      </c>
      <c r="E278" s="107" t="s">
        <v>104</v>
      </c>
      <c r="F278" s="101"/>
      <c r="G278" s="40" t="s">
        <v>2512</v>
      </c>
      <c r="H278" s="55" t="s">
        <v>2513</v>
      </c>
      <c r="I278" s="69" t="s">
        <v>2514</v>
      </c>
      <c r="J278" s="155"/>
      <c r="K278" s="37">
        <v>43947.0</v>
      </c>
      <c r="L278" s="37">
        <v>43947.0</v>
      </c>
      <c r="M278" s="73" t="s">
        <v>2515</v>
      </c>
      <c r="N278" s="73" t="s">
        <v>80</v>
      </c>
      <c r="O278" s="113">
        <v>43819.0</v>
      </c>
      <c r="P278" s="37">
        <v>43882.0</v>
      </c>
      <c r="Q278" s="22"/>
      <c r="R278" s="22"/>
      <c r="S278" s="117"/>
      <c r="T278" s="157" t="s">
        <v>50</v>
      </c>
      <c r="U278" s="161"/>
      <c r="V278" s="161"/>
      <c r="W278" s="120" t="s">
        <v>97</v>
      </c>
      <c r="X278" s="161"/>
      <c r="Y278" s="161"/>
      <c r="Z278" s="161"/>
      <c r="AA278" s="161"/>
      <c r="AB278" s="161"/>
      <c r="AC278" s="161"/>
      <c r="AD278" s="161"/>
      <c r="AE278" s="161"/>
      <c r="AF278" s="161"/>
      <c r="AG278" s="161"/>
      <c r="AH278" s="163"/>
      <c r="AI278" s="163"/>
      <c r="AJ278" s="163"/>
      <c r="AK278" s="163"/>
      <c r="AL278" s="163"/>
      <c r="AM278" s="163"/>
      <c r="AN278" s="143" t="s">
        <v>97</v>
      </c>
      <c r="AO278" s="161"/>
      <c r="AP278" s="161"/>
      <c r="AQ278" s="161"/>
      <c r="AR278" s="161"/>
      <c r="AS278" s="119"/>
    </row>
    <row r="279">
      <c r="A279" s="137">
        <v>207.0</v>
      </c>
      <c r="B279" s="177">
        <v>11.0</v>
      </c>
      <c r="C279" s="104" t="s">
        <v>2516</v>
      </c>
      <c r="D279" s="105" t="s">
        <v>48</v>
      </c>
      <c r="E279" s="107" t="s">
        <v>48</v>
      </c>
      <c r="F279" s="178"/>
      <c r="G279" s="77" t="s">
        <v>2517</v>
      </c>
      <c r="H279" s="81" t="s">
        <v>2518</v>
      </c>
      <c r="I279" s="84" t="s">
        <v>2519</v>
      </c>
      <c r="J279" s="155"/>
      <c r="K279" s="22" t="s">
        <v>27</v>
      </c>
      <c r="L279" s="22" t="s">
        <v>27</v>
      </c>
      <c r="M279" s="85" t="s">
        <v>2520</v>
      </c>
      <c r="N279" s="85" t="s">
        <v>155</v>
      </c>
      <c r="O279" s="22" t="s">
        <v>27</v>
      </c>
      <c r="P279" s="22" t="s">
        <v>27</v>
      </c>
      <c r="Q279" s="373"/>
      <c r="R279" s="373"/>
      <c r="S279" s="224"/>
      <c r="T279" s="181"/>
      <c r="U279" s="182" t="s">
        <v>97</v>
      </c>
      <c r="V279" s="184"/>
      <c r="W279" s="184"/>
      <c r="X279" s="184"/>
      <c r="Y279" s="184"/>
      <c r="Z279" s="184"/>
      <c r="AA279" s="184"/>
      <c r="AB279" s="184"/>
      <c r="AC279" s="184"/>
      <c r="AD279" s="186"/>
      <c r="AE279" s="187"/>
      <c r="AF279" s="184"/>
      <c r="AG279" s="187"/>
      <c r="AH279" s="189"/>
      <c r="AI279" s="189"/>
      <c r="AJ279" s="189"/>
      <c r="AK279" s="189"/>
      <c r="AL279" s="189"/>
      <c r="AM279" s="189"/>
      <c r="AN279" s="187"/>
      <c r="AO279" s="187"/>
      <c r="AP279" s="184"/>
      <c r="AQ279" s="187"/>
      <c r="AR279" s="187"/>
      <c r="AS279" s="119"/>
    </row>
    <row r="280">
      <c r="A280" s="137">
        <v>788.0</v>
      </c>
      <c r="B280" s="103">
        <v>10.0</v>
      </c>
      <c r="C280" s="104" t="s">
        <v>2521</v>
      </c>
      <c r="D280" s="105" t="s">
        <v>48</v>
      </c>
      <c r="E280" s="107" t="s">
        <v>48</v>
      </c>
      <c r="F280" s="109"/>
      <c r="G280" s="10" t="s">
        <v>2522</v>
      </c>
      <c r="H280" s="17" t="s">
        <v>2523</v>
      </c>
      <c r="I280" s="111" t="s">
        <v>2524</v>
      </c>
      <c r="J280" s="630"/>
      <c r="K280" s="631">
        <v>44126.0</v>
      </c>
      <c r="L280" s="632">
        <v>44128.0</v>
      </c>
      <c r="M280" s="24" t="s">
        <v>2525</v>
      </c>
      <c r="N280" s="24" t="s">
        <v>594</v>
      </c>
      <c r="O280" s="631">
        <v>43910.0</v>
      </c>
      <c r="P280" s="632">
        <v>43994.0</v>
      </c>
      <c r="Q280" s="115"/>
      <c r="R280" s="115"/>
      <c r="S280" s="117"/>
      <c r="T280" s="118"/>
      <c r="U280" s="176" t="s">
        <v>97</v>
      </c>
      <c r="V280" s="119"/>
      <c r="W280" s="119"/>
      <c r="X280" s="119"/>
      <c r="Y280" s="119"/>
      <c r="Z280" s="119"/>
      <c r="AA280" s="119"/>
      <c r="AB280" s="119"/>
      <c r="AC280" s="119"/>
      <c r="AD280" s="119"/>
      <c r="AE280" s="119"/>
      <c r="AF280" s="119"/>
      <c r="AG280" s="119"/>
      <c r="AH280" s="121"/>
      <c r="AI280" s="121"/>
      <c r="AJ280" s="121"/>
      <c r="AK280" s="121"/>
      <c r="AL280" s="121"/>
      <c r="AM280" s="121"/>
      <c r="AN280" s="119"/>
      <c r="AO280" s="119"/>
      <c r="AP280" s="119"/>
      <c r="AQ280" s="119"/>
      <c r="AR280" s="119"/>
      <c r="AS280" s="119"/>
    </row>
    <row r="281">
      <c r="A281" s="101">
        <v>574.0</v>
      </c>
      <c r="B281" s="315"/>
      <c r="C281" s="104" t="s">
        <v>2526</v>
      </c>
      <c r="D281" s="138" t="s">
        <v>71</v>
      </c>
      <c r="E281" s="138" t="s">
        <v>71</v>
      </c>
      <c r="F281" s="178"/>
      <c r="G281" s="77" t="s">
        <v>1055</v>
      </c>
      <c r="H281" s="81" t="s">
        <v>1056</v>
      </c>
      <c r="I281" s="316" t="s">
        <v>24</v>
      </c>
      <c r="J281" s="20" t="s">
        <v>26</v>
      </c>
      <c r="K281" s="37">
        <v>43936.0</v>
      </c>
      <c r="L281" s="37">
        <v>43939.0</v>
      </c>
      <c r="M281" s="85" t="s">
        <v>1060</v>
      </c>
      <c r="N281" s="85" t="s">
        <v>231</v>
      </c>
      <c r="O281" s="113" t="s">
        <v>24</v>
      </c>
      <c r="P281" s="113" t="s">
        <v>24</v>
      </c>
      <c r="Q281" s="373"/>
      <c r="R281" s="373"/>
      <c r="S281" s="224"/>
      <c r="T281" s="181"/>
      <c r="U281" s="194"/>
      <c r="V281" s="184"/>
      <c r="W281" s="184"/>
      <c r="X281" s="184"/>
      <c r="Y281" s="184"/>
      <c r="Z281" s="184"/>
      <c r="AA281" s="184"/>
      <c r="AB281" s="184"/>
      <c r="AC281" s="184"/>
      <c r="AD281" s="186"/>
      <c r="AE281" s="187"/>
      <c r="AF281" s="184"/>
      <c r="AG281" s="187"/>
      <c r="AH281" s="189"/>
      <c r="AI281" s="189"/>
      <c r="AJ281" s="189"/>
      <c r="AK281" s="189"/>
      <c r="AL281" s="189"/>
      <c r="AM281" s="165" t="s">
        <v>97</v>
      </c>
      <c r="AN281" s="187"/>
      <c r="AO281" s="187"/>
      <c r="AP281" s="184"/>
      <c r="AQ281" s="187"/>
      <c r="AR281" s="187"/>
      <c r="AS281" s="119"/>
    </row>
    <row r="282">
      <c r="A282" s="137">
        <v>981.0</v>
      </c>
      <c r="B282" s="122"/>
      <c r="C282" s="123" t="s">
        <v>2527</v>
      </c>
      <c r="D282" s="124" t="s">
        <v>70</v>
      </c>
      <c r="E282" s="126" t="s">
        <v>70</v>
      </c>
      <c r="F282" s="127"/>
      <c r="G282" s="128" t="s">
        <v>2528</v>
      </c>
      <c r="H282" s="89" t="s">
        <v>2529</v>
      </c>
      <c r="I282" s="91" t="str">
        <f>HYPERLINK("https://filmfreeway.com/ElkhornValleyBEAD7FilmandMediaConference","https://filmfreeway.com/ElkhornValleyBEAD7FilmandMediaConference")</f>
        <v>https://filmfreeway.com/ElkhornValleyBEAD7FilmandMediaConference</v>
      </c>
      <c r="J282" s="288"/>
      <c r="K282" s="145">
        <v>43968.0</v>
      </c>
      <c r="L282" s="145">
        <v>43969.0</v>
      </c>
      <c r="M282" s="130" t="s">
        <v>2530</v>
      </c>
      <c r="N282" s="130" t="s">
        <v>2531</v>
      </c>
      <c r="O282" s="145">
        <v>43936.0</v>
      </c>
      <c r="P282" s="145">
        <v>43936.0</v>
      </c>
      <c r="Q282" s="131"/>
      <c r="R282" s="132"/>
      <c r="S282" s="132"/>
      <c r="T282" s="118"/>
      <c r="U282" s="119"/>
      <c r="V282" s="119"/>
      <c r="W282" s="119"/>
      <c r="X282" s="119"/>
      <c r="Y282" s="134"/>
      <c r="Z282" s="119"/>
      <c r="AA282" s="119"/>
      <c r="AB282" s="119"/>
      <c r="AC282" s="119"/>
      <c r="AD282" s="119"/>
      <c r="AE282" s="119"/>
      <c r="AF282" s="119"/>
      <c r="AG282" s="119"/>
      <c r="AH282" s="121"/>
      <c r="AI282" s="121"/>
      <c r="AJ282" s="121"/>
      <c r="AK282" s="121"/>
      <c r="AL282" s="149" t="s">
        <v>97</v>
      </c>
      <c r="AM282" s="189"/>
      <c r="AN282" s="119"/>
      <c r="AO282" s="119"/>
      <c r="AP282" s="119"/>
      <c r="AQ282" s="119"/>
      <c r="AR282" s="119"/>
      <c r="AS282" s="119"/>
    </row>
    <row r="283">
      <c r="A283" s="137">
        <v>780.0</v>
      </c>
      <c r="B283" s="103">
        <v>10.0</v>
      </c>
      <c r="C283" s="104" t="s">
        <v>2532</v>
      </c>
      <c r="D283" s="105" t="s">
        <v>48</v>
      </c>
      <c r="E283" s="107" t="s">
        <v>48</v>
      </c>
      <c r="F283" s="109"/>
      <c r="G283" s="10" t="s">
        <v>2533</v>
      </c>
      <c r="H283" s="17" t="s">
        <v>2534</v>
      </c>
      <c r="I283" s="111" t="s">
        <v>2535</v>
      </c>
      <c r="J283" s="630"/>
      <c r="K283" s="631">
        <v>44128.0</v>
      </c>
      <c r="L283" s="632">
        <v>44128.0</v>
      </c>
      <c r="M283" s="24" t="s">
        <v>2536</v>
      </c>
      <c r="N283" s="24" t="s">
        <v>251</v>
      </c>
      <c r="O283" s="631">
        <v>44043.0</v>
      </c>
      <c r="P283" s="632">
        <v>44043.0</v>
      </c>
      <c r="Q283" s="115"/>
      <c r="R283" s="115"/>
      <c r="S283" s="117"/>
      <c r="T283" s="118"/>
      <c r="U283" s="176" t="s">
        <v>97</v>
      </c>
      <c r="V283" s="119"/>
      <c r="W283" s="119"/>
      <c r="X283" s="119"/>
      <c r="Y283" s="119"/>
      <c r="Z283" s="119"/>
      <c r="AA283" s="119"/>
      <c r="AB283" s="119"/>
      <c r="AC283" s="119"/>
      <c r="AD283" s="119"/>
      <c r="AE283" s="119"/>
      <c r="AF283" s="119"/>
      <c r="AG283" s="119"/>
      <c r="AH283" s="121"/>
      <c r="AI283" s="121"/>
      <c r="AJ283" s="121"/>
      <c r="AK283" s="121"/>
      <c r="AL283" s="121"/>
      <c r="AM283" s="121"/>
      <c r="AN283" s="119"/>
      <c r="AO283" s="119"/>
      <c r="AP283" s="119"/>
      <c r="AQ283" s="119"/>
      <c r="AR283" s="119"/>
      <c r="AS283" s="119"/>
    </row>
    <row r="284">
      <c r="A284" s="137">
        <v>208.0</v>
      </c>
      <c r="B284" s="150"/>
      <c r="C284" s="104" t="s">
        <v>2537</v>
      </c>
      <c r="D284" s="138" t="s">
        <v>75</v>
      </c>
      <c r="E284" s="107" t="s">
        <v>345</v>
      </c>
      <c r="F284" s="101"/>
      <c r="G284" s="40" t="s">
        <v>1199</v>
      </c>
      <c r="H284" s="55" t="s">
        <v>1200</v>
      </c>
      <c r="I284" s="69" t="s">
        <v>1202</v>
      </c>
      <c r="J284" s="20" t="s">
        <v>1204</v>
      </c>
      <c r="K284" s="37">
        <v>43902.0</v>
      </c>
      <c r="L284" s="37">
        <v>43912.0</v>
      </c>
      <c r="M284" s="85" t="s">
        <v>131</v>
      </c>
      <c r="N284" s="73" t="s">
        <v>132</v>
      </c>
      <c r="O284" s="113">
        <v>43800.0</v>
      </c>
      <c r="P284" s="37">
        <v>43830.0</v>
      </c>
      <c r="Q284" s="22"/>
      <c r="R284" s="22"/>
      <c r="S284" s="117"/>
      <c r="T284" s="157" t="s">
        <v>50</v>
      </c>
      <c r="U284" s="161"/>
      <c r="V284" s="161"/>
      <c r="W284" s="161"/>
      <c r="X284" s="161"/>
      <c r="Y284" s="161"/>
      <c r="Z284" s="161"/>
      <c r="AA284" s="161"/>
      <c r="AB284" s="161"/>
      <c r="AC284" s="161"/>
      <c r="AD284" s="161"/>
      <c r="AE284" s="161"/>
      <c r="AF284" s="161"/>
      <c r="AG284" s="161"/>
      <c r="AH284" s="163"/>
      <c r="AI284" s="163"/>
      <c r="AJ284" s="163"/>
      <c r="AK284" s="163"/>
      <c r="AL284" s="163"/>
      <c r="AM284" s="163"/>
      <c r="AN284" s="143" t="s">
        <v>97</v>
      </c>
      <c r="AO284" s="161"/>
      <c r="AP284" s="161"/>
      <c r="AQ284" s="161"/>
      <c r="AR284" s="161"/>
      <c r="AS284" s="119"/>
    </row>
    <row r="285">
      <c r="A285" s="101">
        <v>209.0</v>
      </c>
      <c r="B285" s="150">
        <v>10.0</v>
      </c>
      <c r="C285" s="104" t="s">
        <v>2538</v>
      </c>
      <c r="D285" s="105" t="s">
        <v>66</v>
      </c>
      <c r="E285" s="107" t="s">
        <v>66</v>
      </c>
      <c r="F285" s="101"/>
      <c r="G285" s="40" t="s">
        <v>2539</v>
      </c>
      <c r="H285" s="55" t="s">
        <v>2540</v>
      </c>
      <c r="I285" s="69" t="s">
        <v>2541</v>
      </c>
      <c r="J285" s="630"/>
      <c r="K285" s="631">
        <v>44149.0</v>
      </c>
      <c r="L285" s="632">
        <v>44150.0</v>
      </c>
      <c r="M285" s="73" t="s">
        <v>279</v>
      </c>
      <c r="N285" s="73" t="s">
        <v>72</v>
      </c>
      <c r="O285" s="631">
        <v>44012.0</v>
      </c>
      <c r="P285" s="632">
        <v>44116.0</v>
      </c>
      <c r="Q285" s="22"/>
      <c r="R285" s="22"/>
      <c r="S285" s="117"/>
      <c r="T285" s="157"/>
      <c r="U285" s="161"/>
      <c r="V285" s="161"/>
      <c r="W285" s="161"/>
      <c r="X285" s="161"/>
      <c r="Y285" s="161"/>
      <c r="Z285" s="161"/>
      <c r="AA285" s="161"/>
      <c r="AB285" s="161"/>
      <c r="AC285" s="161"/>
      <c r="AD285" s="161"/>
      <c r="AE285" s="161"/>
      <c r="AF285" s="161"/>
      <c r="AG285" s="161"/>
      <c r="AH285" s="163"/>
      <c r="AI285" s="163"/>
      <c r="AJ285" s="242" t="s">
        <v>97</v>
      </c>
      <c r="AK285" s="163"/>
      <c r="AL285" s="163"/>
      <c r="AM285" s="163"/>
      <c r="AN285" s="161"/>
      <c r="AO285" s="161"/>
      <c r="AP285" s="161"/>
      <c r="AQ285" s="161"/>
      <c r="AR285" s="161"/>
      <c r="AS285" s="119"/>
    </row>
    <row r="286">
      <c r="A286" s="137">
        <v>210.0</v>
      </c>
      <c r="B286" s="150"/>
      <c r="C286" s="104" t="s">
        <v>2542</v>
      </c>
      <c r="D286" s="138" t="s">
        <v>63</v>
      </c>
      <c r="E286" s="107" t="s">
        <v>2543</v>
      </c>
      <c r="F286" s="101"/>
      <c r="G286" s="40" t="s">
        <v>2544</v>
      </c>
      <c r="H286" s="55" t="s">
        <v>2545</v>
      </c>
      <c r="I286" s="69" t="s">
        <v>2546</v>
      </c>
      <c r="J286" s="155"/>
      <c r="K286" s="37">
        <v>44011.0</v>
      </c>
      <c r="L286" s="37">
        <v>44011.0</v>
      </c>
      <c r="M286" s="73" t="s">
        <v>221</v>
      </c>
      <c r="N286" s="73" t="s">
        <v>72</v>
      </c>
      <c r="O286" s="113">
        <v>43769.0</v>
      </c>
      <c r="P286" s="37">
        <v>43891.0</v>
      </c>
      <c r="Q286" s="22"/>
      <c r="R286" s="22"/>
      <c r="S286" s="117"/>
      <c r="T286" s="157"/>
      <c r="U286" s="161"/>
      <c r="V286" s="161"/>
      <c r="W286" s="120" t="s">
        <v>97</v>
      </c>
      <c r="X286" s="401" t="s">
        <v>97</v>
      </c>
      <c r="Y286" s="161"/>
      <c r="Z286" s="161"/>
      <c r="AA286" s="161"/>
      <c r="AB286" s="161"/>
      <c r="AC286" s="161"/>
      <c r="AD286" s="161"/>
      <c r="AE286" s="161"/>
      <c r="AF286" s="161"/>
      <c r="AG286" s="275" t="s">
        <v>97</v>
      </c>
      <c r="AH286" s="163"/>
      <c r="AI286" s="163"/>
      <c r="AJ286" s="163"/>
      <c r="AK286" s="163"/>
      <c r="AL286" s="163"/>
      <c r="AM286" s="163"/>
      <c r="AN286" s="161"/>
      <c r="AO286" s="161"/>
      <c r="AP286" s="161"/>
      <c r="AQ286" s="161"/>
      <c r="AR286" s="161"/>
      <c r="AS286" s="119"/>
    </row>
    <row r="287">
      <c r="A287" s="101">
        <v>948.0</v>
      </c>
      <c r="B287" s="284"/>
      <c r="C287" s="123" t="s">
        <v>2547</v>
      </c>
      <c r="D287" s="285" t="s">
        <v>53</v>
      </c>
      <c r="E287" s="287" t="s">
        <v>108</v>
      </c>
      <c r="F287" s="312"/>
      <c r="G287" s="216" t="s">
        <v>887</v>
      </c>
      <c r="H287" s="89" t="s">
        <v>888</v>
      </c>
      <c r="I287" s="91" t="str">
        <f>HYPERLINK("https://filmfreeway.com/EverettFilmFestival","https://filmfreeway.com/EverettFilmFestival")</f>
        <v>https://filmfreeway.com/EverettFilmFestival</v>
      </c>
      <c r="J287" s="93" t="s">
        <v>78</v>
      </c>
      <c r="K287" s="145">
        <v>43931.0</v>
      </c>
      <c r="L287" s="145">
        <v>43932.0</v>
      </c>
      <c r="M287" s="130" t="s">
        <v>889</v>
      </c>
      <c r="N287" s="130" t="s">
        <v>251</v>
      </c>
      <c r="O287" s="145">
        <v>43801.0</v>
      </c>
      <c r="P287" s="145">
        <v>43801.0</v>
      </c>
      <c r="Q287" s="131"/>
      <c r="R287" s="132"/>
      <c r="S287" s="132"/>
      <c r="T287" s="118"/>
      <c r="U287" s="119"/>
      <c r="V287" s="119"/>
      <c r="W287" s="119"/>
      <c r="X287" s="401" t="s">
        <v>97</v>
      </c>
      <c r="Y287" s="134"/>
      <c r="Z287" s="119"/>
      <c r="AA287" s="119"/>
      <c r="AB287" s="119"/>
      <c r="AC287" s="119"/>
      <c r="AD287" s="119"/>
      <c r="AE287" s="119"/>
      <c r="AF287" s="119"/>
      <c r="AG287" s="119"/>
      <c r="AH287" s="121"/>
      <c r="AI287" s="121"/>
      <c r="AJ287" s="121"/>
      <c r="AK287" s="121"/>
      <c r="AL287" s="121"/>
      <c r="AM287" s="135"/>
      <c r="AN287" s="119"/>
      <c r="AO287" s="119"/>
      <c r="AP287" s="119"/>
      <c r="AQ287" s="119"/>
      <c r="AR287" s="119"/>
      <c r="AS287" s="119"/>
    </row>
    <row r="288">
      <c r="A288" s="137">
        <v>1008.0</v>
      </c>
      <c r="B288" s="173"/>
      <c r="C288" s="635" t="s">
        <v>2548</v>
      </c>
      <c r="D288" s="107" t="s">
        <v>91</v>
      </c>
      <c r="E288" s="107" t="s">
        <v>91</v>
      </c>
      <c r="F288" s="101"/>
      <c r="G288" s="40" t="s">
        <v>420</v>
      </c>
      <c r="H288" s="234" t="s">
        <v>421</v>
      </c>
      <c r="I288" s="235" t="s">
        <v>424</v>
      </c>
      <c r="J288" s="20" t="s">
        <v>78</v>
      </c>
      <c r="K288" s="22">
        <v>43935.0</v>
      </c>
      <c r="L288" s="22">
        <v>43939.0</v>
      </c>
      <c r="M288" s="73" t="s">
        <v>429</v>
      </c>
      <c r="N288" s="179" t="s">
        <v>430</v>
      </c>
      <c r="O288" s="22">
        <v>43770.0</v>
      </c>
      <c r="P288" s="22">
        <v>43770.0</v>
      </c>
      <c r="Q288" s="22"/>
      <c r="R288" s="22"/>
      <c r="S288" s="117"/>
      <c r="T288" s="236"/>
      <c r="U288" s="161"/>
      <c r="V288" s="161"/>
      <c r="W288" s="161"/>
      <c r="X288" s="161"/>
      <c r="Y288" s="161"/>
      <c r="Z288" s="161"/>
      <c r="AA288" s="161"/>
      <c r="AB288" s="161"/>
      <c r="AC288" s="161"/>
      <c r="AD288" s="161"/>
      <c r="AE288" s="161"/>
      <c r="AF288" s="161"/>
      <c r="AG288" s="237"/>
      <c r="AH288" s="163"/>
      <c r="AI288" s="163"/>
      <c r="AJ288" s="163"/>
      <c r="AK288" s="163"/>
      <c r="AL288" s="163"/>
      <c r="AM288" s="163"/>
      <c r="AN288" s="161"/>
      <c r="AO288" s="161"/>
      <c r="AP288" s="161"/>
      <c r="AQ288" s="161"/>
      <c r="AR288" s="161"/>
      <c r="AS288" s="238" t="s">
        <v>97</v>
      </c>
    </row>
    <row r="289">
      <c r="A289" s="137">
        <v>211.0</v>
      </c>
      <c r="B289" s="150"/>
      <c r="C289" s="104" t="s">
        <v>2549</v>
      </c>
      <c r="D289" s="138" t="s">
        <v>71</v>
      </c>
      <c r="E289" s="107" t="s">
        <v>71</v>
      </c>
      <c r="F289" s="101"/>
      <c r="G289" s="40" t="s">
        <v>2550</v>
      </c>
      <c r="H289" s="55" t="s">
        <v>2551</v>
      </c>
      <c r="I289" s="69" t="s">
        <v>2552</v>
      </c>
      <c r="J289" s="155"/>
      <c r="K289" s="37">
        <v>43853.0</v>
      </c>
      <c r="L289" s="37">
        <v>43855.0</v>
      </c>
      <c r="M289" s="156" t="s">
        <v>196</v>
      </c>
      <c r="N289" s="73" t="s">
        <v>29</v>
      </c>
      <c r="O289" s="113">
        <v>43709.0</v>
      </c>
      <c r="P289" s="113">
        <v>43770.0</v>
      </c>
      <c r="Q289" s="373"/>
      <c r="R289" s="373"/>
      <c r="S289" s="224"/>
      <c r="T289" s="157"/>
      <c r="U289" s="161"/>
      <c r="V289" s="161"/>
      <c r="W289" s="161"/>
      <c r="X289" s="161"/>
      <c r="Y289" s="161"/>
      <c r="Z289" s="161"/>
      <c r="AA289" s="161"/>
      <c r="AB289" s="161"/>
      <c r="AC289" s="161"/>
      <c r="AD289" s="161"/>
      <c r="AE289" s="161"/>
      <c r="AF289" s="161"/>
      <c r="AG289" s="161"/>
      <c r="AH289" s="163"/>
      <c r="AI289" s="163"/>
      <c r="AJ289" s="163"/>
      <c r="AK289" s="163"/>
      <c r="AL289" s="163"/>
      <c r="AM289" s="165" t="s">
        <v>97</v>
      </c>
      <c r="AN289" s="161"/>
      <c r="AO289" s="161"/>
      <c r="AP289" s="161"/>
      <c r="AQ289" s="161"/>
      <c r="AR289" s="161"/>
      <c r="AS289" s="119"/>
    </row>
    <row r="290">
      <c r="A290" s="101">
        <v>212.0</v>
      </c>
      <c r="B290" s="150"/>
      <c r="C290" s="104" t="s">
        <v>2553</v>
      </c>
      <c r="D290" s="105" t="s">
        <v>52</v>
      </c>
      <c r="E290" s="107" t="s">
        <v>52</v>
      </c>
      <c r="F290" s="101"/>
      <c r="G290" s="40" t="s">
        <v>2554</v>
      </c>
      <c r="H290" s="55" t="s">
        <v>2555</v>
      </c>
      <c r="I290" s="69" t="s">
        <v>2556</v>
      </c>
      <c r="J290" s="155"/>
      <c r="K290" s="37">
        <v>43966.0</v>
      </c>
      <c r="L290" s="37">
        <v>43967.0</v>
      </c>
      <c r="M290" s="174" t="s">
        <v>387</v>
      </c>
      <c r="N290" s="73" t="s">
        <v>102</v>
      </c>
      <c r="O290" s="113">
        <v>43890.0</v>
      </c>
      <c r="P290" s="37">
        <v>43910.0</v>
      </c>
      <c r="Q290" s="22"/>
      <c r="R290" s="22"/>
      <c r="S290" s="117"/>
      <c r="T290" s="157"/>
      <c r="U290" s="161"/>
      <c r="V290" s="161"/>
      <c r="W290" s="120" t="s">
        <v>97</v>
      </c>
      <c r="X290" s="161"/>
      <c r="Y290" s="161"/>
      <c r="Z290" s="161"/>
      <c r="AA290" s="161"/>
      <c r="AB290" s="161"/>
      <c r="AC290" s="161"/>
      <c r="AD290" s="161"/>
      <c r="AE290" s="161"/>
      <c r="AF290" s="161"/>
      <c r="AG290" s="161"/>
      <c r="AH290" s="163"/>
      <c r="AI290" s="163"/>
      <c r="AJ290" s="163"/>
      <c r="AK290" s="163"/>
      <c r="AL290" s="163"/>
      <c r="AM290" s="163"/>
      <c r="AN290" s="161"/>
      <c r="AO290" s="161"/>
      <c r="AP290" s="161"/>
      <c r="AQ290" s="161"/>
      <c r="AR290" s="161"/>
      <c r="AS290" s="119"/>
    </row>
    <row r="291">
      <c r="A291" s="137">
        <v>1009.0</v>
      </c>
      <c r="B291" s="173">
        <v>10.0</v>
      </c>
      <c r="C291" s="104" t="s">
        <v>2557</v>
      </c>
      <c r="D291" s="138" t="s">
        <v>66</v>
      </c>
      <c r="E291" s="107" t="s">
        <v>2558</v>
      </c>
      <c r="F291" s="101"/>
      <c r="G291" s="40" t="s">
        <v>2559</v>
      </c>
      <c r="H291" s="234" t="s">
        <v>2560</v>
      </c>
      <c r="I291" s="235" t="s">
        <v>2560</v>
      </c>
      <c r="J291" s="155"/>
      <c r="K291" s="22" t="s">
        <v>27</v>
      </c>
      <c r="L291" s="22" t="s">
        <v>27</v>
      </c>
      <c r="M291" s="73" t="s">
        <v>221</v>
      </c>
      <c r="N291" s="179" t="s">
        <v>72</v>
      </c>
      <c r="O291" s="201" t="s">
        <v>24</v>
      </c>
      <c r="P291" s="201" t="s">
        <v>24</v>
      </c>
      <c r="Q291" s="22"/>
      <c r="R291" s="22"/>
      <c r="S291" s="117"/>
      <c r="T291" s="236"/>
      <c r="U291" s="161"/>
      <c r="V291" s="161"/>
      <c r="W291" s="161"/>
      <c r="X291" s="161"/>
      <c r="Y291" s="161"/>
      <c r="Z291" s="161"/>
      <c r="AA291" s="161"/>
      <c r="AB291" s="161"/>
      <c r="AC291" s="161"/>
      <c r="AD291" s="161"/>
      <c r="AE291" s="161"/>
      <c r="AF291" s="161"/>
      <c r="AG291" s="237"/>
      <c r="AH291" s="163"/>
      <c r="AI291" s="163"/>
      <c r="AJ291" s="242" t="s">
        <v>97</v>
      </c>
      <c r="AK291" s="163"/>
      <c r="AL291" s="163"/>
      <c r="AM291" s="163"/>
      <c r="AN291" s="161"/>
      <c r="AO291" s="161"/>
      <c r="AP291" s="161"/>
      <c r="AQ291" s="161"/>
      <c r="AR291" s="161"/>
      <c r="AS291" s="238" t="s">
        <v>97</v>
      </c>
    </row>
    <row r="292">
      <c r="A292" s="137">
        <v>802.0</v>
      </c>
      <c r="B292" s="103"/>
      <c r="C292" s="104" t="s">
        <v>2561</v>
      </c>
      <c r="D292" s="138" t="s">
        <v>71</v>
      </c>
      <c r="E292" s="107" t="s">
        <v>71</v>
      </c>
      <c r="F292" s="109"/>
      <c r="G292" s="10" t="s">
        <v>2562</v>
      </c>
      <c r="H292" s="17" t="s">
        <v>2563</v>
      </c>
      <c r="I292" s="111" t="s">
        <v>2564</v>
      </c>
      <c r="J292" s="112"/>
      <c r="K292" s="113">
        <v>44113.0</v>
      </c>
      <c r="L292" s="113">
        <v>44114.0</v>
      </c>
      <c r="M292" s="24" t="s">
        <v>2565</v>
      </c>
      <c r="N292" s="24" t="s">
        <v>622</v>
      </c>
      <c r="O292" s="114">
        <v>43799.0</v>
      </c>
      <c r="P292" s="114">
        <v>44058.0</v>
      </c>
      <c r="Q292" s="115"/>
      <c r="R292" s="115"/>
      <c r="S292" s="117"/>
      <c r="T292" s="118"/>
      <c r="U292" s="119"/>
      <c r="V292" s="119"/>
      <c r="W292" s="119"/>
      <c r="X292" s="119"/>
      <c r="Y292" s="119"/>
      <c r="Z292" s="119"/>
      <c r="AA292" s="119"/>
      <c r="AB292" s="119"/>
      <c r="AC292" s="119"/>
      <c r="AD292" s="119"/>
      <c r="AE292" s="119"/>
      <c r="AF292" s="119"/>
      <c r="AG292" s="119"/>
      <c r="AH292" s="121"/>
      <c r="AI292" s="121"/>
      <c r="AJ292" s="121"/>
      <c r="AK292" s="121"/>
      <c r="AL292" s="121"/>
      <c r="AM292" s="165" t="s">
        <v>97</v>
      </c>
      <c r="AN292" s="119"/>
      <c r="AO292" s="119"/>
      <c r="AP292" s="119"/>
      <c r="AQ292" s="119"/>
      <c r="AR292" s="119"/>
      <c r="AS292" s="119"/>
    </row>
    <row r="293">
      <c r="A293" s="137">
        <v>213.0</v>
      </c>
      <c r="B293" s="292"/>
      <c r="C293" s="104" t="s">
        <v>2566</v>
      </c>
      <c r="D293" s="105" t="s">
        <v>48</v>
      </c>
      <c r="E293" s="107" t="s">
        <v>48</v>
      </c>
      <c r="F293" s="518"/>
      <c r="G293" s="153" t="s">
        <v>2567</v>
      </c>
      <c r="H293" s="81" t="s">
        <v>2568</v>
      </c>
      <c r="I293" s="158" t="s">
        <v>2569</v>
      </c>
      <c r="J293" s="344"/>
      <c r="K293" s="152">
        <v>44147.0</v>
      </c>
      <c r="L293" s="152">
        <v>44150.0</v>
      </c>
      <c r="M293" s="73" t="s">
        <v>2570</v>
      </c>
      <c r="N293" s="73" t="s">
        <v>484</v>
      </c>
      <c r="O293" s="113">
        <v>44067.0</v>
      </c>
      <c r="P293" s="113">
        <v>44105.0</v>
      </c>
      <c r="Q293" s="373"/>
      <c r="R293" s="373"/>
      <c r="S293" s="203" t="s">
        <v>97</v>
      </c>
      <c r="T293" s="157"/>
      <c r="U293" s="293" t="s">
        <v>97</v>
      </c>
      <c r="V293" s="194"/>
      <c r="W293" s="194"/>
      <c r="X293" s="194"/>
      <c r="Y293" s="194"/>
      <c r="Z293" s="194"/>
      <c r="AA293" s="194"/>
      <c r="AB293" s="194"/>
      <c r="AC293" s="194"/>
      <c r="AD293" s="186"/>
      <c r="AE293" s="187"/>
      <c r="AF293" s="194"/>
      <c r="AG293" s="187"/>
      <c r="AH293" s="189"/>
      <c r="AI293" s="189"/>
      <c r="AJ293" s="189"/>
      <c r="AK293" s="189"/>
      <c r="AL293" s="189"/>
      <c r="AM293" s="189"/>
      <c r="AN293" s="187"/>
      <c r="AO293" s="187"/>
      <c r="AP293" s="194"/>
      <c r="AQ293" s="187"/>
      <c r="AR293" s="187"/>
      <c r="AS293" s="119"/>
    </row>
    <row r="294">
      <c r="A294" s="137">
        <v>214.0</v>
      </c>
      <c r="B294" s="150"/>
      <c r="C294" s="104" t="s">
        <v>2571</v>
      </c>
      <c r="D294" s="105" t="s">
        <v>64</v>
      </c>
      <c r="E294" s="107" t="s">
        <v>64</v>
      </c>
      <c r="F294" s="101"/>
      <c r="G294" s="40" t="s">
        <v>2572</v>
      </c>
      <c r="H294" s="55" t="s">
        <v>2573</v>
      </c>
      <c r="I294" s="69" t="s">
        <v>2574</v>
      </c>
      <c r="J294" s="155"/>
      <c r="K294" s="37">
        <v>44129.0</v>
      </c>
      <c r="L294" s="37">
        <v>44131.0</v>
      </c>
      <c r="M294" s="73" t="s">
        <v>684</v>
      </c>
      <c r="N294" s="73" t="s">
        <v>72</v>
      </c>
      <c r="O294" s="113">
        <v>43830.0</v>
      </c>
      <c r="P294" s="37">
        <v>44043.0</v>
      </c>
      <c r="Q294" s="22"/>
      <c r="R294" s="22"/>
      <c r="S294" s="117"/>
      <c r="T294" s="157"/>
      <c r="U294" s="161"/>
      <c r="V294" s="161"/>
      <c r="W294" s="161"/>
      <c r="X294" s="161"/>
      <c r="Y294" s="161"/>
      <c r="Z294" s="161"/>
      <c r="AA294" s="161"/>
      <c r="AB294" s="161"/>
      <c r="AC294" s="161"/>
      <c r="AD294" s="161"/>
      <c r="AE294" s="161"/>
      <c r="AF294" s="161"/>
      <c r="AG294" s="161"/>
      <c r="AH294" s="246" t="s">
        <v>97</v>
      </c>
      <c r="AI294" s="163"/>
      <c r="AJ294" s="163"/>
      <c r="AK294" s="163"/>
      <c r="AL294" s="163"/>
      <c r="AM294" s="163"/>
      <c r="AN294" s="161"/>
      <c r="AO294" s="161"/>
      <c r="AP294" s="161"/>
      <c r="AQ294" s="161"/>
      <c r="AR294" s="161"/>
      <c r="AS294" s="119"/>
    </row>
    <row r="295">
      <c r="A295" s="101">
        <v>215.0</v>
      </c>
      <c r="B295" s="177">
        <v>9.0</v>
      </c>
      <c r="C295" s="104" t="s">
        <v>2575</v>
      </c>
      <c r="D295" s="105" t="s">
        <v>48</v>
      </c>
      <c r="E295" s="107" t="s">
        <v>48</v>
      </c>
      <c r="F295" s="178"/>
      <c r="G295" s="77" t="s">
        <v>1824</v>
      </c>
      <c r="H295" s="81" t="s">
        <v>2576</v>
      </c>
      <c r="I295" s="84" t="s">
        <v>2577</v>
      </c>
      <c r="J295" s="630"/>
      <c r="K295" s="631">
        <v>44098.0</v>
      </c>
      <c r="L295" s="632">
        <v>44105.0</v>
      </c>
      <c r="M295" s="85" t="s">
        <v>165</v>
      </c>
      <c r="N295" s="85" t="s">
        <v>102</v>
      </c>
      <c r="O295" s="631">
        <v>43882.0</v>
      </c>
      <c r="P295" s="632">
        <v>44001.0</v>
      </c>
      <c r="Q295" s="22"/>
      <c r="R295" s="22"/>
      <c r="S295" s="117"/>
      <c r="T295" s="181"/>
      <c r="U295" s="182" t="s">
        <v>97</v>
      </c>
      <c r="V295" s="184"/>
      <c r="W295" s="184"/>
      <c r="X295" s="184"/>
      <c r="Y295" s="184"/>
      <c r="Z295" s="184"/>
      <c r="AA295" s="184"/>
      <c r="AB295" s="184"/>
      <c r="AC295" s="184"/>
      <c r="AD295" s="186"/>
      <c r="AE295" s="187"/>
      <c r="AF295" s="184"/>
      <c r="AG295" s="187"/>
      <c r="AH295" s="189"/>
      <c r="AI295" s="189"/>
      <c r="AJ295" s="189"/>
      <c r="AK295" s="189"/>
      <c r="AL295" s="189"/>
      <c r="AM295" s="189"/>
      <c r="AN295" s="187"/>
      <c r="AO295" s="187"/>
      <c r="AP295" s="184"/>
      <c r="AQ295" s="187"/>
      <c r="AR295" s="187"/>
      <c r="AS295" s="119"/>
    </row>
    <row r="296">
      <c r="A296" s="137">
        <v>216.0</v>
      </c>
      <c r="B296" s="177"/>
      <c r="C296" s="104" t="s">
        <v>2578</v>
      </c>
      <c r="D296" s="105" t="s">
        <v>48</v>
      </c>
      <c r="E296" s="107" t="s">
        <v>48</v>
      </c>
      <c r="F296" s="178"/>
      <c r="G296" s="77" t="s">
        <v>2579</v>
      </c>
      <c r="H296" s="81" t="s">
        <v>2580</v>
      </c>
      <c r="I296" s="84" t="s">
        <v>2581</v>
      </c>
      <c r="J296" s="155"/>
      <c r="K296" s="37">
        <v>44119.0</v>
      </c>
      <c r="L296" s="37">
        <v>44122.0</v>
      </c>
      <c r="M296" s="85" t="s">
        <v>1270</v>
      </c>
      <c r="N296" s="85" t="s">
        <v>1271</v>
      </c>
      <c r="O296" s="113">
        <v>44011.0</v>
      </c>
      <c r="P296" s="37">
        <v>44074.0</v>
      </c>
      <c r="Q296" s="22"/>
      <c r="R296" s="22"/>
      <c r="S296" s="117"/>
      <c r="T296" s="181"/>
      <c r="U296" s="182" t="s">
        <v>97</v>
      </c>
      <c r="V296" s="184"/>
      <c r="W296" s="184"/>
      <c r="X296" s="184"/>
      <c r="Y296" s="184"/>
      <c r="Z296" s="184"/>
      <c r="AA296" s="184"/>
      <c r="AB296" s="184"/>
      <c r="AC296" s="184"/>
      <c r="AD296" s="186"/>
      <c r="AE296" s="187"/>
      <c r="AF296" s="184"/>
      <c r="AG296" s="187"/>
      <c r="AH296" s="189"/>
      <c r="AI296" s="189"/>
      <c r="AJ296" s="189"/>
      <c r="AK296" s="189"/>
      <c r="AL296" s="189"/>
      <c r="AM296" s="189"/>
      <c r="AN296" s="187"/>
      <c r="AO296" s="187"/>
      <c r="AP296" s="184"/>
      <c r="AQ296" s="187"/>
      <c r="AR296" s="187"/>
      <c r="AS296" s="119"/>
    </row>
    <row r="297">
      <c r="A297" s="137">
        <v>217.0</v>
      </c>
      <c r="B297" s="292"/>
      <c r="C297" s="104" t="s">
        <v>2582</v>
      </c>
      <c r="D297" s="105" t="s">
        <v>48</v>
      </c>
      <c r="E297" s="107" t="s">
        <v>48</v>
      </c>
      <c r="F297" s="518"/>
      <c r="G297" s="153" t="s">
        <v>1266</v>
      </c>
      <c r="H297" s="81" t="s">
        <v>1267</v>
      </c>
      <c r="I297" s="158" t="s">
        <v>1268</v>
      </c>
      <c r="J297" s="20" t="s">
        <v>1269</v>
      </c>
      <c r="K297" s="37">
        <v>43907.0</v>
      </c>
      <c r="L297" s="37">
        <v>43911.0</v>
      </c>
      <c r="M297" s="73" t="s">
        <v>1270</v>
      </c>
      <c r="N297" s="73" t="s">
        <v>1271</v>
      </c>
      <c r="O297" s="113">
        <v>43678.0</v>
      </c>
      <c r="P297" s="37">
        <v>43770.0</v>
      </c>
      <c r="Q297" s="22"/>
      <c r="R297" s="22"/>
      <c r="S297" s="117"/>
      <c r="T297" s="157"/>
      <c r="U297" s="293" t="s">
        <v>97</v>
      </c>
      <c r="V297" s="194"/>
      <c r="W297" s="194"/>
      <c r="X297" s="194"/>
      <c r="Y297" s="194"/>
      <c r="Z297" s="194"/>
      <c r="AA297" s="194"/>
      <c r="AB297" s="194"/>
      <c r="AC297" s="194"/>
      <c r="AD297" s="186"/>
      <c r="AE297" s="187"/>
      <c r="AF297" s="194"/>
      <c r="AG297" s="187"/>
      <c r="AH297" s="189"/>
      <c r="AI297" s="189"/>
      <c r="AJ297" s="189"/>
      <c r="AK297" s="189"/>
      <c r="AL297" s="189"/>
      <c r="AM297" s="189"/>
      <c r="AN297" s="187"/>
      <c r="AO297" s="187"/>
      <c r="AP297" s="194"/>
      <c r="AQ297" s="187"/>
      <c r="AR297" s="187"/>
      <c r="AS297" s="119"/>
    </row>
    <row r="298">
      <c r="A298" s="101">
        <v>218.0</v>
      </c>
      <c r="B298" s="150"/>
      <c r="C298" s="104" t="s">
        <v>2583</v>
      </c>
      <c r="D298" s="138" t="s">
        <v>71</v>
      </c>
      <c r="E298" s="107" t="s">
        <v>71</v>
      </c>
      <c r="F298" s="101"/>
      <c r="G298" s="40" t="s">
        <v>2584</v>
      </c>
      <c r="H298" s="55" t="s">
        <v>2585</v>
      </c>
      <c r="I298" s="69" t="s">
        <v>2586</v>
      </c>
      <c r="J298" s="155"/>
      <c r="K298" s="37">
        <v>44119.0</v>
      </c>
      <c r="L298" s="37">
        <v>44119.0</v>
      </c>
      <c r="M298" s="73" t="s">
        <v>230</v>
      </c>
      <c r="N298" s="179" t="s">
        <v>231</v>
      </c>
      <c r="O298" s="113">
        <v>43831.0</v>
      </c>
      <c r="P298" s="37">
        <v>43983.0</v>
      </c>
      <c r="Q298" s="22"/>
      <c r="R298" s="22"/>
      <c r="S298" s="117"/>
      <c r="T298" s="236"/>
      <c r="U298" s="161"/>
      <c r="V298" s="161"/>
      <c r="W298" s="161"/>
      <c r="X298" s="161"/>
      <c r="Y298" s="161"/>
      <c r="Z298" s="161"/>
      <c r="AA298" s="161"/>
      <c r="AB298" s="161"/>
      <c r="AC298" s="161"/>
      <c r="AD298" s="161"/>
      <c r="AE298" s="161"/>
      <c r="AF298" s="161"/>
      <c r="AG298" s="161"/>
      <c r="AH298" s="163"/>
      <c r="AI298" s="163"/>
      <c r="AJ298" s="163"/>
      <c r="AK298" s="163"/>
      <c r="AL298" s="163"/>
      <c r="AM298" s="165" t="s">
        <v>97</v>
      </c>
      <c r="AN298" s="161"/>
      <c r="AO298" s="161"/>
      <c r="AP298" s="161"/>
      <c r="AQ298" s="161"/>
      <c r="AR298" s="161"/>
      <c r="AS298" s="119"/>
    </row>
    <row r="299">
      <c r="A299" s="137">
        <v>219.0</v>
      </c>
      <c r="B299" s="177">
        <v>10.0</v>
      </c>
      <c r="C299" s="104" t="s">
        <v>2587</v>
      </c>
      <c r="D299" s="105" t="s">
        <v>48</v>
      </c>
      <c r="E299" s="107" t="s">
        <v>48</v>
      </c>
      <c r="F299" s="228"/>
      <c r="G299" s="183" t="s">
        <v>2588</v>
      </c>
      <c r="H299" s="81" t="s">
        <v>2589</v>
      </c>
      <c r="I299" s="84" t="s">
        <v>2590</v>
      </c>
      <c r="J299" s="630"/>
      <c r="K299" s="631">
        <v>44140.0</v>
      </c>
      <c r="L299" s="632">
        <v>44142.0</v>
      </c>
      <c r="M299" s="85" t="s">
        <v>2591</v>
      </c>
      <c r="N299" s="85" t="s">
        <v>626</v>
      </c>
      <c r="O299" s="631">
        <v>43921.0</v>
      </c>
      <c r="P299" s="632">
        <v>44043.0</v>
      </c>
      <c r="Q299" s="22"/>
      <c r="R299" s="22"/>
      <c r="S299" s="117"/>
      <c r="T299" s="181"/>
      <c r="U299" s="182" t="s">
        <v>97</v>
      </c>
      <c r="V299" s="184"/>
      <c r="W299" s="184"/>
      <c r="X299" s="184"/>
      <c r="Y299" s="184"/>
      <c r="Z299" s="184"/>
      <c r="AA299" s="184"/>
      <c r="AB299" s="184"/>
      <c r="AC299" s="184"/>
      <c r="AD299" s="186"/>
      <c r="AE299" s="187"/>
      <c r="AF299" s="184"/>
      <c r="AG299" s="187"/>
      <c r="AH299" s="189"/>
      <c r="AI299" s="189"/>
      <c r="AJ299" s="189"/>
      <c r="AK299" s="189"/>
      <c r="AL299" s="189"/>
      <c r="AM299" s="189"/>
      <c r="AN299" s="187"/>
      <c r="AO299" s="187"/>
      <c r="AP299" s="184"/>
      <c r="AQ299" s="187"/>
      <c r="AR299" s="187"/>
      <c r="AS299" s="119"/>
    </row>
    <row r="300">
      <c r="A300" s="137">
        <v>220.0</v>
      </c>
      <c r="B300" s="177"/>
      <c r="C300" s="104" t="s">
        <v>2592</v>
      </c>
      <c r="D300" s="105" t="s">
        <v>64</v>
      </c>
      <c r="E300" s="107" t="s">
        <v>64</v>
      </c>
      <c r="F300" s="178"/>
      <c r="G300" s="77" t="s">
        <v>2593</v>
      </c>
      <c r="H300" s="81" t="s">
        <v>2594</v>
      </c>
      <c r="I300" s="84" t="s">
        <v>2595</v>
      </c>
      <c r="J300" s="155"/>
      <c r="K300" s="37">
        <v>44120.0</v>
      </c>
      <c r="L300" s="37">
        <v>44121.0</v>
      </c>
      <c r="M300" s="85" t="s">
        <v>2596</v>
      </c>
      <c r="N300" s="85" t="s">
        <v>405</v>
      </c>
      <c r="O300" s="113">
        <v>43833.0</v>
      </c>
      <c r="P300" s="37">
        <v>44071.0</v>
      </c>
      <c r="Q300" s="22"/>
      <c r="R300" s="22"/>
      <c r="S300" s="117"/>
      <c r="T300" s="181"/>
      <c r="U300" s="184"/>
      <c r="V300" s="184"/>
      <c r="W300" s="184"/>
      <c r="X300" s="184"/>
      <c r="Y300" s="184"/>
      <c r="Z300" s="184"/>
      <c r="AA300" s="184"/>
      <c r="AB300" s="184"/>
      <c r="AC300" s="184"/>
      <c r="AD300" s="186"/>
      <c r="AE300" s="187"/>
      <c r="AF300" s="184"/>
      <c r="AG300" s="187"/>
      <c r="AH300" s="246" t="s">
        <v>97</v>
      </c>
      <c r="AI300" s="189"/>
      <c r="AJ300" s="189"/>
      <c r="AK300" s="189"/>
      <c r="AL300" s="189"/>
      <c r="AM300" s="189"/>
      <c r="AN300" s="187"/>
      <c r="AO300" s="187"/>
      <c r="AP300" s="184"/>
      <c r="AQ300" s="187"/>
      <c r="AR300" s="187"/>
      <c r="AS300" s="119"/>
    </row>
    <row r="301">
      <c r="A301" s="137">
        <v>221.0</v>
      </c>
      <c r="B301" s="150"/>
      <c r="C301" s="104" t="s">
        <v>2597</v>
      </c>
      <c r="D301" s="105" t="s">
        <v>52</v>
      </c>
      <c r="E301" s="107" t="s">
        <v>52</v>
      </c>
      <c r="F301" s="101"/>
      <c r="G301" s="40" t="s">
        <v>2598</v>
      </c>
      <c r="H301" s="55" t="s">
        <v>2599</v>
      </c>
      <c r="I301" s="69" t="s">
        <v>2600</v>
      </c>
      <c r="J301" s="155"/>
      <c r="K301" s="37">
        <v>44007.0</v>
      </c>
      <c r="L301" s="37">
        <v>44010.0</v>
      </c>
      <c r="M301" s="73" t="s">
        <v>966</v>
      </c>
      <c r="N301" s="73" t="s">
        <v>967</v>
      </c>
      <c r="O301" s="113">
        <v>43870.0</v>
      </c>
      <c r="P301" s="37">
        <v>43911.0</v>
      </c>
      <c r="Q301" s="22"/>
      <c r="R301" s="22"/>
      <c r="S301" s="117"/>
      <c r="T301" s="157"/>
      <c r="U301" s="161"/>
      <c r="V301" s="161"/>
      <c r="W301" s="120" t="s">
        <v>97</v>
      </c>
      <c r="X301" s="161"/>
      <c r="Y301" s="161"/>
      <c r="Z301" s="161"/>
      <c r="AA301" s="161"/>
      <c r="AB301" s="161"/>
      <c r="AC301" s="161"/>
      <c r="AD301" s="161"/>
      <c r="AE301" s="161"/>
      <c r="AF301" s="161"/>
      <c r="AG301" s="161"/>
      <c r="AH301" s="163"/>
      <c r="AI301" s="163"/>
      <c r="AJ301" s="163"/>
      <c r="AK301" s="163"/>
      <c r="AL301" s="163"/>
      <c r="AM301" s="163"/>
      <c r="AN301" s="161"/>
      <c r="AO301" s="161"/>
      <c r="AP301" s="161"/>
      <c r="AQ301" s="161"/>
      <c r="AR301" s="161"/>
      <c r="AS301" s="119"/>
    </row>
    <row r="302">
      <c r="A302" s="137">
        <v>1015.0</v>
      </c>
      <c r="B302" s="173"/>
      <c r="C302" s="170" t="s">
        <v>2601</v>
      </c>
      <c r="D302" s="622" t="s">
        <v>64</v>
      </c>
      <c r="E302" s="622" t="s">
        <v>64</v>
      </c>
      <c r="F302" s="101"/>
      <c r="G302" s="256" t="s">
        <v>1933</v>
      </c>
      <c r="H302" s="89" t="s">
        <v>2602</v>
      </c>
      <c r="I302" s="259" t="s">
        <v>2603</v>
      </c>
      <c r="J302" s="288"/>
      <c r="K302" s="284" t="s">
        <v>27</v>
      </c>
      <c r="L302" s="284" t="s">
        <v>27</v>
      </c>
      <c r="M302" s="254" t="s">
        <v>196</v>
      </c>
      <c r="N302" s="254" t="s">
        <v>29</v>
      </c>
      <c r="O302" s="284" t="s">
        <v>27</v>
      </c>
      <c r="P302" s="284" t="s">
        <v>27</v>
      </c>
      <c r="Q302" s="132"/>
      <c r="R302" s="132"/>
      <c r="S302" s="132"/>
      <c r="T302" s="236"/>
      <c r="U302" s="161"/>
      <c r="V302" s="161"/>
      <c r="W302" s="161"/>
      <c r="X302" s="161"/>
      <c r="Y302" s="161"/>
      <c r="Z302" s="161"/>
      <c r="AA302" s="161"/>
      <c r="AB302" s="161"/>
      <c r="AC302" s="161"/>
      <c r="AD302" s="161"/>
      <c r="AE302" s="161"/>
      <c r="AF302" s="161"/>
      <c r="AG302" s="237"/>
      <c r="AH302" s="246" t="s">
        <v>97</v>
      </c>
      <c r="AI302" s="163"/>
      <c r="AJ302" s="163"/>
      <c r="AK302" s="163"/>
      <c r="AL302" s="163"/>
      <c r="AM302" s="163"/>
      <c r="AN302" s="161"/>
      <c r="AO302" s="161"/>
      <c r="AP302" s="161"/>
      <c r="AQ302" s="161"/>
      <c r="AR302" s="161"/>
      <c r="AS302" s="119"/>
    </row>
    <row r="303">
      <c r="A303" s="101">
        <v>222.0</v>
      </c>
      <c r="B303" s="150"/>
      <c r="C303" s="104" t="s">
        <v>2604</v>
      </c>
      <c r="D303" s="105" t="s">
        <v>52</v>
      </c>
      <c r="E303" s="107" t="s">
        <v>2364</v>
      </c>
      <c r="F303" s="101"/>
      <c r="G303" s="40" t="s">
        <v>2605</v>
      </c>
      <c r="H303" s="55" t="s">
        <v>2606</v>
      </c>
      <c r="I303" s="69" t="s">
        <v>2607</v>
      </c>
      <c r="J303" s="155"/>
      <c r="K303" s="37">
        <v>43895.0</v>
      </c>
      <c r="L303" s="37">
        <v>43896.0</v>
      </c>
      <c r="M303" s="73" t="s">
        <v>2608</v>
      </c>
      <c r="N303" s="73" t="s">
        <v>430</v>
      </c>
      <c r="O303" s="113">
        <v>43836.0</v>
      </c>
      <c r="P303" s="37">
        <v>43836.0</v>
      </c>
      <c r="Q303" s="22"/>
      <c r="R303" s="22"/>
      <c r="S303" s="117"/>
      <c r="T303" s="157"/>
      <c r="U303" s="161"/>
      <c r="V303" s="161"/>
      <c r="W303" s="120" t="s">
        <v>97</v>
      </c>
      <c r="X303" s="161"/>
      <c r="Y303" s="161"/>
      <c r="Z303" s="161"/>
      <c r="AA303" s="161"/>
      <c r="AB303" s="161"/>
      <c r="AC303" s="161"/>
      <c r="AD303" s="161"/>
      <c r="AE303" s="161"/>
      <c r="AF303" s="161"/>
      <c r="AG303" s="161"/>
      <c r="AH303" s="163"/>
      <c r="AI303" s="163"/>
      <c r="AJ303" s="163"/>
      <c r="AK303" s="163"/>
      <c r="AL303" s="163"/>
      <c r="AM303" s="163"/>
      <c r="AN303" s="161"/>
      <c r="AO303" s="351" t="s">
        <v>97</v>
      </c>
      <c r="AP303" s="161"/>
      <c r="AQ303" s="161"/>
      <c r="AR303" s="161"/>
      <c r="AS303" s="119"/>
    </row>
    <row r="304">
      <c r="A304" s="101">
        <v>787.0</v>
      </c>
      <c r="B304" s="103"/>
      <c r="C304" s="104" t="s">
        <v>2609</v>
      </c>
      <c r="D304" s="105" t="s">
        <v>48</v>
      </c>
      <c r="E304" s="107" t="s">
        <v>48</v>
      </c>
      <c r="F304" s="109"/>
      <c r="G304" s="10" t="s">
        <v>2610</v>
      </c>
      <c r="H304" s="17" t="s">
        <v>2611</v>
      </c>
      <c r="I304" s="111" t="s">
        <v>2612</v>
      </c>
      <c r="J304" s="112"/>
      <c r="K304" s="113">
        <v>44111.0</v>
      </c>
      <c r="L304" s="113">
        <v>44115.0</v>
      </c>
      <c r="M304" s="24" t="s">
        <v>221</v>
      </c>
      <c r="N304" s="24" t="s">
        <v>72</v>
      </c>
      <c r="O304" s="114">
        <v>43784.0</v>
      </c>
      <c r="P304" s="114">
        <v>44104.0</v>
      </c>
      <c r="Q304" s="115"/>
      <c r="R304" s="115"/>
      <c r="S304" s="193" t="s">
        <v>97</v>
      </c>
      <c r="T304" s="118"/>
      <c r="U304" s="176" t="s">
        <v>97</v>
      </c>
      <c r="V304" s="119"/>
      <c r="W304" s="119"/>
      <c r="X304" s="119"/>
      <c r="Y304" s="119"/>
      <c r="Z304" s="119"/>
      <c r="AA304" s="119"/>
      <c r="AB304" s="119"/>
      <c r="AC304" s="119"/>
      <c r="AD304" s="119"/>
      <c r="AE304" s="119"/>
      <c r="AF304" s="119"/>
      <c r="AG304" s="119"/>
      <c r="AH304" s="121"/>
      <c r="AI304" s="121"/>
      <c r="AJ304" s="121"/>
      <c r="AK304" s="121"/>
      <c r="AL304" s="121"/>
      <c r="AM304" s="121"/>
      <c r="AN304" s="119"/>
      <c r="AO304" s="119"/>
      <c r="AP304" s="119"/>
      <c r="AQ304" s="119"/>
      <c r="AR304" s="119"/>
      <c r="AS304" s="119"/>
    </row>
    <row r="305">
      <c r="A305" s="137">
        <v>927.0</v>
      </c>
      <c r="B305" s="122">
        <v>4.0</v>
      </c>
      <c r="C305" s="123" t="s">
        <v>2613</v>
      </c>
      <c r="D305" s="124" t="s">
        <v>71</v>
      </c>
      <c r="E305" s="126" t="s">
        <v>2614</v>
      </c>
      <c r="F305" s="127"/>
      <c r="G305" s="128" t="s">
        <v>2615</v>
      </c>
      <c r="H305" s="89" t="s">
        <v>2616</v>
      </c>
      <c r="I305" s="91" t="str">
        <f>HYPERLINK("https://filmfreeway.com/festivalofinappropriation","https://filmfreeway.com/festivalofinappropriation")</f>
        <v>https://filmfreeway.com/festivalofinappropriation</v>
      </c>
      <c r="J305" s="155"/>
      <c r="K305" s="22" t="s">
        <v>27</v>
      </c>
      <c r="L305" s="22" t="s">
        <v>27</v>
      </c>
      <c r="M305" s="130" t="s">
        <v>221</v>
      </c>
      <c r="N305" s="130" t="s">
        <v>72</v>
      </c>
      <c r="O305" s="22" t="s">
        <v>27</v>
      </c>
      <c r="P305" s="22" t="s">
        <v>27</v>
      </c>
      <c r="Q305" s="131"/>
      <c r="R305" s="132"/>
      <c r="S305" s="132"/>
      <c r="T305" s="118"/>
      <c r="U305" s="119"/>
      <c r="V305" s="119"/>
      <c r="W305" s="120" t="s">
        <v>97</v>
      </c>
      <c r="X305" s="119"/>
      <c r="Y305" s="134"/>
      <c r="Z305" s="119"/>
      <c r="AA305" s="119"/>
      <c r="AB305" s="119"/>
      <c r="AC305" s="119"/>
      <c r="AD305" s="119"/>
      <c r="AE305" s="119"/>
      <c r="AF305" s="119"/>
      <c r="AG305" s="119"/>
      <c r="AH305" s="121"/>
      <c r="AI305" s="121"/>
      <c r="AJ305" s="121"/>
      <c r="AK305" s="121"/>
      <c r="AL305" s="121"/>
      <c r="AM305" s="165" t="s">
        <v>97</v>
      </c>
      <c r="AN305" s="119"/>
      <c r="AO305" s="119"/>
      <c r="AP305" s="119"/>
      <c r="AQ305" s="119"/>
      <c r="AR305" s="119"/>
      <c r="AS305" s="119"/>
    </row>
    <row r="306">
      <c r="A306" s="137">
        <v>223.0</v>
      </c>
      <c r="B306" s="292"/>
      <c r="C306" s="104" t="s">
        <v>2617</v>
      </c>
      <c r="D306" s="105" t="s">
        <v>48</v>
      </c>
      <c r="E306" s="107" t="s">
        <v>48</v>
      </c>
      <c r="F306" s="190"/>
      <c r="G306" s="192" t="s">
        <v>2618</v>
      </c>
      <c r="H306" s="81" t="s">
        <v>2619</v>
      </c>
      <c r="I306" s="158" t="s">
        <v>2620</v>
      </c>
      <c r="J306" s="155"/>
      <c r="K306" s="37">
        <v>44050.0</v>
      </c>
      <c r="L306" s="37">
        <v>44059.0</v>
      </c>
      <c r="M306" s="73" t="s">
        <v>196</v>
      </c>
      <c r="N306" s="73" t="s">
        <v>29</v>
      </c>
      <c r="O306" s="113">
        <v>43780.0</v>
      </c>
      <c r="P306" s="37">
        <v>44056.0</v>
      </c>
      <c r="Q306" s="22"/>
      <c r="R306" s="22"/>
      <c r="S306" s="117"/>
      <c r="T306" s="157"/>
      <c r="U306" s="293" t="s">
        <v>97</v>
      </c>
      <c r="V306" s="194"/>
      <c r="W306" s="194"/>
      <c r="X306" s="194"/>
      <c r="Y306" s="194"/>
      <c r="Z306" s="194"/>
      <c r="AA306" s="194"/>
      <c r="AB306" s="194"/>
      <c r="AC306" s="194"/>
      <c r="AD306" s="186"/>
      <c r="AE306" s="187"/>
      <c r="AF306" s="194"/>
      <c r="AG306" s="187"/>
      <c r="AH306" s="189"/>
      <c r="AI306" s="189"/>
      <c r="AJ306" s="189"/>
      <c r="AK306" s="189"/>
      <c r="AL306" s="189"/>
      <c r="AM306" s="189"/>
      <c r="AN306" s="187"/>
      <c r="AO306" s="187"/>
      <c r="AP306" s="194"/>
      <c r="AQ306" s="187"/>
      <c r="AR306" s="187"/>
      <c r="AS306" s="119"/>
    </row>
    <row r="307">
      <c r="A307" s="137">
        <v>224.0</v>
      </c>
      <c r="B307" s="150">
        <v>10.0</v>
      </c>
      <c r="C307" s="104" t="s">
        <v>2621</v>
      </c>
      <c r="D307" s="105" t="s">
        <v>52</v>
      </c>
      <c r="E307" s="107" t="s">
        <v>52</v>
      </c>
      <c r="F307" s="101"/>
      <c r="G307" s="40" t="s">
        <v>2622</v>
      </c>
      <c r="H307" s="55" t="s">
        <v>2623</v>
      </c>
      <c r="I307" s="69" t="s">
        <v>2624</v>
      </c>
      <c r="J307" s="155"/>
      <c r="K307" s="22" t="s">
        <v>27</v>
      </c>
      <c r="L307" s="22" t="s">
        <v>27</v>
      </c>
      <c r="M307" s="73" t="s">
        <v>662</v>
      </c>
      <c r="N307" s="73" t="s">
        <v>72</v>
      </c>
      <c r="O307" s="22" t="s">
        <v>27</v>
      </c>
      <c r="P307" s="22" t="s">
        <v>27</v>
      </c>
      <c r="Q307" s="22"/>
      <c r="R307" s="22"/>
      <c r="S307" s="117"/>
      <c r="T307" s="157"/>
      <c r="U307" s="161"/>
      <c r="V307" s="161"/>
      <c r="W307" s="120" t="s">
        <v>97</v>
      </c>
      <c r="X307" s="161"/>
      <c r="Y307" s="161"/>
      <c r="Z307" s="161"/>
      <c r="AA307" s="161"/>
      <c r="AB307" s="161"/>
      <c r="AC307" s="161"/>
      <c r="AD307" s="161"/>
      <c r="AE307" s="161"/>
      <c r="AF307" s="161"/>
      <c r="AG307" s="161"/>
      <c r="AH307" s="163"/>
      <c r="AI307" s="163"/>
      <c r="AJ307" s="163"/>
      <c r="AK307" s="163"/>
      <c r="AL307" s="163"/>
      <c r="AM307" s="163"/>
      <c r="AN307" s="161"/>
      <c r="AO307" s="161"/>
      <c r="AP307" s="161"/>
      <c r="AQ307" s="161"/>
      <c r="AR307" s="161"/>
      <c r="AS307" s="119"/>
    </row>
    <row r="308">
      <c r="A308" s="101">
        <v>225.0</v>
      </c>
      <c r="B308" s="150"/>
      <c r="C308" s="104" t="s">
        <v>2625</v>
      </c>
      <c r="D308" s="105" t="s">
        <v>52</v>
      </c>
      <c r="E308" s="107" t="s">
        <v>52</v>
      </c>
      <c r="F308" s="101"/>
      <c r="G308" s="40" t="s">
        <v>2626</v>
      </c>
      <c r="H308" s="55" t="s">
        <v>2627</v>
      </c>
      <c r="I308" s="69" t="s">
        <v>2628</v>
      </c>
      <c r="J308" s="155"/>
      <c r="K308" s="37">
        <v>43952.0</v>
      </c>
      <c r="L308" s="37">
        <v>43953.0</v>
      </c>
      <c r="M308" s="73" t="s">
        <v>2629</v>
      </c>
      <c r="N308" s="73" t="s">
        <v>72</v>
      </c>
      <c r="O308" s="113">
        <v>43854.0</v>
      </c>
      <c r="P308" s="37">
        <v>43892.0</v>
      </c>
      <c r="Q308" s="22"/>
      <c r="R308" s="22"/>
      <c r="S308" s="117"/>
      <c r="T308" s="157"/>
      <c r="U308" s="161"/>
      <c r="V308" s="161"/>
      <c r="W308" s="120" t="s">
        <v>97</v>
      </c>
      <c r="X308" s="161"/>
      <c r="Y308" s="161"/>
      <c r="Z308" s="161"/>
      <c r="AA308" s="161"/>
      <c r="AB308" s="161"/>
      <c r="AC308" s="161"/>
      <c r="AD308" s="161"/>
      <c r="AE308" s="161"/>
      <c r="AF308" s="161"/>
      <c r="AG308" s="161"/>
      <c r="AH308" s="163"/>
      <c r="AI308" s="163"/>
      <c r="AJ308" s="163"/>
      <c r="AK308" s="163"/>
      <c r="AL308" s="163"/>
      <c r="AM308" s="163"/>
      <c r="AN308" s="161"/>
      <c r="AO308" s="161"/>
      <c r="AP308" s="161"/>
      <c r="AQ308" s="161"/>
      <c r="AR308" s="161"/>
      <c r="AS308" s="119"/>
    </row>
    <row r="309">
      <c r="A309" s="137">
        <v>226.0</v>
      </c>
      <c r="B309" s="150">
        <v>9.0</v>
      </c>
      <c r="C309" s="104" t="s">
        <v>2630</v>
      </c>
      <c r="D309" s="105" t="s">
        <v>48</v>
      </c>
      <c r="E309" s="107" t="s">
        <v>48</v>
      </c>
      <c r="F309" s="101"/>
      <c r="G309" s="40" t="s">
        <v>2631</v>
      </c>
      <c r="H309" s="55" t="s">
        <v>2632</v>
      </c>
      <c r="I309" s="69" t="s">
        <v>2633</v>
      </c>
      <c r="J309" s="155"/>
      <c r="K309" s="22" t="s">
        <v>27</v>
      </c>
      <c r="L309" s="22" t="s">
        <v>27</v>
      </c>
      <c r="M309" s="73" t="s">
        <v>2194</v>
      </c>
      <c r="N309" s="73" t="s">
        <v>622</v>
      </c>
      <c r="O309" s="22" t="s">
        <v>27</v>
      </c>
      <c r="P309" s="22" t="s">
        <v>27</v>
      </c>
      <c r="Q309" s="22"/>
      <c r="R309" s="22"/>
      <c r="S309" s="117"/>
      <c r="T309" s="157"/>
      <c r="U309" s="176" t="s">
        <v>97</v>
      </c>
      <c r="V309" s="161"/>
      <c r="W309" s="161"/>
      <c r="X309" s="161"/>
      <c r="Y309" s="161"/>
      <c r="Z309" s="161"/>
      <c r="AA309" s="161"/>
      <c r="AB309" s="161"/>
      <c r="AC309" s="161"/>
      <c r="AD309" s="161"/>
      <c r="AE309" s="161"/>
      <c r="AF309" s="161"/>
      <c r="AG309" s="161"/>
      <c r="AH309" s="163"/>
      <c r="AI309" s="163"/>
      <c r="AJ309" s="163"/>
      <c r="AK309" s="163"/>
      <c r="AL309" s="163"/>
      <c r="AM309" s="163"/>
      <c r="AN309" s="161"/>
      <c r="AO309" s="161"/>
      <c r="AP309" s="161"/>
      <c r="AQ309" s="161"/>
      <c r="AR309" s="161"/>
      <c r="AS309" s="119"/>
    </row>
    <row r="310">
      <c r="A310" s="137">
        <v>925.0</v>
      </c>
      <c r="B310" s="122">
        <v>8.0</v>
      </c>
      <c r="C310" s="123" t="s">
        <v>2634</v>
      </c>
      <c r="D310" s="124" t="s">
        <v>70</v>
      </c>
      <c r="E310" s="371" t="s">
        <v>112</v>
      </c>
      <c r="F310" s="127"/>
      <c r="G310" s="128" t="s">
        <v>2635</v>
      </c>
      <c r="H310" s="89" t="s">
        <v>2636</v>
      </c>
      <c r="I310" s="91" t="str">
        <f>HYPERLINK("https://filmfreeway.com/FilmIndependentFutureFilmmakers","https://filmfreeway.com/FilmIndependentFutureFilmmakers")</f>
        <v>https://filmfreeway.com/FilmIndependentFutureFilmmakers</v>
      </c>
      <c r="J310" s="155"/>
      <c r="K310" s="22" t="s">
        <v>27</v>
      </c>
      <c r="L310" s="22" t="s">
        <v>27</v>
      </c>
      <c r="M310" s="130" t="s">
        <v>221</v>
      </c>
      <c r="N310" s="130" t="s">
        <v>72</v>
      </c>
      <c r="O310" s="22" t="s">
        <v>27</v>
      </c>
      <c r="P310" s="22" t="s">
        <v>27</v>
      </c>
      <c r="Q310" s="131"/>
      <c r="R310" s="132"/>
      <c r="S310" s="132"/>
      <c r="T310" s="118"/>
      <c r="U310" s="119"/>
      <c r="V310" s="119"/>
      <c r="W310" s="120" t="s">
        <v>97</v>
      </c>
      <c r="X310" s="119"/>
      <c r="Y310" s="134"/>
      <c r="Z310" s="119"/>
      <c r="AA310" s="119"/>
      <c r="AB310" s="119"/>
      <c r="AC310" s="119"/>
      <c r="AD310" s="119"/>
      <c r="AE310" s="119"/>
      <c r="AF310" s="119"/>
      <c r="AG310" s="119"/>
      <c r="AH310" s="121"/>
      <c r="AI310" s="121"/>
      <c r="AJ310" s="121"/>
      <c r="AK310" s="121"/>
      <c r="AL310" s="149" t="s">
        <v>97</v>
      </c>
      <c r="AM310" s="135"/>
      <c r="AN310" s="119"/>
      <c r="AO310" s="119"/>
      <c r="AP310" s="119"/>
      <c r="AQ310" s="119"/>
      <c r="AR310" s="119"/>
      <c r="AS310" s="119"/>
    </row>
    <row r="311">
      <c r="A311" s="137">
        <v>771.0</v>
      </c>
      <c r="B311" s="103"/>
      <c r="C311" s="104" t="s">
        <v>2637</v>
      </c>
      <c r="D311" s="105" t="s">
        <v>48</v>
      </c>
      <c r="E311" s="107" t="s">
        <v>48</v>
      </c>
      <c r="F311" s="109"/>
      <c r="G311" s="10" t="s">
        <v>2638</v>
      </c>
      <c r="H311" s="17" t="s">
        <v>2639</v>
      </c>
      <c r="I311" s="111" t="s">
        <v>2640</v>
      </c>
      <c r="J311" s="112"/>
      <c r="K311" s="113">
        <v>43986.0</v>
      </c>
      <c r="L311" s="113">
        <v>43989.0</v>
      </c>
      <c r="M311" s="24" t="s">
        <v>122</v>
      </c>
      <c r="N311" s="24" t="s">
        <v>72</v>
      </c>
      <c r="O311" s="113">
        <v>43814.0</v>
      </c>
      <c r="P311" s="114">
        <v>43905.0</v>
      </c>
      <c r="Q311" s="115"/>
      <c r="R311" s="115"/>
      <c r="S311" s="117"/>
      <c r="T311" s="118"/>
      <c r="U311" s="176" t="s">
        <v>97</v>
      </c>
      <c r="V311" s="119"/>
      <c r="W311" s="119"/>
      <c r="X311" s="119"/>
      <c r="Y311" s="119"/>
      <c r="Z311" s="119"/>
      <c r="AA311" s="119"/>
      <c r="AB311" s="119"/>
      <c r="AC311" s="119"/>
      <c r="AD311" s="119"/>
      <c r="AE311" s="119"/>
      <c r="AF311" s="119"/>
      <c r="AG311" s="119"/>
      <c r="AH311" s="121"/>
      <c r="AI311" s="121"/>
      <c r="AJ311" s="121"/>
      <c r="AK311" s="121"/>
      <c r="AL311" s="121"/>
      <c r="AM311" s="121"/>
      <c r="AN311" s="119"/>
      <c r="AO311" s="119"/>
      <c r="AP311" s="119"/>
      <c r="AQ311" s="119"/>
      <c r="AR311" s="119"/>
      <c r="AS311" s="119"/>
    </row>
    <row r="312">
      <c r="A312" s="137">
        <v>227.0</v>
      </c>
      <c r="B312" s="150"/>
      <c r="C312" s="104" t="s">
        <v>2641</v>
      </c>
      <c r="D312" s="105" t="s">
        <v>52</v>
      </c>
      <c r="E312" s="107" t="s">
        <v>52</v>
      </c>
      <c r="F312" s="101"/>
      <c r="G312" s="40" t="s">
        <v>2642</v>
      </c>
      <c r="H312" s="55" t="s">
        <v>2643</v>
      </c>
      <c r="I312" s="69" t="s">
        <v>2644</v>
      </c>
      <c r="J312" s="155"/>
      <c r="K312" s="37">
        <v>44030.0</v>
      </c>
      <c r="L312" s="37">
        <v>44030.0</v>
      </c>
      <c r="M312" s="73" t="s">
        <v>2645</v>
      </c>
      <c r="N312" s="73" t="s">
        <v>412</v>
      </c>
      <c r="O312" s="113">
        <v>43877.0</v>
      </c>
      <c r="P312" s="37">
        <v>43954.0</v>
      </c>
      <c r="Q312" s="22"/>
      <c r="R312" s="22"/>
      <c r="S312" s="117"/>
      <c r="T312" s="157"/>
      <c r="U312" s="161"/>
      <c r="V312" s="161"/>
      <c r="W312" s="120" t="s">
        <v>97</v>
      </c>
      <c r="X312" s="161"/>
      <c r="Y312" s="161"/>
      <c r="Z312" s="161"/>
      <c r="AA312" s="161"/>
      <c r="AB312" s="161"/>
      <c r="AC312" s="161"/>
      <c r="AD312" s="161"/>
      <c r="AE312" s="161"/>
      <c r="AF312" s="161"/>
      <c r="AG312" s="161"/>
      <c r="AH312" s="163"/>
      <c r="AI312" s="163"/>
      <c r="AJ312" s="163"/>
      <c r="AK312" s="163"/>
      <c r="AL312" s="163"/>
      <c r="AM312" s="163"/>
      <c r="AN312" s="161"/>
      <c r="AO312" s="161"/>
      <c r="AP312" s="161"/>
      <c r="AQ312" s="161"/>
      <c r="AR312" s="161"/>
      <c r="AS312" s="119"/>
    </row>
    <row r="313">
      <c r="A313" s="101">
        <v>228.0</v>
      </c>
      <c r="B313" s="315">
        <v>10.0</v>
      </c>
      <c r="C313" s="104" t="s">
        <v>2646</v>
      </c>
      <c r="D313" s="105" t="s">
        <v>48</v>
      </c>
      <c r="E313" s="107" t="s">
        <v>48</v>
      </c>
      <c r="F313" s="178"/>
      <c r="G313" s="77" t="s">
        <v>2647</v>
      </c>
      <c r="H313" s="81" t="s">
        <v>2648</v>
      </c>
      <c r="I313" s="175" t="s">
        <v>2649</v>
      </c>
      <c r="J313" s="155"/>
      <c r="K313" s="22" t="s">
        <v>27</v>
      </c>
      <c r="L313" s="22" t="s">
        <v>27</v>
      </c>
      <c r="M313" s="85" t="s">
        <v>2650</v>
      </c>
      <c r="N313" s="85" t="s">
        <v>29</v>
      </c>
      <c r="O313" s="22" t="s">
        <v>27</v>
      </c>
      <c r="P313" s="22" t="s">
        <v>27</v>
      </c>
      <c r="Q313" s="201"/>
      <c r="R313" s="201"/>
      <c r="S313" s="224"/>
      <c r="T313" s="181"/>
      <c r="U313" s="182" t="s">
        <v>97</v>
      </c>
      <c r="V313" s="184"/>
      <c r="W313" s="184"/>
      <c r="X313" s="184"/>
      <c r="Y313" s="184"/>
      <c r="Z313" s="184"/>
      <c r="AA313" s="184"/>
      <c r="AB313" s="184"/>
      <c r="AC313" s="184"/>
      <c r="AD313" s="186"/>
      <c r="AE313" s="187"/>
      <c r="AF313" s="184"/>
      <c r="AG313" s="187"/>
      <c r="AH313" s="189"/>
      <c r="AI313" s="189"/>
      <c r="AJ313" s="189"/>
      <c r="AK313" s="189"/>
      <c r="AL313" s="189"/>
      <c r="AM313" s="189"/>
      <c r="AN313" s="187"/>
      <c r="AO313" s="187"/>
      <c r="AP313" s="184"/>
      <c r="AQ313" s="187"/>
      <c r="AR313" s="187"/>
      <c r="AS313" s="119"/>
    </row>
    <row r="314">
      <c r="A314" s="137">
        <v>229.0</v>
      </c>
      <c r="B314" s="292"/>
      <c r="C314" s="104" t="s">
        <v>2651</v>
      </c>
      <c r="D314" s="105" t="s">
        <v>48</v>
      </c>
      <c r="E314" s="107" t="s">
        <v>48</v>
      </c>
      <c r="F314" s="518"/>
      <c r="G314" s="153" t="s">
        <v>685</v>
      </c>
      <c r="H314" s="81" t="s">
        <v>689</v>
      </c>
      <c r="I314" s="158" t="s">
        <v>690</v>
      </c>
      <c r="J314" s="20" t="s">
        <v>78</v>
      </c>
      <c r="K314" s="37">
        <v>43944.0</v>
      </c>
      <c r="L314" s="37">
        <v>43954.0</v>
      </c>
      <c r="M314" s="85" t="s">
        <v>131</v>
      </c>
      <c r="N314" s="73" t="s">
        <v>132</v>
      </c>
      <c r="O314" s="113">
        <v>43717.0</v>
      </c>
      <c r="P314" s="37">
        <v>43836.0</v>
      </c>
      <c r="Q314" s="22"/>
      <c r="R314" s="22"/>
      <c r="S314" s="117"/>
      <c r="T314" s="157"/>
      <c r="U314" s="293" t="s">
        <v>97</v>
      </c>
      <c r="V314" s="194"/>
      <c r="W314" s="194"/>
      <c r="X314" s="194"/>
      <c r="Y314" s="194"/>
      <c r="Z314" s="194"/>
      <c r="AA314" s="194"/>
      <c r="AB314" s="194"/>
      <c r="AC314" s="194"/>
      <c r="AD314" s="186"/>
      <c r="AE314" s="187"/>
      <c r="AF314" s="194"/>
      <c r="AG314" s="187"/>
      <c r="AH314" s="189"/>
      <c r="AI314" s="189"/>
      <c r="AJ314" s="189"/>
      <c r="AK314" s="189"/>
      <c r="AL314" s="189"/>
      <c r="AM314" s="189"/>
      <c r="AN314" s="187"/>
      <c r="AO314" s="187"/>
      <c r="AP314" s="194"/>
      <c r="AQ314" s="187"/>
      <c r="AR314" s="187"/>
      <c r="AS314" s="119"/>
    </row>
    <row r="315">
      <c r="A315" s="137">
        <v>230.0</v>
      </c>
      <c r="B315" s="150"/>
      <c r="C315" s="104" t="s">
        <v>2652</v>
      </c>
      <c r="D315" s="105" t="s">
        <v>48</v>
      </c>
      <c r="E315" s="107" t="s">
        <v>48</v>
      </c>
      <c r="F315" s="101"/>
      <c r="G315" s="40" t="s">
        <v>1179</v>
      </c>
      <c r="H315" s="55" t="s">
        <v>1180</v>
      </c>
      <c r="I315" s="69" t="s">
        <v>1184</v>
      </c>
      <c r="J315" s="20" t="s">
        <v>1108</v>
      </c>
      <c r="K315" s="37">
        <v>43916.0</v>
      </c>
      <c r="L315" s="37">
        <v>43918.0</v>
      </c>
      <c r="M315" s="73" t="s">
        <v>1185</v>
      </c>
      <c r="N315" s="73" t="s">
        <v>1186</v>
      </c>
      <c r="O315" s="113">
        <v>43738.0</v>
      </c>
      <c r="P315" s="37">
        <v>43804.0</v>
      </c>
      <c r="Q315" s="22"/>
      <c r="R315" s="22"/>
      <c r="S315" s="117"/>
      <c r="T315" s="157"/>
      <c r="U315" s="176" t="s">
        <v>97</v>
      </c>
      <c r="V315" s="161"/>
      <c r="W315" s="161"/>
      <c r="X315" s="161"/>
      <c r="Y315" s="161"/>
      <c r="Z315" s="161"/>
      <c r="AA315" s="161"/>
      <c r="AB315" s="161"/>
      <c r="AC315" s="161"/>
      <c r="AD315" s="161"/>
      <c r="AE315" s="161"/>
      <c r="AF315" s="161"/>
      <c r="AG315" s="161"/>
      <c r="AH315" s="163"/>
      <c r="AI315" s="163"/>
      <c r="AJ315" s="163"/>
      <c r="AK315" s="163"/>
      <c r="AL315" s="163"/>
      <c r="AM315" s="163"/>
      <c r="AN315" s="161"/>
      <c r="AO315" s="161"/>
      <c r="AP315" s="161"/>
      <c r="AQ315" s="161"/>
      <c r="AR315" s="161"/>
      <c r="AS315" s="119"/>
    </row>
    <row r="316">
      <c r="A316" s="101">
        <v>954.0</v>
      </c>
      <c r="B316" s="284"/>
      <c r="C316" s="123" t="s">
        <v>2653</v>
      </c>
      <c r="D316" s="357" t="s">
        <v>54</v>
      </c>
      <c r="E316" s="358" t="s">
        <v>54</v>
      </c>
      <c r="F316" s="312"/>
      <c r="G316" s="216" t="s">
        <v>675</v>
      </c>
      <c r="H316" s="89" t="s">
        <v>678</v>
      </c>
      <c r="I316" s="91" t="str">
        <f>HYPERLINK("https://filmfreeway.com/FilmOutSanDiego","https://filmfreeway.com/FilmOutSanDiego")</f>
        <v>https://filmfreeway.com/FilmOutSanDiego</v>
      </c>
      <c r="J316" s="93" t="s">
        <v>78</v>
      </c>
      <c r="K316" s="145">
        <v>43951.0</v>
      </c>
      <c r="L316" s="145">
        <v>43954.0</v>
      </c>
      <c r="M316" s="130" t="s">
        <v>684</v>
      </c>
      <c r="N316" s="130" t="s">
        <v>72</v>
      </c>
      <c r="O316" s="145">
        <v>43876.0</v>
      </c>
      <c r="P316" s="145">
        <v>43876.0</v>
      </c>
      <c r="Q316" s="131"/>
      <c r="R316" s="132"/>
      <c r="S316" s="132"/>
      <c r="T316" s="118"/>
      <c r="U316" s="119"/>
      <c r="V316" s="119"/>
      <c r="W316" s="119"/>
      <c r="X316" s="119"/>
      <c r="Y316" s="374" t="s">
        <v>97</v>
      </c>
      <c r="Z316" s="119"/>
      <c r="AA316" s="119"/>
      <c r="AB316" s="119"/>
      <c r="AC316" s="119"/>
      <c r="AD316" s="119"/>
      <c r="AE316" s="119"/>
      <c r="AF316" s="119"/>
      <c r="AG316" s="119"/>
      <c r="AH316" s="121"/>
      <c r="AI316" s="121"/>
      <c r="AJ316" s="121"/>
      <c r="AK316" s="121"/>
      <c r="AL316" s="121"/>
      <c r="AM316" s="135"/>
      <c r="AN316" s="119"/>
      <c r="AO316" s="119"/>
      <c r="AP316" s="119"/>
      <c r="AQ316" s="119"/>
      <c r="AR316" s="119"/>
      <c r="AS316" s="119"/>
    </row>
    <row r="317">
      <c r="A317" s="101">
        <v>231.0</v>
      </c>
      <c r="B317" s="150"/>
      <c r="C317" s="104" t="s">
        <v>2654</v>
      </c>
      <c r="D317" s="138" t="s">
        <v>63</v>
      </c>
      <c r="E317" s="107" t="s">
        <v>1297</v>
      </c>
      <c r="F317" s="101"/>
      <c r="G317" s="40" t="s">
        <v>2655</v>
      </c>
      <c r="H317" s="55" t="s">
        <v>2656</v>
      </c>
      <c r="I317" s="69" t="s">
        <v>2657</v>
      </c>
      <c r="J317" s="155"/>
      <c r="K317" s="37">
        <v>44078.0</v>
      </c>
      <c r="L317" s="37">
        <v>44086.0</v>
      </c>
      <c r="M317" s="73" t="s">
        <v>2658</v>
      </c>
      <c r="N317" s="73" t="s">
        <v>967</v>
      </c>
      <c r="O317" s="113">
        <v>43745.0</v>
      </c>
      <c r="P317" s="37">
        <v>44004.0</v>
      </c>
      <c r="Q317" s="22"/>
      <c r="R317" s="22"/>
      <c r="S317" s="117"/>
      <c r="T317" s="157"/>
      <c r="U317" s="161"/>
      <c r="V317" s="161"/>
      <c r="W317" s="161"/>
      <c r="X317" s="161"/>
      <c r="Y317" s="161"/>
      <c r="Z317" s="161"/>
      <c r="AA317" s="161"/>
      <c r="AB317" s="161"/>
      <c r="AC317" s="161"/>
      <c r="AD317" s="161"/>
      <c r="AE317" s="161"/>
      <c r="AF317" s="161"/>
      <c r="AG317" s="275" t="s">
        <v>97</v>
      </c>
      <c r="AH317" s="163"/>
      <c r="AI317" s="163"/>
      <c r="AJ317" s="163"/>
      <c r="AK317" s="163"/>
      <c r="AL317" s="163"/>
      <c r="AM317" s="163"/>
      <c r="AN317" s="161"/>
      <c r="AO317" s="161"/>
      <c r="AP317" s="161"/>
      <c r="AQ317" s="161"/>
      <c r="AR317" s="161"/>
      <c r="AS317" s="119"/>
    </row>
    <row r="318">
      <c r="A318" s="137">
        <v>232.0</v>
      </c>
      <c r="B318" s="150"/>
      <c r="C318" s="104" t="s">
        <v>2659</v>
      </c>
      <c r="D318" s="138" t="s">
        <v>71</v>
      </c>
      <c r="E318" s="107" t="s">
        <v>71</v>
      </c>
      <c r="F318" s="101"/>
      <c r="G318" s="40" t="s">
        <v>2660</v>
      </c>
      <c r="H318" s="55" t="s">
        <v>2661</v>
      </c>
      <c r="I318" s="69" t="s">
        <v>2662</v>
      </c>
      <c r="J318" s="155"/>
      <c r="K318" s="37">
        <v>43980.0</v>
      </c>
      <c r="L318" s="37">
        <v>43981.0</v>
      </c>
      <c r="M318" s="73" t="s">
        <v>221</v>
      </c>
      <c r="N318" s="73" t="s">
        <v>72</v>
      </c>
      <c r="O318" s="113">
        <v>43769.0</v>
      </c>
      <c r="P318" s="37">
        <v>43928.0</v>
      </c>
      <c r="Q318" s="22"/>
      <c r="R318" s="22"/>
      <c r="S318" s="117"/>
      <c r="T318" s="157"/>
      <c r="U318" s="161"/>
      <c r="V318" s="161"/>
      <c r="W318" s="161"/>
      <c r="X318" s="161"/>
      <c r="Y318" s="161"/>
      <c r="Z318" s="161"/>
      <c r="AA318" s="161"/>
      <c r="AB318" s="161"/>
      <c r="AC318" s="161"/>
      <c r="AD318" s="161"/>
      <c r="AE318" s="161"/>
      <c r="AF318" s="161"/>
      <c r="AG318" s="161"/>
      <c r="AH318" s="163"/>
      <c r="AI318" s="163"/>
      <c r="AJ318" s="163"/>
      <c r="AK318" s="163"/>
      <c r="AL318" s="163"/>
      <c r="AM318" s="165" t="s">
        <v>97</v>
      </c>
      <c r="AN318" s="161"/>
      <c r="AO318" s="161"/>
      <c r="AP318" s="161"/>
      <c r="AQ318" s="161"/>
      <c r="AR318" s="161"/>
      <c r="AS318" s="119"/>
    </row>
    <row r="319">
      <c r="A319" s="137">
        <v>233.0</v>
      </c>
      <c r="B319" s="150">
        <v>11.0</v>
      </c>
      <c r="C319" s="104" t="s">
        <v>2663</v>
      </c>
      <c r="D319" s="105" t="s">
        <v>48</v>
      </c>
      <c r="E319" s="107" t="s">
        <v>48</v>
      </c>
      <c r="F319" s="101"/>
      <c r="G319" s="40" t="s">
        <v>2664</v>
      </c>
      <c r="H319" s="55" t="s">
        <v>2665</v>
      </c>
      <c r="I319" s="69" t="s">
        <v>2666</v>
      </c>
      <c r="J319" s="155"/>
      <c r="K319" s="22" t="s">
        <v>27</v>
      </c>
      <c r="L319" s="22" t="s">
        <v>27</v>
      </c>
      <c r="M319" s="73" t="s">
        <v>221</v>
      </c>
      <c r="N319" s="73" t="s">
        <v>72</v>
      </c>
      <c r="O319" s="22" t="s">
        <v>27</v>
      </c>
      <c r="P319" s="22" t="s">
        <v>27</v>
      </c>
      <c r="Q319" s="22"/>
      <c r="R319" s="22"/>
      <c r="S319" s="117"/>
      <c r="T319" s="157"/>
      <c r="U319" s="176" t="s">
        <v>97</v>
      </c>
      <c r="V319" s="161"/>
      <c r="W319" s="161"/>
      <c r="X319" s="161"/>
      <c r="Y319" s="161"/>
      <c r="Z319" s="161"/>
      <c r="AA319" s="161"/>
      <c r="AB319" s="161"/>
      <c r="AC319" s="161"/>
      <c r="AD319" s="161"/>
      <c r="AE319" s="161"/>
      <c r="AF319" s="161"/>
      <c r="AG319" s="161"/>
      <c r="AH319" s="163"/>
      <c r="AI319" s="163"/>
      <c r="AJ319" s="163"/>
      <c r="AK319" s="163"/>
      <c r="AL319" s="163"/>
      <c r="AM319" s="163"/>
      <c r="AN319" s="161"/>
      <c r="AO319" s="161"/>
      <c r="AP319" s="161"/>
      <c r="AQ319" s="161"/>
      <c r="AR319" s="161"/>
      <c r="AS319" s="119"/>
    </row>
    <row r="320">
      <c r="A320" s="101">
        <v>234.0</v>
      </c>
      <c r="B320" s="150">
        <v>11.0</v>
      </c>
      <c r="C320" s="104" t="s">
        <v>2667</v>
      </c>
      <c r="D320" s="138" t="s">
        <v>60</v>
      </c>
      <c r="E320" s="107" t="s">
        <v>390</v>
      </c>
      <c r="F320" s="101"/>
      <c r="G320" s="40" t="s">
        <v>2668</v>
      </c>
      <c r="H320" s="55" t="s">
        <v>2669</v>
      </c>
      <c r="I320" s="175" t="s">
        <v>2670</v>
      </c>
      <c r="J320" s="155"/>
      <c r="K320" s="22" t="s">
        <v>27</v>
      </c>
      <c r="L320" s="22" t="s">
        <v>27</v>
      </c>
      <c r="M320" s="73" t="s">
        <v>2671</v>
      </c>
      <c r="N320" s="73" t="s">
        <v>231</v>
      </c>
      <c r="O320" s="22" t="s">
        <v>27</v>
      </c>
      <c r="P320" s="22" t="s">
        <v>27</v>
      </c>
      <c r="Q320" s="22"/>
      <c r="R320" s="22"/>
      <c r="S320" s="117"/>
      <c r="T320" s="157"/>
      <c r="U320" s="161"/>
      <c r="V320" s="161"/>
      <c r="W320" s="161"/>
      <c r="X320" s="161"/>
      <c r="Y320" s="161"/>
      <c r="Z320" s="161"/>
      <c r="AA320" s="161"/>
      <c r="AB320" s="161"/>
      <c r="AC320" s="161"/>
      <c r="AD320" s="558" t="s">
        <v>97</v>
      </c>
      <c r="AE320" s="161"/>
      <c r="AF320" s="161"/>
      <c r="AG320" s="161"/>
      <c r="AH320" s="163"/>
      <c r="AI320" s="163"/>
      <c r="AJ320" s="163"/>
      <c r="AK320" s="163"/>
      <c r="AL320" s="163"/>
      <c r="AM320" s="163"/>
      <c r="AN320" s="161"/>
      <c r="AO320" s="161"/>
      <c r="AP320" s="161"/>
      <c r="AQ320" s="161"/>
      <c r="AR320" s="161"/>
      <c r="AS320" s="119"/>
    </row>
    <row r="321">
      <c r="A321" s="137">
        <v>895.0</v>
      </c>
      <c r="B321" s="122">
        <v>11.0</v>
      </c>
      <c r="C321" s="123" t="s">
        <v>2672</v>
      </c>
      <c r="D321" s="124" t="s">
        <v>48</v>
      </c>
      <c r="E321" s="126" t="s">
        <v>48</v>
      </c>
      <c r="F321" s="127"/>
      <c r="G321" s="128" t="s">
        <v>2673</v>
      </c>
      <c r="H321" s="89" t="s">
        <v>2674</v>
      </c>
      <c r="I321" s="91" t="str">
        <f>HYPERLINK("https://filmfreeway.com/FirstGlanceFilmFestivals","https://filmfreeway.com/FirstGlanceFilmFestivals")</f>
        <v>https://filmfreeway.com/FirstGlanceFilmFestivals</v>
      </c>
      <c r="J321" s="630"/>
      <c r="K321" s="631">
        <v>44113.0</v>
      </c>
      <c r="L321" s="632">
        <v>44115.0</v>
      </c>
      <c r="M321" s="130" t="s">
        <v>772</v>
      </c>
      <c r="N321" s="130" t="s">
        <v>212</v>
      </c>
      <c r="O321" s="631">
        <v>43913.0</v>
      </c>
      <c r="P321" s="632">
        <v>44025.0</v>
      </c>
      <c r="Q321" s="131"/>
      <c r="R321" s="132"/>
      <c r="S321" s="132"/>
      <c r="T321" s="118"/>
      <c r="U321" s="176" t="s">
        <v>97</v>
      </c>
      <c r="V321" s="119"/>
      <c r="W321" s="119"/>
      <c r="X321" s="119"/>
      <c r="Y321" s="134"/>
      <c r="Z321" s="119"/>
      <c r="AA321" s="119"/>
      <c r="AB321" s="119"/>
      <c r="AC321" s="119"/>
      <c r="AD321" s="119"/>
      <c r="AE321" s="119"/>
      <c r="AF321" s="119"/>
      <c r="AG321" s="119"/>
      <c r="AH321" s="121"/>
      <c r="AI321" s="121"/>
      <c r="AJ321" s="121"/>
      <c r="AK321" s="121"/>
      <c r="AL321" s="121"/>
      <c r="AM321" s="135"/>
      <c r="AN321" s="119"/>
      <c r="AO321" s="119"/>
      <c r="AP321" s="119"/>
      <c r="AQ321" s="119"/>
      <c r="AR321" s="119"/>
      <c r="AS321" s="119"/>
    </row>
    <row r="322">
      <c r="A322" s="137">
        <v>235.0</v>
      </c>
      <c r="B322" s="177"/>
      <c r="C322" s="104" t="s">
        <v>2675</v>
      </c>
      <c r="D322" s="105" t="s">
        <v>48</v>
      </c>
      <c r="E322" s="107" t="s">
        <v>48</v>
      </c>
      <c r="F322" s="178"/>
      <c r="G322" s="77" t="s">
        <v>2676</v>
      </c>
      <c r="H322" s="81" t="s">
        <v>2677</v>
      </c>
      <c r="I322" s="84" t="s">
        <v>2678</v>
      </c>
      <c r="J322" s="155"/>
      <c r="K322" s="37">
        <v>43874.0</v>
      </c>
      <c r="L322" s="37">
        <v>43877.0</v>
      </c>
      <c r="M322" s="85" t="s">
        <v>2679</v>
      </c>
      <c r="N322" s="85" t="s">
        <v>179</v>
      </c>
      <c r="O322" s="113">
        <v>43617.0</v>
      </c>
      <c r="P322" s="37">
        <v>43753.0</v>
      </c>
      <c r="Q322" s="22"/>
      <c r="R322" s="22"/>
      <c r="S322" s="117"/>
      <c r="T322" s="181"/>
      <c r="U322" s="182" t="s">
        <v>97</v>
      </c>
      <c r="V322" s="184"/>
      <c r="W322" s="184"/>
      <c r="X322" s="184"/>
      <c r="Y322" s="184"/>
      <c r="Z322" s="184"/>
      <c r="AA322" s="184"/>
      <c r="AB322" s="184"/>
      <c r="AC322" s="184"/>
      <c r="AD322" s="186"/>
      <c r="AE322" s="187"/>
      <c r="AF322" s="184"/>
      <c r="AG322" s="187"/>
      <c r="AH322" s="189"/>
      <c r="AI322" s="189"/>
      <c r="AJ322" s="189"/>
      <c r="AK322" s="189"/>
      <c r="AL322" s="189"/>
      <c r="AM322" s="189"/>
      <c r="AN322" s="187"/>
      <c r="AO322" s="187"/>
      <c r="AP322" s="184"/>
      <c r="AQ322" s="187"/>
      <c r="AR322" s="187"/>
      <c r="AS322" s="119"/>
    </row>
    <row r="323">
      <c r="A323" s="137">
        <v>236.0</v>
      </c>
      <c r="B323" s="150"/>
      <c r="C323" s="104" t="s">
        <v>2680</v>
      </c>
      <c r="D323" s="105" t="s">
        <v>48</v>
      </c>
      <c r="E323" s="107" t="s">
        <v>48</v>
      </c>
      <c r="F323" s="101"/>
      <c r="G323" s="40" t="s">
        <v>2681</v>
      </c>
      <c r="H323" s="55" t="s">
        <v>2682</v>
      </c>
      <c r="I323" s="69" t="s">
        <v>2683</v>
      </c>
      <c r="J323" s="155"/>
      <c r="K323" s="37">
        <v>43854.0</v>
      </c>
      <c r="L323" s="37">
        <v>43856.0</v>
      </c>
      <c r="M323" s="73" t="s">
        <v>2684</v>
      </c>
      <c r="N323" s="73" t="s">
        <v>670</v>
      </c>
      <c r="O323" s="113">
        <v>43707.0</v>
      </c>
      <c r="P323" s="37">
        <v>43763.0</v>
      </c>
      <c r="Q323" s="22"/>
      <c r="R323" s="22"/>
      <c r="S323" s="117"/>
      <c r="T323" s="157"/>
      <c r="U323" s="176" t="s">
        <v>97</v>
      </c>
      <c r="V323" s="161"/>
      <c r="W323" s="161"/>
      <c r="X323" s="161"/>
      <c r="Y323" s="161"/>
      <c r="Z323" s="161"/>
      <c r="AA323" s="161"/>
      <c r="AB323" s="161"/>
      <c r="AC323" s="161"/>
      <c r="AD323" s="161"/>
      <c r="AE323" s="161"/>
      <c r="AF323" s="161"/>
      <c r="AG323" s="161"/>
      <c r="AH323" s="163"/>
      <c r="AI323" s="163"/>
      <c r="AJ323" s="163"/>
      <c r="AK323" s="163"/>
      <c r="AL323" s="163"/>
      <c r="AM323" s="163"/>
      <c r="AN323" s="161"/>
      <c r="AO323" s="161"/>
      <c r="AP323" s="161"/>
      <c r="AQ323" s="161"/>
      <c r="AR323" s="161"/>
      <c r="AS323" s="119"/>
    </row>
    <row r="324">
      <c r="A324" s="101">
        <v>237.0</v>
      </c>
      <c r="B324" s="197">
        <v>9.0</v>
      </c>
      <c r="C324" s="104" t="s">
        <v>2685</v>
      </c>
      <c r="D324" s="105" t="s">
        <v>48</v>
      </c>
      <c r="E324" s="107" t="s">
        <v>48</v>
      </c>
      <c r="F324" s="178"/>
      <c r="G324" s="77" t="s">
        <v>2686</v>
      </c>
      <c r="H324" s="81" t="s">
        <v>2687</v>
      </c>
      <c r="I324" s="34" t="s">
        <v>2688</v>
      </c>
      <c r="J324" s="630"/>
      <c r="K324" s="631">
        <v>44098.0</v>
      </c>
      <c r="L324" s="632">
        <v>44100.0</v>
      </c>
      <c r="M324" s="174" t="s">
        <v>2689</v>
      </c>
      <c r="N324" s="85" t="s">
        <v>102</v>
      </c>
      <c r="O324" s="631">
        <v>43862.0</v>
      </c>
      <c r="P324" s="632">
        <v>44044.0</v>
      </c>
      <c r="Q324" s="201"/>
      <c r="R324" s="201"/>
      <c r="S324" s="224"/>
      <c r="T324" s="181"/>
      <c r="U324" s="182" t="s">
        <v>97</v>
      </c>
      <c r="V324" s="184"/>
      <c r="W324" s="184"/>
      <c r="X324" s="184"/>
      <c r="Y324" s="184"/>
      <c r="Z324" s="184"/>
      <c r="AA324" s="184"/>
      <c r="AB324" s="184"/>
      <c r="AC324" s="184"/>
      <c r="AD324" s="186"/>
      <c r="AE324" s="187"/>
      <c r="AF324" s="184"/>
      <c r="AG324" s="187"/>
      <c r="AH324" s="189"/>
      <c r="AI324" s="189"/>
      <c r="AJ324" s="189"/>
      <c r="AK324" s="189"/>
      <c r="AL324" s="189"/>
      <c r="AM324" s="189"/>
      <c r="AN324" s="187"/>
      <c r="AO324" s="187"/>
      <c r="AP324" s="184"/>
      <c r="AQ324" s="187"/>
      <c r="AR324" s="187"/>
      <c r="AS324" s="119"/>
    </row>
    <row r="325">
      <c r="A325" s="101">
        <v>561.0</v>
      </c>
      <c r="B325" s="177"/>
      <c r="C325" s="104" t="s">
        <v>2690</v>
      </c>
      <c r="D325" s="105" t="s">
        <v>48</v>
      </c>
      <c r="E325" s="107" t="s">
        <v>48</v>
      </c>
      <c r="F325" s="178"/>
      <c r="G325" s="77" t="s">
        <v>2691</v>
      </c>
      <c r="H325" s="250" t="s">
        <v>2692</v>
      </c>
      <c r="I325" s="84" t="s">
        <v>2693</v>
      </c>
      <c r="J325" s="112"/>
      <c r="K325" s="113">
        <v>44047.0</v>
      </c>
      <c r="L325" s="113">
        <v>44052.0</v>
      </c>
      <c r="M325" s="85" t="s">
        <v>2694</v>
      </c>
      <c r="N325" s="85" t="s">
        <v>701</v>
      </c>
      <c r="O325" s="113">
        <v>43845.0</v>
      </c>
      <c r="P325" s="113">
        <v>43997.0</v>
      </c>
      <c r="Q325" s="200" t="s">
        <v>222</v>
      </c>
      <c r="R325" s="200" t="s">
        <v>222</v>
      </c>
      <c r="S325" s="224"/>
      <c r="T325" s="181"/>
      <c r="U325" s="182" t="s">
        <v>97</v>
      </c>
      <c r="V325" s="184"/>
      <c r="W325" s="184"/>
      <c r="X325" s="184"/>
      <c r="Y325" s="184"/>
      <c r="Z325" s="184"/>
      <c r="AA325" s="184"/>
      <c r="AB325" s="184"/>
      <c r="AC325" s="184"/>
      <c r="AD325" s="186"/>
      <c r="AE325" s="187"/>
      <c r="AF325" s="184"/>
      <c r="AG325" s="187"/>
      <c r="AH325" s="189"/>
      <c r="AI325" s="189"/>
      <c r="AJ325" s="189"/>
      <c r="AK325" s="189"/>
      <c r="AL325" s="189"/>
      <c r="AM325" s="189"/>
      <c r="AN325" s="187"/>
      <c r="AO325" s="187"/>
      <c r="AP325" s="184"/>
      <c r="AQ325" s="187"/>
      <c r="AR325" s="187"/>
      <c r="AS325" s="119"/>
    </row>
    <row r="326">
      <c r="A326" s="137">
        <v>238.0</v>
      </c>
      <c r="B326" s="150"/>
      <c r="C326" s="104" t="s">
        <v>2695</v>
      </c>
      <c r="D326" s="105" t="s">
        <v>66</v>
      </c>
      <c r="E326" s="107" t="s">
        <v>66</v>
      </c>
      <c r="F326" s="101"/>
      <c r="G326" s="40" t="s">
        <v>2696</v>
      </c>
      <c r="H326" s="55" t="s">
        <v>2697</v>
      </c>
      <c r="I326" s="69" t="s">
        <v>2698</v>
      </c>
      <c r="J326" s="155"/>
      <c r="K326" s="37">
        <v>43993.0</v>
      </c>
      <c r="L326" s="37">
        <v>43996.0</v>
      </c>
      <c r="M326" s="73" t="s">
        <v>608</v>
      </c>
      <c r="N326" s="73" t="s">
        <v>46</v>
      </c>
      <c r="O326" s="113">
        <v>43871.0</v>
      </c>
      <c r="P326" s="37">
        <v>43893.0</v>
      </c>
      <c r="Q326" s="22"/>
      <c r="R326" s="22"/>
      <c r="S326" s="117"/>
      <c r="T326" s="157"/>
      <c r="U326" s="161"/>
      <c r="V326" s="161"/>
      <c r="W326" s="161"/>
      <c r="X326" s="161"/>
      <c r="Y326" s="161"/>
      <c r="Z326" s="161"/>
      <c r="AA326" s="161"/>
      <c r="AB326" s="161"/>
      <c r="AC326" s="161"/>
      <c r="AD326" s="161"/>
      <c r="AE326" s="161"/>
      <c r="AF326" s="161"/>
      <c r="AG326" s="161"/>
      <c r="AH326" s="163"/>
      <c r="AI326" s="163"/>
      <c r="AJ326" s="242" t="s">
        <v>97</v>
      </c>
      <c r="AK326" s="163"/>
      <c r="AL326" s="163"/>
      <c r="AM326" s="163"/>
      <c r="AN326" s="161"/>
      <c r="AO326" s="161"/>
      <c r="AP326" s="161"/>
      <c r="AQ326" s="161"/>
      <c r="AR326" s="161"/>
      <c r="AS326" s="119"/>
    </row>
    <row r="327">
      <c r="A327" s="137">
        <v>239.0</v>
      </c>
      <c r="B327" s="197"/>
      <c r="C327" s="104" t="s">
        <v>1654</v>
      </c>
      <c r="D327" s="105" t="s">
        <v>48</v>
      </c>
      <c r="E327" s="107" t="s">
        <v>48</v>
      </c>
      <c r="F327" s="518"/>
      <c r="G327" s="153" t="s">
        <v>562</v>
      </c>
      <c r="H327" s="81" t="s">
        <v>563</v>
      </c>
      <c r="I327" s="34" t="s">
        <v>566</v>
      </c>
      <c r="J327" s="20" t="s">
        <v>78</v>
      </c>
      <c r="K327" s="37">
        <v>43938.0</v>
      </c>
      <c r="L327" s="37">
        <v>43947.0</v>
      </c>
      <c r="M327" s="73" t="s">
        <v>568</v>
      </c>
      <c r="N327" s="73" t="s">
        <v>46</v>
      </c>
      <c r="O327" s="37">
        <v>44115.0</v>
      </c>
      <c r="P327" s="37">
        <v>44178.0</v>
      </c>
      <c r="Q327" s="200" t="s">
        <v>222</v>
      </c>
      <c r="R327" s="200" t="s">
        <v>222</v>
      </c>
      <c r="S327" s="203" t="s">
        <v>97</v>
      </c>
      <c r="T327" s="157"/>
      <c r="U327" s="293" t="s">
        <v>97</v>
      </c>
      <c r="V327" s="194"/>
      <c r="W327" s="194"/>
      <c r="X327" s="194"/>
      <c r="Y327" s="194"/>
      <c r="Z327" s="194"/>
      <c r="AA327" s="194"/>
      <c r="AB327" s="194"/>
      <c r="AC327" s="194"/>
      <c r="AD327" s="186"/>
      <c r="AE327" s="187"/>
      <c r="AF327" s="194"/>
      <c r="AG327" s="187"/>
      <c r="AH327" s="189"/>
      <c r="AI327" s="189"/>
      <c r="AJ327" s="189"/>
      <c r="AK327" s="189"/>
      <c r="AL327" s="189"/>
      <c r="AM327" s="189"/>
      <c r="AN327" s="187"/>
      <c r="AO327" s="187"/>
      <c r="AP327" s="194"/>
      <c r="AQ327" s="187"/>
      <c r="AR327" s="187"/>
      <c r="AS327" s="119"/>
    </row>
    <row r="328">
      <c r="A328" s="101">
        <v>240.0</v>
      </c>
      <c r="B328" s="315">
        <v>7.0</v>
      </c>
      <c r="C328" s="104" t="s">
        <v>2699</v>
      </c>
      <c r="D328" s="105" t="s">
        <v>48</v>
      </c>
      <c r="E328" s="107" t="s">
        <v>48</v>
      </c>
      <c r="F328" s="190"/>
      <c r="G328" s="192" t="s">
        <v>2700</v>
      </c>
      <c r="H328" s="81" t="s">
        <v>2701</v>
      </c>
      <c r="I328" s="316" t="s">
        <v>24</v>
      </c>
      <c r="J328" s="155"/>
      <c r="K328" s="22" t="s">
        <v>27</v>
      </c>
      <c r="L328" s="22" t="s">
        <v>27</v>
      </c>
      <c r="M328" s="73" t="s">
        <v>2702</v>
      </c>
      <c r="N328" s="73" t="s">
        <v>1978</v>
      </c>
      <c r="O328" s="22" t="s">
        <v>27</v>
      </c>
      <c r="P328" s="22" t="s">
        <v>27</v>
      </c>
      <c r="Q328" s="201"/>
      <c r="R328" s="201"/>
      <c r="S328" s="224"/>
      <c r="T328" s="157"/>
      <c r="U328" s="293" t="s">
        <v>97</v>
      </c>
      <c r="V328" s="194"/>
      <c r="W328" s="194"/>
      <c r="X328" s="194"/>
      <c r="Y328" s="194"/>
      <c r="Z328" s="194"/>
      <c r="AA328" s="194"/>
      <c r="AB328" s="194"/>
      <c r="AC328" s="194"/>
      <c r="AD328" s="186"/>
      <c r="AE328" s="187"/>
      <c r="AF328" s="194"/>
      <c r="AG328" s="187"/>
      <c r="AH328" s="189"/>
      <c r="AI328" s="189"/>
      <c r="AJ328" s="189"/>
      <c r="AK328" s="189"/>
      <c r="AL328" s="189"/>
      <c r="AM328" s="189"/>
      <c r="AN328" s="187"/>
      <c r="AO328" s="187"/>
      <c r="AP328" s="194"/>
      <c r="AQ328" s="187"/>
      <c r="AR328" s="187"/>
      <c r="AS328" s="119"/>
    </row>
    <row r="329">
      <c r="A329" s="137">
        <v>241.0</v>
      </c>
      <c r="B329" s="406">
        <v>10.0</v>
      </c>
      <c r="C329" s="104" t="s">
        <v>2703</v>
      </c>
      <c r="D329" s="105" t="s">
        <v>48</v>
      </c>
      <c r="E329" s="107" t="s">
        <v>48</v>
      </c>
      <c r="F329" s="627"/>
      <c r="G329" s="628" t="s">
        <v>2704</v>
      </c>
      <c r="H329" s="81" t="s">
        <v>2705</v>
      </c>
      <c r="I329" s="409" t="s">
        <v>2706</v>
      </c>
      <c r="J329" s="630"/>
      <c r="K329" s="631">
        <v>44112.0</v>
      </c>
      <c r="L329" s="632">
        <v>44115.0</v>
      </c>
      <c r="M329" s="174" t="s">
        <v>2707</v>
      </c>
      <c r="N329" s="410" t="s">
        <v>350</v>
      </c>
      <c r="O329" s="631">
        <v>43861.0</v>
      </c>
      <c r="P329" s="632">
        <v>43966.0</v>
      </c>
      <c r="Q329" s="22"/>
      <c r="R329" s="22"/>
      <c r="S329" s="193" t="s">
        <v>97</v>
      </c>
      <c r="T329" s="411"/>
      <c r="U329" s="412" t="s">
        <v>97</v>
      </c>
      <c r="V329" s="187"/>
      <c r="W329" s="187"/>
      <c r="X329" s="187"/>
      <c r="Y329" s="187"/>
      <c r="Z329" s="187"/>
      <c r="AA329" s="187"/>
      <c r="AB329" s="187"/>
      <c r="AC329" s="187"/>
      <c r="AD329" s="186"/>
      <c r="AE329" s="187"/>
      <c r="AF329" s="187"/>
      <c r="AG329" s="187"/>
      <c r="AH329" s="189"/>
      <c r="AI329" s="189"/>
      <c r="AJ329" s="189"/>
      <c r="AK329" s="189"/>
      <c r="AL329" s="189"/>
      <c r="AM329" s="189"/>
      <c r="AN329" s="187"/>
      <c r="AO329" s="187"/>
      <c r="AP329" s="187"/>
      <c r="AQ329" s="187"/>
      <c r="AR329" s="187"/>
      <c r="AS329" s="119"/>
    </row>
    <row r="330">
      <c r="A330" s="137">
        <v>242.0</v>
      </c>
      <c r="B330" s="177"/>
      <c r="C330" s="104" t="s">
        <v>2708</v>
      </c>
      <c r="D330" s="105" t="s">
        <v>48</v>
      </c>
      <c r="E330" s="107" t="s">
        <v>48</v>
      </c>
      <c r="F330" s="178"/>
      <c r="G330" s="77" t="s">
        <v>2709</v>
      </c>
      <c r="H330" s="81" t="s">
        <v>2710</v>
      </c>
      <c r="I330" s="84" t="s">
        <v>2711</v>
      </c>
      <c r="J330" s="155"/>
      <c r="K330" s="37">
        <v>44126.0</v>
      </c>
      <c r="L330" s="37">
        <v>44129.0</v>
      </c>
      <c r="M330" s="85" t="s">
        <v>196</v>
      </c>
      <c r="N330" s="85" t="s">
        <v>29</v>
      </c>
      <c r="O330" s="113">
        <v>43924.0</v>
      </c>
      <c r="P330" s="37">
        <v>43945.0</v>
      </c>
      <c r="Q330" s="22"/>
      <c r="R330" s="22"/>
      <c r="S330" s="117"/>
      <c r="T330" s="181"/>
      <c r="U330" s="182" t="s">
        <v>97</v>
      </c>
      <c r="V330" s="184"/>
      <c r="W330" s="184"/>
      <c r="X330" s="184"/>
      <c r="Y330" s="184"/>
      <c r="Z330" s="184"/>
      <c r="AA330" s="184"/>
      <c r="AB330" s="184"/>
      <c r="AC330" s="184"/>
      <c r="AD330" s="186"/>
      <c r="AE330" s="187"/>
      <c r="AF330" s="184"/>
      <c r="AG330" s="187"/>
      <c r="AH330" s="189"/>
      <c r="AI330" s="189"/>
      <c r="AJ330" s="189"/>
      <c r="AK330" s="189"/>
      <c r="AL330" s="189"/>
      <c r="AM330" s="189"/>
      <c r="AN330" s="187"/>
      <c r="AO330" s="187"/>
      <c r="AP330" s="184"/>
      <c r="AQ330" s="187"/>
      <c r="AR330" s="187"/>
      <c r="AS330" s="119"/>
    </row>
    <row r="331">
      <c r="A331" s="137">
        <v>243.0</v>
      </c>
      <c r="B331" s="150"/>
      <c r="C331" s="104" t="s">
        <v>2712</v>
      </c>
      <c r="D331" s="105" t="s">
        <v>48</v>
      </c>
      <c r="E331" s="107" t="s">
        <v>48</v>
      </c>
      <c r="F331" s="101"/>
      <c r="G331" s="40" t="s">
        <v>2713</v>
      </c>
      <c r="H331" s="55" t="s">
        <v>2714</v>
      </c>
      <c r="I331" s="69" t="s">
        <v>2715</v>
      </c>
      <c r="J331" s="155"/>
      <c r="K331" s="37">
        <v>44097.0</v>
      </c>
      <c r="L331" s="37">
        <v>44101.0</v>
      </c>
      <c r="M331" s="73" t="s">
        <v>2716</v>
      </c>
      <c r="N331" s="73" t="s">
        <v>159</v>
      </c>
      <c r="O331" s="113">
        <v>43831.0</v>
      </c>
      <c r="P331" s="37">
        <v>44032.0</v>
      </c>
      <c r="Q331" s="22"/>
      <c r="R331" s="22"/>
      <c r="S331" s="193" t="s">
        <v>97</v>
      </c>
      <c r="T331" s="157"/>
      <c r="U331" s="176" t="s">
        <v>222</v>
      </c>
      <c r="V331" s="161"/>
      <c r="W331" s="161"/>
      <c r="X331" s="161"/>
      <c r="Y331" s="161"/>
      <c r="Z331" s="161"/>
      <c r="AA331" s="161"/>
      <c r="AB331" s="161"/>
      <c r="AC331" s="161"/>
      <c r="AD331" s="161"/>
      <c r="AE331" s="161"/>
      <c r="AF331" s="161"/>
      <c r="AG331" s="161"/>
      <c r="AH331" s="163"/>
      <c r="AI331" s="163"/>
      <c r="AJ331" s="163"/>
      <c r="AK331" s="163"/>
      <c r="AL331" s="163"/>
      <c r="AM331" s="163"/>
      <c r="AN331" s="161"/>
      <c r="AO331" s="161"/>
      <c r="AP331" s="161"/>
      <c r="AQ331" s="161"/>
      <c r="AR331" s="161"/>
      <c r="AS331" s="119"/>
    </row>
    <row r="332">
      <c r="A332" s="101">
        <v>244.0</v>
      </c>
      <c r="B332" s="177">
        <v>11.0</v>
      </c>
      <c r="C332" s="104" t="s">
        <v>2717</v>
      </c>
      <c r="D332" s="105" t="s">
        <v>48</v>
      </c>
      <c r="E332" s="107" t="s">
        <v>48</v>
      </c>
      <c r="F332" s="178"/>
      <c r="G332" s="77" t="s">
        <v>2718</v>
      </c>
      <c r="H332" s="81" t="s">
        <v>2719</v>
      </c>
      <c r="I332" s="84" t="s">
        <v>2720</v>
      </c>
      <c r="J332" s="630"/>
      <c r="K332" s="631">
        <v>44141.0</v>
      </c>
      <c r="L332" s="632">
        <v>44157.0</v>
      </c>
      <c r="M332" s="85" t="s">
        <v>2721</v>
      </c>
      <c r="N332" s="85" t="s">
        <v>46</v>
      </c>
      <c r="O332" s="631">
        <v>43983.0</v>
      </c>
      <c r="P332" s="632">
        <v>44044.0</v>
      </c>
      <c r="Q332" s="535"/>
      <c r="R332" s="535"/>
      <c r="S332" s="117"/>
      <c r="T332" s="181"/>
      <c r="U332" s="182" t="s">
        <v>97</v>
      </c>
      <c r="V332" s="184"/>
      <c r="W332" s="184"/>
      <c r="X332" s="184"/>
      <c r="Y332" s="184"/>
      <c r="Z332" s="184"/>
      <c r="AA332" s="184"/>
      <c r="AB332" s="184"/>
      <c r="AC332" s="184"/>
      <c r="AD332" s="186"/>
      <c r="AE332" s="187"/>
      <c r="AF332" s="184"/>
      <c r="AG332" s="187"/>
      <c r="AH332" s="189"/>
      <c r="AI332" s="189"/>
      <c r="AJ332" s="189"/>
      <c r="AK332" s="189"/>
      <c r="AL332" s="189"/>
      <c r="AM332" s="189"/>
      <c r="AN332" s="187"/>
      <c r="AO332" s="187"/>
      <c r="AP332" s="184"/>
      <c r="AQ332" s="187"/>
      <c r="AR332" s="187"/>
      <c r="AS332" s="119"/>
    </row>
    <row r="333">
      <c r="A333" s="137">
        <v>245.0</v>
      </c>
      <c r="B333" s="150"/>
      <c r="C333" s="104" t="s">
        <v>2722</v>
      </c>
      <c r="D333" s="105" t="s">
        <v>48</v>
      </c>
      <c r="E333" s="107" t="s">
        <v>48</v>
      </c>
      <c r="F333" s="101"/>
      <c r="G333" s="40" t="s">
        <v>2723</v>
      </c>
      <c r="H333" s="55" t="s">
        <v>2724</v>
      </c>
      <c r="I333" s="69" t="s">
        <v>2725</v>
      </c>
      <c r="J333" s="155"/>
      <c r="K333" s="37">
        <v>43943.0</v>
      </c>
      <c r="L333" s="37">
        <v>43950.0</v>
      </c>
      <c r="M333" s="73" t="s">
        <v>2726</v>
      </c>
      <c r="N333" s="73" t="s">
        <v>46</v>
      </c>
      <c r="O333" s="113">
        <v>43616.0</v>
      </c>
      <c r="P333" s="37">
        <v>43799.0</v>
      </c>
      <c r="Q333" s="22"/>
      <c r="R333" s="22"/>
      <c r="S333" s="117"/>
      <c r="T333" s="157"/>
      <c r="U333" s="176" t="s">
        <v>97</v>
      </c>
      <c r="V333" s="161"/>
      <c r="W333" s="161"/>
      <c r="X333" s="161"/>
      <c r="Y333" s="161"/>
      <c r="Z333" s="161"/>
      <c r="AA333" s="161"/>
      <c r="AB333" s="161"/>
      <c r="AC333" s="161"/>
      <c r="AD333" s="161"/>
      <c r="AE333" s="161"/>
      <c r="AF333" s="161"/>
      <c r="AG333" s="161"/>
      <c r="AH333" s="163"/>
      <c r="AI333" s="163"/>
      <c r="AJ333" s="163"/>
      <c r="AK333" s="163"/>
      <c r="AL333" s="163"/>
      <c r="AM333" s="163"/>
      <c r="AN333" s="161"/>
      <c r="AO333" s="161"/>
      <c r="AP333" s="161"/>
      <c r="AQ333" s="161"/>
      <c r="AR333" s="161"/>
      <c r="AS333" s="119"/>
    </row>
    <row r="334">
      <c r="A334" s="137">
        <v>760.0</v>
      </c>
      <c r="B334" s="103"/>
      <c r="C334" s="104" t="s">
        <v>2727</v>
      </c>
      <c r="D334" s="105" t="s">
        <v>48</v>
      </c>
      <c r="E334" s="107" t="s">
        <v>48</v>
      </c>
      <c r="F334" s="109"/>
      <c r="G334" s="10" t="s">
        <v>2728</v>
      </c>
      <c r="H334" s="17" t="s">
        <v>2729</v>
      </c>
      <c r="I334" s="111" t="s">
        <v>2730</v>
      </c>
      <c r="J334" s="112"/>
      <c r="K334" s="113">
        <v>43957.0</v>
      </c>
      <c r="L334" s="113">
        <v>43961.0</v>
      </c>
      <c r="M334" s="24" t="s">
        <v>2726</v>
      </c>
      <c r="N334" s="24" t="s">
        <v>46</v>
      </c>
      <c r="O334" s="114">
        <v>43595.0</v>
      </c>
      <c r="P334" s="114">
        <v>43861.0</v>
      </c>
      <c r="Q334" s="115"/>
      <c r="R334" s="115"/>
      <c r="S334" s="117"/>
      <c r="T334" s="118"/>
      <c r="U334" s="176" t="s">
        <v>97</v>
      </c>
      <c r="V334" s="119"/>
      <c r="W334" s="119"/>
      <c r="X334" s="119"/>
      <c r="Y334" s="119"/>
      <c r="Z334" s="119"/>
      <c r="AA334" s="119"/>
      <c r="AB334" s="119"/>
      <c r="AC334" s="119"/>
      <c r="AD334" s="119"/>
      <c r="AE334" s="119"/>
      <c r="AF334" s="119"/>
      <c r="AG334" s="119"/>
      <c r="AH334" s="121"/>
      <c r="AI334" s="121"/>
      <c r="AJ334" s="121"/>
      <c r="AK334" s="121"/>
      <c r="AL334" s="121"/>
      <c r="AM334" s="121"/>
      <c r="AN334" s="119"/>
      <c r="AO334" s="119"/>
      <c r="AP334" s="119"/>
      <c r="AQ334" s="119"/>
      <c r="AR334" s="119"/>
      <c r="AS334" s="119"/>
    </row>
    <row r="335">
      <c r="A335" s="137">
        <v>246.0</v>
      </c>
      <c r="B335" s="197">
        <v>10.0</v>
      </c>
      <c r="C335" s="104" t="s">
        <v>2731</v>
      </c>
      <c r="D335" s="226" t="s">
        <v>54</v>
      </c>
      <c r="E335" s="227" t="s">
        <v>54</v>
      </c>
      <c r="F335" s="178"/>
      <c r="G335" s="77" t="s">
        <v>2732</v>
      </c>
      <c r="H335" s="81" t="s">
        <v>2733</v>
      </c>
      <c r="I335" s="34" t="s">
        <v>2734</v>
      </c>
      <c r="J335" s="155"/>
      <c r="K335" s="22" t="s">
        <v>27</v>
      </c>
      <c r="L335" s="22" t="s">
        <v>27</v>
      </c>
      <c r="M335" s="174" t="s">
        <v>2735</v>
      </c>
      <c r="N335" s="85" t="s">
        <v>102</v>
      </c>
      <c r="O335" s="22" t="s">
        <v>27</v>
      </c>
      <c r="P335" s="22" t="s">
        <v>27</v>
      </c>
      <c r="Q335" s="201"/>
      <c r="R335" s="201"/>
      <c r="S335" s="224"/>
      <c r="T335" s="181"/>
      <c r="U335" s="184"/>
      <c r="V335" s="184"/>
      <c r="W335" s="184"/>
      <c r="X335" s="184"/>
      <c r="Y335" s="233" t="s">
        <v>97</v>
      </c>
      <c r="Z335" s="184"/>
      <c r="AA335" s="184"/>
      <c r="AB335" s="184"/>
      <c r="AC335" s="184"/>
      <c r="AD335" s="186"/>
      <c r="AE335" s="187"/>
      <c r="AF335" s="184"/>
      <c r="AG335" s="187"/>
      <c r="AH335" s="189"/>
      <c r="AI335" s="189"/>
      <c r="AJ335" s="189"/>
      <c r="AK335" s="189"/>
      <c r="AL335" s="189"/>
      <c r="AM335" s="189"/>
      <c r="AN335" s="187"/>
      <c r="AO335" s="187"/>
      <c r="AP335" s="184"/>
      <c r="AQ335" s="187"/>
      <c r="AR335" s="187"/>
      <c r="AS335" s="119"/>
    </row>
    <row r="336">
      <c r="A336" s="137">
        <v>785.0</v>
      </c>
      <c r="B336" s="103"/>
      <c r="C336" s="104" t="s">
        <v>2736</v>
      </c>
      <c r="D336" s="105" t="s">
        <v>48</v>
      </c>
      <c r="E336" s="107" t="s">
        <v>48</v>
      </c>
      <c r="F336" s="109"/>
      <c r="G336" s="10" t="s">
        <v>2737</v>
      </c>
      <c r="H336" s="17" t="s">
        <v>2738</v>
      </c>
      <c r="I336" s="111" t="s">
        <v>2739</v>
      </c>
      <c r="J336" s="112"/>
      <c r="K336" s="113">
        <v>43997.0</v>
      </c>
      <c r="L336" s="113">
        <v>44000.0</v>
      </c>
      <c r="M336" s="24" t="s">
        <v>2735</v>
      </c>
      <c r="N336" s="24" t="s">
        <v>102</v>
      </c>
      <c r="O336" s="114">
        <v>43742.0</v>
      </c>
      <c r="P336" s="114">
        <v>43952.0</v>
      </c>
      <c r="Q336" s="115"/>
      <c r="R336" s="115"/>
      <c r="S336" s="117"/>
      <c r="T336" s="118"/>
      <c r="U336" s="176" t="s">
        <v>97</v>
      </c>
      <c r="V336" s="119"/>
      <c r="W336" s="119"/>
      <c r="X336" s="119"/>
      <c r="Y336" s="119"/>
      <c r="Z336" s="119"/>
      <c r="AA336" s="119"/>
      <c r="AB336" s="119"/>
      <c r="AC336" s="119"/>
      <c r="AD336" s="119"/>
      <c r="AE336" s="119"/>
      <c r="AF336" s="119"/>
      <c r="AG336" s="119"/>
      <c r="AH336" s="121"/>
      <c r="AI336" s="121"/>
      <c r="AJ336" s="121"/>
      <c r="AK336" s="121"/>
      <c r="AL336" s="121"/>
      <c r="AM336" s="121"/>
      <c r="AN336" s="119"/>
      <c r="AO336" s="119"/>
      <c r="AP336" s="119"/>
      <c r="AQ336" s="119"/>
      <c r="AR336" s="119"/>
      <c r="AS336" s="119"/>
    </row>
    <row r="337">
      <c r="A337" s="101">
        <v>247.0</v>
      </c>
      <c r="B337" s="150">
        <v>8.0</v>
      </c>
      <c r="C337" s="104" t="s">
        <v>2740</v>
      </c>
      <c r="D337" s="105" t="s">
        <v>48</v>
      </c>
      <c r="E337" s="107" t="s">
        <v>48</v>
      </c>
      <c r="F337" s="101"/>
      <c r="G337" s="40" t="s">
        <v>2741</v>
      </c>
      <c r="H337" s="55" t="s">
        <v>2742</v>
      </c>
      <c r="I337" s="69" t="s">
        <v>2743</v>
      </c>
      <c r="J337" s="155"/>
      <c r="K337" s="22" t="s">
        <v>27</v>
      </c>
      <c r="L337" s="22" t="s">
        <v>27</v>
      </c>
      <c r="M337" s="73" t="s">
        <v>2744</v>
      </c>
      <c r="N337" s="73" t="s">
        <v>212</v>
      </c>
      <c r="O337" s="22" t="s">
        <v>27</v>
      </c>
      <c r="P337" s="22" t="s">
        <v>27</v>
      </c>
      <c r="Q337" s="22"/>
      <c r="R337" s="22"/>
      <c r="S337" s="117"/>
      <c r="T337" s="157"/>
      <c r="U337" s="176" t="s">
        <v>222</v>
      </c>
      <c r="V337" s="161"/>
      <c r="W337" s="161"/>
      <c r="X337" s="161"/>
      <c r="Y337" s="161"/>
      <c r="Z337" s="161"/>
      <c r="AA337" s="161"/>
      <c r="AB337" s="161"/>
      <c r="AC337" s="161"/>
      <c r="AD337" s="161"/>
      <c r="AE337" s="161"/>
      <c r="AF337" s="161"/>
      <c r="AG337" s="161"/>
      <c r="AH337" s="163"/>
      <c r="AI337" s="163"/>
      <c r="AJ337" s="163"/>
      <c r="AK337" s="163"/>
      <c r="AL337" s="163"/>
      <c r="AM337" s="163"/>
      <c r="AN337" s="161"/>
      <c r="AO337" s="161"/>
      <c r="AP337" s="161"/>
      <c r="AQ337" s="161"/>
      <c r="AR337" s="161"/>
      <c r="AS337" s="119"/>
    </row>
    <row r="338">
      <c r="A338" s="137">
        <v>978.0</v>
      </c>
      <c r="B338" s="284"/>
      <c r="C338" s="123" t="s">
        <v>2745</v>
      </c>
      <c r="D338" s="124" t="s">
        <v>64</v>
      </c>
      <c r="E338" s="126" t="s">
        <v>64</v>
      </c>
      <c r="F338" s="312"/>
      <c r="G338" s="216" t="s">
        <v>2746</v>
      </c>
      <c r="H338" s="89" t="s">
        <v>2747</v>
      </c>
      <c r="I338" s="91" t="str">
        <f>HYPERLINK("https://filmfreeway.com/FREAKSHOWHorrorFilmFestival","https://filmfreeway.com/FREAKSHOWHorrorFilmFestival")</f>
        <v>https://filmfreeway.com/FREAKSHOWHorrorFilmFestival</v>
      </c>
      <c r="J338" s="288"/>
      <c r="K338" s="145">
        <v>44127.0</v>
      </c>
      <c r="L338" s="145">
        <v>44129.0</v>
      </c>
      <c r="M338" s="130" t="s">
        <v>116</v>
      </c>
      <c r="N338" s="130" t="s">
        <v>46</v>
      </c>
      <c r="O338" s="145">
        <v>43829.0</v>
      </c>
      <c r="P338" s="145">
        <v>44081.0</v>
      </c>
      <c r="Q338" s="131"/>
      <c r="R338" s="132"/>
      <c r="S338" s="132"/>
      <c r="T338" s="118"/>
      <c r="U338" s="119"/>
      <c r="V338" s="119"/>
      <c r="W338" s="119"/>
      <c r="X338" s="119"/>
      <c r="Y338" s="134"/>
      <c r="Z338" s="119"/>
      <c r="AA338" s="119"/>
      <c r="AB338" s="119"/>
      <c r="AC338" s="119"/>
      <c r="AD338" s="119"/>
      <c r="AE338" s="119"/>
      <c r="AF338" s="119"/>
      <c r="AG338" s="119"/>
      <c r="AH338" s="246" t="s">
        <v>97</v>
      </c>
      <c r="AI338" s="121"/>
      <c r="AJ338" s="121"/>
      <c r="AK338" s="121"/>
      <c r="AL338" s="121"/>
      <c r="AM338" s="135"/>
      <c r="AN338" s="119"/>
      <c r="AO338" s="119"/>
      <c r="AP338" s="119"/>
      <c r="AQ338" s="119"/>
      <c r="AR338" s="119"/>
      <c r="AS338" s="119"/>
    </row>
    <row r="339">
      <c r="A339" s="137">
        <v>248.0</v>
      </c>
      <c r="B339" s="150"/>
      <c r="C339" s="104" t="s">
        <v>2748</v>
      </c>
      <c r="D339" s="105" t="s">
        <v>64</v>
      </c>
      <c r="E339" s="107" t="s">
        <v>64</v>
      </c>
      <c r="F339" s="101"/>
      <c r="G339" s="40" t="s">
        <v>2749</v>
      </c>
      <c r="H339" s="55" t="s">
        <v>2750</v>
      </c>
      <c r="I339" s="69" t="s">
        <v>2751</v>
      </c>
      <c r="J339" s="155"/>
      <c r="K339" s="37">
        <v>44127.0</v>
      </c>
      <c r="L339" s="37">
        <v>44129.0</v>
      </c>
      <c r="M339" s="73" t="s">
        <v>116</v>
      </c>
      <c r="N339" s="73" t="s">
        <v>46</v>
      </c>
      <c r="O339" s="113">
        <v>43829.0</v>
      </c>
      <c r="P339" s="37">
        <v>44081.0</v>
      </c>
      <c r="Q339" s="22"/>
      <c r="R339" s="22"/>
      <c r="S339" s="117"/>
      <c r="T339" s="157"/>
      <c r="U339" s="161"/>
      <c r="V339" s="161"/>
      <c r="W339" s="161"/>
      <c r="X339" s="161"/>
      <c r="Y339" s="161"/>
      <c r="Z339" s="161"/>
      <c r="AA339" s="161"/>
      <c r="AB339" s="161"/>
      <c r="AC339" s="161"/>
      <c r="AD339" s="161"/>
      <c r="AE339" s="161"/>
      <c r="AF339" s="161"/>
      <c r="AG339" s="161"/>
      <c r="AH339" s="246" t="s">
        <v>97</v>
      </c>
      <c r="AI339" s="163"/>
      <c r="AJ339" s="163"/>
      <c r="AK339" s="163"/>
      <c r="AL339" s="163"/>
      <c r="AM339" s="163"/>
      <c r="AN339" s="161"/>
      <c r="AO339" s="161"/>
      <c r="AP339" s="161"/>
      <c r="AQ339" s="161"/>
      <c r="AR339" s="161"/>
      <c r="AS339" s="119"/>
    </row>
    <row r="340">
      <c r="A340" s="137">
        <v>249.0</v>
      </c>
      <c r="B340" s="177"/>
      <c r="C340" s="104" t="s">
        <v>2752</v>
      </c>
      <c r="D340" s="105" t="s">
        <v>48</v>
      </c>
      <c r="E340" s="107" t="s">
        <v>48</v>
      </c>
      <c r="F340" s="178"/>
      <c r="G340" s="77" t="s">
        <v>2753</v>
      </c>
      <c r="H340" s="81" t="s">
        <v>2754</v>
      </c>
      <c r="I340" s="84" t="s">
        <v>2755</v>
      </c>
      <c r="J340" s="155"/>
      <c r="K340" s="37">
        <v>44008.0</v>
      </c>
      <c r="L340" s="37">
        <v>44009.0</v>
      </c>
      <c r="M340" s="85" t="s">
        <v>2756</v>
      </c>
      <c r="N340" s="85" t="s">
        <v>336</v>
      </c>
      <c r="O340" s="113">
        <v>43936.0</v>
      </c>
      <c r="P340" s="37">
        <v>43936.0</v>
      </c>
      <c r="Q340" s="22"/>
      <c r="R340" s="22"/>
      <c r="S340" s="117"/>
      <c r="T340" s="181"/>
      <c r="U340" s="182" t="s">
        <v>97</v>
      </c>
      <c r="V340" s="184"/>
      <c r="W340" s="184"/>
      <c r="X340" s="184"/>
      <c r="Y340" s="184"/>
      <c r="Z340" s="184"/>
      <c r="AA340" s="184"/>
      <c r="AB340" s="184"/>
      <c r="AC340" s="184"/>
      <c r="AD340" s="186"/>
      <c r="AE340" s="187"/>
      <c r="AF340" s="184"/>
      <c r="AG340" s="187"/>
      <c r="AH340" s="189"/>
      <c r="AI340" s="189"/>
      <c r="AJ340" s="189"/>
      <c r="AK340" s="189"/>
      <c r="AL340" s="189"/>
      <c r="AM340" s="189"/>
      <c r="AN340" s="187"/>
      <c r="AO340" s="187"/>
      <c r="AP340" s="184"/>
      <c r="AQ340" s="187"/>
      <c r="AR340" s="187"/>
      <c r="AS340" s="119"/>
    </row>
    <row r="341">
      <c r="A341" s="137">
        <v>906.0</v>
      </c>
      <c r="B341" s="284"/>
      <c r="C341" s="123" t="s">
        <v>2757</v>
      </c>
      <c r="D341" s="285" t="s">
        <v>48</v>
      </c>
      <c r="E341" s="287" t="s">
        <v>48</v>
      </c>
      <c r="F341" s="144"/>
      <c r="G341" s="637" t="s">
        <v>1944</v>
      </c>
      <c r="H341" s="89" t="s">
        <v>2758</v>
      </c>
      <c r="I341" s="91" t="str">
        <f>HYPERLINK("https://filmfreeway.com/FreeStateFestival","https://filmfreeway.com/FreeStateFestival")</f>
        <v>https://filmfreeway.com/FreeStateFestival</v>
      </c>
      <c r="J341" s="288"/>
      <c r="K341" s="145">
        <v>44004.0</v>
      </c>
      <c r="L341" s="145">
        <v>44010.0</v>
      </c>
      <c r="M341" s="130" t="s">
        <v>2759</v>
      </c>
      <c r="N341" s="130" t="s">
        <v>2464</v>
      </c>
      <c r="O341" s="145">
        <v>43831.0</v>
      </c>
      <c r="P341" s="145">
        <v>43892.0</v>
      </c>
      <c r="Q341" s="131"/>
      <c r="R341" s="132"/>
      <c r="S341" s="148" t="s">
        <v>97</v>
      </c>
      <c r="T341" s="118"/>
      <c r="U341" s="176" t="s">
        <v>97</v>
      </c>
      <c r="V341" s="119"/>
      <c r="W341" s="119"/>
      <c r="X341" s="119"/>
      <c r="Y341" s="134"/>
      <c r="Z341" s="119"/>
      <c r="AA341" s="119"/>
      <c r="AB341" s="119"/>
      <c r="AC341" s="119"/>
      <c r="AD341" s="119"/>
      <c r="AE341" s="119"/>
      <c r="AF341" s="119"/>
      <c r="AG341" s="119"/>
      <c r="AH341" s="121"/>
      <c r="AI341" s="121"/>
      <c r="AJ341" s="121"/>
      <c r="AK341" s="121"/>
      <c r="AL341" s="121"/>
      <c r="AM341" s="135"/>
      <c r="AN341" s="119"/>
      <c r="AO341" s="119"/>
      <c r="AP341" s="119"/>
      <c r="AQ341" s="119"/>
      <c r="AR341" s="119"/>
      <c r="AS341" s="119"/>
    </row>
    <row r="342">
      <c r="A342" s="137">
        <v>868.0</v>
      </c>
      <c r="B342" s="353"/>
      <c r="C342" s="638" t="s">
        <v>2760</v>
      </c>
      <c r="D342" s="357" t="s">
        <v>51</v>
      </c>
      <c r="E342" s="358" t="s">
        <v>51</v>
      </c>
      <c r="F342" s="359"/>
      <c r="G342" s="159" t="s">
        <v>140</v>
      </c>
      <c r="H342" s="166" t="s">
        <v>141</v>
      </c>
      <c r="I342" s="167" t="s">
        <v>145</v>
      </c>
      <c r="J342" s="168" t="s">
        <v>149</v>
      </c>
      <c r="K342" s="169">
        <v>43943.0</v>
      </c>
      <c r="L342" s="169">
        <v>43947.0</v>
      </c>
      <c r="M342" s="170" t="s">
        <v>153</v>
      </c>
      <c r="N342" s="170" t="s">
        <v>155</v>
      </c>
      <c r="O342" s="639" t="s">
        <v>27</v>
      </c>
      <c r="P342" s="639" t="s">
        <v>27</v>
      </c>
      <c r="Q342" s="361"/>
      <c r="R342" s="361"/>
      <c r="S342" s="117"/>
      <c r="T342" s="362"/>
      <c r="U342" s="269"/>
      <c r="V342" s="640" t="s">
        <v>97</v>
      </c>
      <c r="W342" s="269"/>
      <c r="X342" s="269"/>
      <c r="Y342" s="269"/>
      <c r="Z342" s="269"/>
      <c r="AA342" s="266"/>
      <c r="AB342" s="269"/>
      <c r="AC342" s="269"/>
      <c r="AD342" s="269"/>
      <c r="AE342" s="269"/>
      <c r="AF342" s="269"/>
      <c r="AG342" s="269"/>
      <c r="AH342" s="269"/>
      <c r="AI342" s="269"/>
      <c r="AJ342" s="269"/>
      <c r="AK342" s="269"/>
      <c r="AL342" s="269"/>
      <c r="AM342" s="269"/>
      <c r="AN342" s="269"/>
      <c r="AO342" s="269"/>
      <c r="AP342" s="269"/>
      <c r="AQ342" s="269"/>
      <c r="AR342" s="269"/>
      <c r="AS342" s="119"/>
    </row>
    <row r="343">
      <c r="A343" s="101">
        <v>250.0</v>
      </c>
      <c r="B343" s="315">
        <v>11.0</v>
      </c>
      <c r="C343" s="104" t="s">
        <v>2761</v>
      </c>
      <c r="D343" s="105" t="s">
        <v>48</v>
      </c>
      <c r="E343" s="107" t="s">
        <v>48</v>
      </c>
      <c r="F343" s="178"/>
      <c r="G343" s="77" t="s">
        <v>2762</v>
      </c>
      <c r="H343" s="81" t="s">
        <v>2763</v>
      </c>
      <c r="I343" s="316" t="s">
        <v>24</v>
      </c>
      <c r="J343" s="155"/>
      <c r="K343" s="22" t="s">
        <v>27</v>
      </c>
      <c r="L343" s="22" t="s">
        <v>27</v>
      </c>
      <c r="M343" s="85" t="s">
        <v>2764</v>
      </c>
      <c r="N343" s="85" t="s">
        <v>72</v>
      </c>
      <c r="O343" s="22" t="s">
        <v>27</v>
      </c>
      <c r="P343" s="22" t="s">
        <v>27</v>
      </c>
      <c r="Q343" s="201"/>
      <c r="R343" s="201"/>
      <c r="S343" s="224"/>
      <c r="T343" s="181"/>
      <c r="U343" s="182" t="s">
        <v>97</v>
      </c>
      <c r="V343" s="184"/>
      <c r="W343" s="184"/>
      <c r="X343" s="184"/>
      <c r="Y343" s="184"/>
      <c r="Z343" s="184"/>
      <c r="AA343" s="184"/>
      <c r="AB343" s="184"/>
      <c r="AC343" s="184"/>
      <c r="AD343" s="186"/>
      <c r="AE343" s="187"/>
      <c r="AF343" s="184"/>
      <c r="AG343" s="187"/>
      <c r="AH343" s="189"/>
      <c r="AI343" s="189"/>
      <c r="AJ343" s="189"/>
      <c r="AK343" s="189"/>
      <c r="AL343" s="189"/>
      <c r="AM343" s="189"/>
      <c r="AN343" s="187"/>
      <c r="AO343" s="187"/>
      <c r="AP343" s="184"/>
      <c r="AQ343" s="187"/>
      <c r="AR343" s="187"/>
      <c r="AS343" s="119"/>
    </row>
    <row r="344">
      <c r="A344" s="137">
        <v>251.0</v>
      </c>
      <c r="B344" s="150"/>
      <c r="C344" s="104" t="s">
        <v>2765</v>
      </c>
      <c r="D344" s="105" t="s">
        <v>51</v>
      </c>
      <c r="E344" s="107" t="s">
        <v>2766</v>
      </c>
      <c r="F344" s="101"/>
      <c r="G344" s="40" t="s">
        <v>2767</v>
      </c>
      <c r="H344" s="55" t="s">
        <v>2768</v>
      </c>
      <c r="I344" s="69" t="s">
        <v>2769</v>
      </c>
      <c r="J344" s="155"/>
      <c r="K344" s="37">
        <v>44127.0</v>
      </c>
      <c r="L344" s="37">
        <v>44129.0</v>
      </c>
      <c r="M344" s="174" t="s">
        <v>2770</v>
      </c>
      <c r="N344" s="73" t="s">
        <v>251</v>
      </c>
      <c r="O344" s="113">
        <v>43983.0</v>
      </c>
      <c r="P344" s="37">
        <v>44013.0</v>
      </c>
      <c r="Q344" s="22"/>
      <c r="R344" s="22"/>
      <c r="S344" s="193" t="s">
        <v>97</v>
      </c>
      <c r="T344" s="157" t="s">
        <v>50</v>
      </c>
      <c r="U344" s="161"/>
      <c r="V344" s="241" t="s">
        <v>97</v>
      </c>
      <c r="W344" s="161"/>
      <c r="X344" s="161"/>
      <c r="Y344" s="161"/>
      <c r="Z344" s="161"/>
      <c r="AA344" s="161"/>
      <c r="AB344" s="161"/>
      <c r="AC344" s="161"/>
      <c r="AD344" s="161"/>
      <c r="AE344" s="161"/>
      <c r="AF344" s="161"/>
      <c r="AG344" s="161"/>
      <c r="AH344" s="163"/>
      <c r="AI344" s="163"/>
      <c r="AJ344" s="163"/>
      <c r="AK344" s="163"/>
      <c r="AL344" s="163"/>
      <c r="AM344" s="163"/>
      <c r="AN344" s="143" t="s">
        <v>97</v>
      </c>
      <c r="AO344" s="161"/>
      <c r="AP344" s="161"/>
      <c r="AQ344" s="161"/>
      <c r="AR344" s="161"/>
      <c r="AS344" s="119"/>
    </row>
    <row r="345">
      <c r="A345" s="137">
        <v>252.0</v>
      </c>
      <c r="B345" s="150"/>
      <c r="C345" s="104" t="s">
        <v>2771</v>
      </c>
      <c r="D345" s="105" t="s">
        <v>48</v>
      </c>
      <c r="E345" s="107" t="s">
        <v>48</v>
      </c>
      <c r="F345" s="101"/>
      <c r="G345" s="40" t="s">
        <v>2772</v>
      </c>
      <c r="H345" s="55" t="s">
        <v>2773</v>
      </c>
      <c r="I345" s="69" t="s">
        <v>2774</v>
      </c>
      <c r="J345" s="155"/>
      <c r="K345" s="37">
        <v>43883.0</v>
      </c>
      <c r="L345" s="37">
        <v>43883.0</v>
      </c>
      <c r="M345" s="73" t="s">
        <v>2775</v>
      </c>
      <c r="N345" s="73" t="s">
        <v>110</v>
      </c>
      <c r="O345" s="113">
        <v>43715.0</v>
      </c>
      <c r="P345" s="37">
        <v>43834.0</v>
      </c>
      <c r="Q345" s="22"/>
      <c r="R345" s="22"/>
      <c r="S345" s="117"/>
      <c r="T345" s="157"/>
      <c r="U345" s="176" t="s">
        <v>97</v>
      </c>
      <c r="V345" s="161"/>
      <c r="W345" s="161"/>
      <c r="X345" s="161"/>
      <c r="Y345" s="161"/>
      <c r="Z345" s="161"/>
      <c r="AA345" s="161"/>
      <c r="AB345" s="161"/>
      <c r="AC345" s="161"/>
      <c r="AD345" s="161"/>
      <c r="AE345" s="161"/>
      <c r="AF345" s="161"/>
      <c r="AG345" s="161"/>
      <c r="AH345" s="163"/>
      <c r="AI345" s="163"/>
      <c r="AJ345" s="163"/>
      <c r="AK345" s="163"/>
      <c r="AL345" s="163"/>
      <c r="AM345" s="163"/>
      <c r="AN345" s="161"/>
      <c r="AO345" s="161"/>
      <c r="AP345" s="161"/>
      <c r="AQ345" s="161"/>
      <c r="AR345" s="161"/>
      <c r="AS345" s="119"/>
    </row>
    <row r="346">
      <c r="A346" s="101">
        <v>253.0</v>
      </c>
      <c r="B346" s="150"/>
      <c r="C346" s="104" t="s">
        <v>2776</v>
      </c>
      <c r="D346" s="105" t="s">
        <v>51</v>
      </c>
      <c r="E346" s="107" t="s">
        <v>51</v>
      </c>
      <c r="F346" s="101"/>
      <c r="G346" s="40" t="s">
        <v>2777</v>
      </c>
      <c r="H346" s="55" t="s">
        <v>2778</v>
      </c>
      <c r="I346" s="69" t="s">
        <v>2779</v>
      </c>
      <c r="J346" s="344"/>
      <c r="K346" s="152">
        <v>43866.0</v>
      </c>
      <c r="L346" s="152">
        <v>43870.0</v>
      </c>
      <c r="M346" s="73" t="s">
        <v>2780</v>
      </c>
      <c r="N346" s="73" t="s">
        <v>336</v>
      </c>
      <c r="O346" s="113">
        <v>43585.0</v>
      </c>
      <c r="P346" s="37">
        <v>43738.0</v>
      </c>
      <c r="Q346" s="22"/>
      <c r="R346" s="22"/>
      <c r="S346" s="117"/>
      <c r="T346" s="157"/>
      <c r="U346" s="161"/>
      <c r="V346" s="241" t="s">
        <v>97</v>
      </c>
      <c r="W346" s="161"/>
      <c r="X346" s="161"/>
      <c r="Y346" s="161"/>
      <c r="Z346" s="161"/>
      <c r="AA346" s="161"/>
      <c r="AB346" s="161"/>
      <c r="AC346" s="161"/>
      <c r="AD346" s="161"/>
      <c r="AE346" s="161"/>
      <c r="AF346" s="161"/>
      <c r="AG346" s="161"/>
      <c r="AH346" s="163"/>
      <c r="AI346" s="163"/>
      <c r="AJ346" s="163"/>
      <c r="AK346" s="163"/>
      <c r="AL346" s="163"/>
      <c r="AM346" s="163"/>
      <c r="AN346" s="161"/>
      <c r="AO346" s="161"/>
      <c r="AP346" s="161"/>
      <c r="AQ346" s="161"/>
      <c r="AR346" s="161"/>
      <c r="AS346" s="119"/>
    </row>
    <row r="347">
      <c r="A347" s="101">
        <v>888.0</v>
      </c>
      <c r="B347" s="122">
        <v>9.0</v>
      </c>
      <c r="C347" s="123" t="s">
        <v>2781</v>
      </c>
      <c r="D347" s="124" t="s">
        <v>48</v>
      </c>
      <c r="E347" s="126" t="s">
        <v>48</v>
      </c>
      <c r="F347" s="144"/>
      <c r="G347" s="87" t="s">
        <v>2782</v>
      </c>
      <c r="H347" s="89" t="s">
        <v>2783</v>
      </c>
      <c r="I347" s="91" t="str">
        <f>HYPERLINK("https://filmfreeway.com/FullBloomFilmFestival","https://filmfreeway.com/FullBloomFilmFestival")</f>
        <v>https://filmfreeway.com/FullBloomFilmFestival</v>
      </c>
      <c r="J347" s="155"/>
      <c r="K347" s="22" t="s">
        <v>27</v>
      </c>
      <c r="L347" s="22" t="s">
        <v>27</v>
      </c>
      <c r="M347" s="130" t="s">
        <v>2784</v>
      </c>
      <c r="N347" s="130" t="s">
        <v>159</v>
      </c>
      <c r="O347" s="22" t="s">
        <v>27</v>
      </c>
      <c r="P347" s="22" t="s">
        <v>27</v>
      </c>
      <c r="Q347" s="131"/>
      <c r="R347" s="132"/>
      <c r="S347" s="148" t="s">
        <v>97</v>
      </c>
      <c r="T347" s="118"/>
      <c r="U347" s="176" t="s">
        <v>97</v>
      </c>
      <c r="V347" s="119"/>
      <c r="W347" s="119"/>
      <c r="X347" s="119"/>
      <c r="Y347" s="134"/>
      <c r="Z347" s="119"/>
      <c r="AA347" s="119"/>
      <c r="AB347" s="119"/>
      <c r="AC347" s="119"/>
      <c r="AD347" s="119"/>
      <c r="AE347" s="119"/>
      <c r="AF347" s="119"/>
      <c r="AG347" s="119"/>
      <c r="AH347" s="121"/>
      <c r="AI347" s="121"/>
      <c r="AJ347" s="121"/>
      <c r="AK347" s="121"/>
      <c r="AL347" s="121"/>
      <c r="AM347" s="135"/>
      <c r="AN347" s="119"/>
      <c r="AO347" s="119"/>
      <c r="AP347" s="119"/>
      <c r="AQ347" s="119"/>
      <c r="AR347" s="119"/>
      <c r="AS347" s="119"/>
    </row>
    <row r="348">
      <c r="A348" s="137">
        <v>254.0</v>
      </c>
      <c r="B348" s="197"/>
      <c r="C348" s="104" t="s">
        <v>2785</v>
      </c>
      <c r="D348" s="105" t="s">
        <v>51</v>
      </c>
      <c r="E348" s="107" t="s">
        <v>51</v>
      </c>
      <c r="F348" s="518"/>
      <c r="G348" s="153" t="s">
        <v>1109</v>
      </c>
      <c r="H348" s="81" t="s">
        <v>1110</v>
      </c>
      <c r="I348" s="34" t="s">
        <v>1111</v>
      </c>
      <c r="J348" s="20" t="s">
        <v>26</v>
      </c>
      <c r="K348" s="37">
        <v>43923.0</v>
      </c>
      <c r="L348" s="37">
        <v>43926.0</v>
      </c>
      <c r="M348" s="73" t="s">
        <v>1112</v>
      </c>
      <c r="N348" s="73" t="s">
        <v>159</v>
      </c>
      <c r="O348" s="113">
        <v>43753.0</v>
      </c>
      <c r="P348" s="37">
        <v>43814.0</v>
      </c>
      <c r="Q348" s="22"/>
      <c r="R348" s="200" t="s">
        <v>222</v>
      </c>
      <c r="S348" s="224"/>
      <c r="T348" s="157"/>
      <c r="U348" s="194"/>
      <c r="V348" s="195" t="s">
        <v>97</v>
      </c>
      <c r="W348" s="194"/>
      <c r="X348" s="194"/>
      <c r="Y348" s="194"/>
      <c r="Z348" s="194"/>
      <c r="AA348" s="194"/>
      <c r="AB348" s="194"/>
      <c r="AC348" s="194"/>
      <c r="AD348" s="186"/>
      <c r="AE348" s="187"/>
      <c r="AF348" s="194"/>
      <c r="AG348" s="187"/>
      <c r="AH348" s="189"/>
      <c r="AI348" s="189"/>
      <c r="AJ348" s="189"/>
      <c r="AK348" s="189"/>
      <c r="AL348" s="189"/>
      <c r="AM348" s="189"/>
      <c r="AN348" s="187"/>
      <c r="AO348" s="187"/>
      <c r="AP348" s="194"/>
      <c r="AQ348" s="187"/>
      <c r="AR348" s="187"/>
      <c r="AS348" s="119"/>
    </row>
    <row r="349" ht="18.75" customHeight="1">
      <c r="A349" s="137">
        <v>255.0</v>
      </c>
      <c r="B349" s="150"/>
      <c r="C349" s="104" t="s">
        <v>2786</v>
      </c>
      <c r="D349" s="105" t="s">
        <v>52</v>
      </c>
      <c r="E349" s="107" t="s">
        <v>52</v>
      </c>
      <c r="F349" s="101"/>
      <c r="G349" s="40" t="s">
        <v>2787</v>
      </c>
      <c r="H349" s="55" t="s">
        <v>2788</v>
      </c>
      <c r="I349" s="69" t="s">
        <v>2789</v>
      </c>
      <c r="J349" s="155"/>
      <c r="K349" s="37">
        <v>43939.0</v>
      </c>
      <c r="L349" s="37">
        <v>43939.0</v>
      </c>
      <c r="M349" s="73" t="s">
        <v>2790</v>
      </c>
      <c r="N349" s="73" t="s">
        <v>561</v>
      </c>
      <c r="O349" s="113">
        <v>43892.0</v>
      </c>
      <c r="P349" s="37">
        <v>43927.0</v>
      </c>
      <c r="Q349" s="22"/>
      <c r="R349" s="22"/>
      <c r="S349" s="117"/>
      <c r="T349" s="157"/>
      <c r="U349" s="161"/>
      <c r="V349" s="161"/>
      <c r="W349" s="120" t="s">
        <v>97</v>
      </c>
      <c r="X349" s="161"/>
      <c r="Y349" s="161"/>
      <c r="Z349" s="161"/>
      <c r="AA349" s="161"/>
      <c r="AB349" s="161"/>
      <c r="AC349" s="161"/>
      <c r="AD349" s="161"/>
      <c r="AE349" s="161"/>
      <c r="AF349" s="161"/>
      <c r="AG349" s="161"/>
      <c r="AH349" s="163"/>
      <c r="AI349" s="163"/>
      <c r="AJ349" s="163"/>
      <c r="AK349" s="163"/>
      <c r="AL349" s="163"/>
      <c r="AM349" s="163"/>
      <c r="AN349" s="161"/>
      <c r="AO349" s="161"/>
      <c r="AP349" s="161"/>
      <c r="AQ349" s="161"/>
      <c r="AR349" s="161"/>
      <c r="AS349" s="119"/>
    </row>
    <row r="350">
      <c r="A350" s="137">
        <v>917.0</v>
      </c>
      <c r="B350" s="122">
        <v>11.0</v>
      </c>
      <c r="C350" s="123" t="s">
        <v>2791</v>
      </c>
      <c r="D350" s="309" t="s">
        <v>59</v>
      </c>
      <c r="E350" s="311" t="s">
        <v>2792</v>
      </c>
      <c r="F350" s="127"/>
      <c r="G350" s="128" t="s">
        <v>2793</v>
      </c>
      <c r="H350" s="89" t="s">
        <v>2794</v>
      </c>
      <c r="I350" s="91" t="str">
        <f>HYPERLINK("https://filmfreeway.com/GainesvilleLatinoFilmFestival","https://filmfreeway.com/GainesvilleLatinoFilmFestival")</f>
        <v>https://filmfreeway.com/GainesvilleLatinoFilmFestival</v>
      </c>
      <c r="J350" s="155"/>
      <c r="K350" s="22" t="s">
        <v>27</v>
      </c>
      <c r="L350" s="22" t="s">
        <v>27</v>
      </c>
      <c r="M350" s="130" t="s">
        <v>2795</v>
      </c>
      <c r="N350" s="130" t="s">
        <v>46</v>
      </c>
      <c r="O350" s="22" t="s">
        <v>27</v>
      </c>
      <c r="P350" s="22" t="s">
        <v>27</v>
      </c>
      <c r="Q350" s="131"/>
      <c r="R350" s="132"/>
      <c r="S350" s="132"/>
      <c r="T350" s="118"/>
      <c r="U350" s="119"/>
      <c r="V350" s="119"/>
      <c r="W350" s="120" t="s">
        <v>97</v>
      </c>
      <c r="X350" s="119"/>
      <c r="Y350" s="134"/>
      <c r="Z350" s="119"/>
      <c r="AA350" s="119"/>
      <c r="AB350" s="119"/>
      <c r="AC350" s="551" t="s">
        <v>97</v>
      </c>
      <c r="AD350" s="119"/>
      <c r="AE350" s="119"/>
      <c r="AF350" s="119"/>
      <c r="AG350" s="119"/>
      <c r="AH350" s="121"/>
      <c r="AI350" s="121"/>
      <c r="AJ350" s="121"/>
      <c r="AK350" s="121"/>
      <c r="AL350" s="121"/>
      <c r="AM350" s="135"/>
      <c r="AN350" s="119"/>
      <c r="AO350" s="119"/>
      <c r="AP350" s="119"/>
      <c r="AQ350" s="119"/>
      <c r="AR350" s="119"/>
      <c r="AS350" s="119"/>
    </row>
    <row r="351">
      <c r="A351" s="101">
        <v>922.0</v>
      </c>
      <c r="B351" s="122">
        <v>9.0</v>
      </c>
      <c r="C351" s="123" t="s">
        <v>2796</v>
      </c>
      <c r="D351" s="285" t="s">
        <v>69</v>
      </c>
      <c r="E351" s="287" t="s">
        <v>2797</v>
      </c>
      <c r="F351" s="127"/>
      <c r="G351" s="128" t="s">
        <v>2798</v>
      </c>
      <c r="H351" s="89" t="s">
        <v>2799</v>
      </c>
      <c r="I351" s="91" t="str">
        <f>HYPERLINK("https://filmfreeway.com/GangreneFilmFestival","https://filmfreeway.com/GangreneFilmFestival")</f>
        <v>https://filmfreeway.com/GangreneFilmFestival</v>
      </c>
      <c r="J351" s="155"/>
      <c r="K351" s="22" t="s">
        <v>27</v>
      </c>
      <c r="L351" s="22" t="s">
        <v>27</v>
      </c>
      <c r="M351" s="130" t="s">
        <v>2800</v>
      </c>
      <c r="N351" s="130" t="s">
        <v>967</v>
      </c>
      <c r="O351" s="22" t="s">
        <v>27</v>
      </c>
      <c r="P351" s="22" t="s">
        <v>27</v>
      </c>
      <c r="Q351" s="131"/>
      <c r="R351" s="132"/>
      <c r="S351" s="132"/>
      <c r="T351" s="118"/>
      <c r="U351" s="119"/>
      <c r="V351" s="119"/>
      <c r="W351" s="120" t="s">
        <v>97</v>
      </c>
      <c r="X351" s="119"/>
      <c r="Y351" s="134"/>
      <c r="Z351" s="119"/>
      <c r="AA351" s="119"/>
      <c r="AB351" s="119"/>
      <c r="AC351" s="119"/>
      <c r="AD351" s="119"/>
      <c r="AE351" s="119"/>
      <c r="AF351" s="119"/>
      <c r="AG351" s="119"/>
      <c r="AH351" s="121"/>
      <c r="AI351" s="121"/>
      <c r="AJ351" s="121"/>
      <c r="AK351" s="332" t="s">
        <v>97</v>
      </c>
      <c r="AL351" s="121"/>
      <c r="AM351" s="135"/>
      <c r="AN351" s="119"/>
      <c r="AO351" s="119"/>
      <c r="AP351" s="119"/>
      <c r="AQ351" s="119"/>
      <c r="AR351" s="119"/>
      <c r="AS351" s="119"/>
    </row>
    <row r="352">
      <c r="A352" s="101">
        <v>256.0</v>
      </c>
      <c r="B352" s="177"/>
      <c r="C352" s="104" t="s">
        <v>2801</v>
      </c>
      <c r="D352" s="105" t="s">
        <v>48</v>
      </c>
      <c r="E352" s="107" t="s">
        <v>48</v>
      </c>
      <c r="F352" s="178"/>
      <c r="G352" s="77" t="s">
        <v>798</v>
      </c>
      <c r="H352" s="81" t="s">
        <v>799</v>
      </c>
      <c r="I352" s="84" t="s">
        <v>802</v>
      </c>
      <c r="J352" s="20" t="s">
        <v>804</v>
      </c>
      <c r="K352" s="37">
        <v>43915.0</v>
      </c>
      <c r="L352" s="37">
        <v>43918.0</v>
      </c>
      <c r="M352" s="85" t="s">
        <v>805</v>
      </c>
      <c r="N352" s="85" t="s">
        <v>412</v>
      </c>
      <c r="O352" s="113">
        <v>43661.0</v>
      </c>
      <c r="P352" s="37">
        <v>43800.0</v>
      </c>
      <c r="Q352" s="22"/>
      <c r="R352" s="22"/>
      <c r="S352" s="117"/>
      <c r="T352" s="181"/>
      <c r="U352" s="182" t="s">
        <v>97</v>
      </c>
      <c r="V352" s="184"/>
      <c r="W352" s="184"/>
      <c r="X352" s="184"/>
      <c r="Y352" s="184"/>
      <c r="Z352" s="184"/>
      <c r="AA352" s="184"/>
      <c r="AB352" s="184"/>
      <c r="AC352" s="184"/>
      <c r="AD352" s="186"/>
      <c r="AE352" s="187"/>
      <c r="AF352" s="184"/>
      <c r="AG352" s="187"/>
      <c r="AH352" s="189"/>
      <c r="AI352" s="189"/>
      <c r="AJ352" s="189"/>
      <c r="AK352" s="189"/>
      <c r="AL352" s="189"/>
      <c r="AM352" s="189"/>
      <c r="AN352" s="187"/>
      <c r="AO352" s="187"/>
      <c r="AP352" s="184"/>
      <c r="AQ352" s="187"/>
      <c r="AR352" s="187"/>
      <c r="AS352" s="119"/>
    </row>
    <row r="353">
      <c r="A353" s="137">
        <v>257.0</v>
      </c>
      <c r="B353" s="150"/>
      <c r="C353" s="104" t="s">
        <v>2802</v>
      </c>
      <c r="D353" s="138" t="s">
        <v>60</v>
      </c>
      <c r="E353" s="107" t="s">
        <v>390</v>
      </c>
      <c r="F353" s="101"/>
      <c r="G353" s="40" t="s">
        <v>2803</v>
      </c>
      <c r="H353" s="55" t="s">
        <v>2804</v>
      </c>
      <c r="I353" s="69" t="s">
        <v>2805</v>
      </c>
      <c r="J353" s="155"/>
      <c r="K353" s="37">
        <v>43960.0</v>
      </c>
      <c r="L353" s="37">
        <v>43982.0</v>
      </c>
      <c r="M353" s="73" t="s">
        <v>662</v>
      </c>
      <c r="N353" s="73" t="s">
        <v>72</v>
      </c>
      <c r="O353" s="113">
        <v>43865.0</v>
      </c>
      <c r="P353" s="37">
        <v>43885.0</v>
      </c>
      <c r="Q353" s="22"/>
      <c r="R353" s="22"/>
      <c r="S353" s="117"/>
      <c r="T353" s="157"/>
      <c r="U353" s="161"/>
      <c r="V353" s="161"/>
      <c r="W353" s="161"/>
      <c r="X353" s="161"/>
      <c r="Y353" s="161"/>
      <c r="Z353" s="161"/>
      <c r="AA353" s="161"/>
      <c r="AB353" s="161"/>
      <c r="AC353" s="161"/>
      <c r="AD353" s="558" t="s">
        <v>97</v>
      </c>
      <c r="AE353" s="161"/>
      <c r="AF353" s="161"/>
      <c r="AG353" s="161"/>
      <c r="AH353" s="163"/>
      <c r="AI353" s="163"/>
      <c r="AJ353" s="163"/>
      <c r="AK353" s="163"/>
      <c r="AL353" s="163"/>
      <c r="AM353" s="163"/>
      <c r="AN353" s="161"/>
      <c r="AO353" s="161"/>
      <c r="AP353" s="161"/>
      <c r="AQ353" s="161"/>
      <c r="AR353" s="161"/>
      <c r="AS353" s="119"/>
    </row>
    <row r="354">
      <c r="A354" s="137">
        <v>258.0</v>
      </c>
      <c r="B354" s="177"/>
      <c r="C354" s="104" t="s">
        <v>2806</v>
      </c>
      <c r="D354" s="105" t="s">
        <v>48</v>
      </c>
      <c r="E354" s="107" t="s">
        <v>48</v>
      </c>
      <c r="F354" s="178"/>
      <c r="G354" s="77" t="s">
        <v>987</v>
      </c>
      <c r="H354" s="81" t="s">
        <v>990</v>
      </c>
      <c r="I354" s="84" t="s">
        <v>992</v>
      </c>
      <c r="J354" s="20" t="s">
        <v>78</v>
      </c>
      <c r="K354" s="37">
        <v>43907.0</v>
      </c>
      <c r="L354" s="37">
        <v>43912.0</v>
      </c>
      <c r="M354" s="85" t="s">
        <v>994</v>
      </c>
      <c r="N354" s="85" t="s">
        <v>46</v>
      </c>
      <c r="O354" s="113">
        <v>43769.0</v>
      </c>
      <c r="P354" s="113">
        <v>43845.0</v>
      </c>
      <c r="Q354" s="373"/>
      <c r="R354" s="373"/>
      <c r="S354" s="224"/>
      <c r="T354" s="181"/>
      <c r="U354" s="182" t="s">
        <v>97</v>
      </c>
      <c r="V354" s="184"/>
      <c r="W354" s="184"/>
      <c r="X354" s="184"/>
      <c r="Y354" s="184"/>
      <c r="Z354" s="184"/>
      <c r="AA354" s="184"/>
      <c r="AB354" s="184"/>
      <c r="AC354" s="184"/>
      <c r="AD354" s="186"/>
      <c r="AE354" s="187"/>
      <c r="AF354" s="184"/>
      <c r="AG354" s="187"/>
      <c r="AH354" s="189"/>
      <c r="AI354" s="189"/>
      <c r="AJ354" s="189"/>
      <c r="AK354" s="189"/>
      <c r="AL354" s="189"/>
      <c r="AM354" s="189"/>
      <c r="AN354" s="187"/>
      <c r="AO354" s="187"/>
      <c r="AP354" s="184"/>
      <c r="AQ354" s="187"/>
      <c r="AR354" s="187"/>
      <c r="AS354" s="119"/>
    </row>
    <row r="355">
      <c r="A355" s="101">
        <v>897.0</v>
      </c>
      <c r="B355" s="284"/>
      <c r="C355" s="123" t="s">
        <v>2807</v>
      </c>
      <c r="D355" s="285" t="s">
        <v>48</v>
      </c>
      <c r="E355" s="287" t="s">
        <v>48</v>
      </c>
      <c r="F355" s="127"/>
      <c r="G355" s="128" t="s">
        <v>2808</v>
      </c>
      <c r="H355" s="89" t="s">
        <v>2809</v>
      </c>
      <c r="I355" s="91" t="str">
        <f>HYPERLINK("https://filmfreeway.com/GeorgeLindseyUNAFilmFestival","https://filmfreeway.com/GeorgeLindseyUNAFilmFestival")</f>
        <v>https://filmfreeway.com/GeorgeLindseyUNAFilmFestival</v>
      </c>
      <c r="J355" s="288"/>
      <c r="K355" s="145">
        <v>43895.0</v>
      </c>
      <c r="L355" s="145">
        <v>43897.0</v>
      </c>
      <c r="M355" s="130" t="s">
        <v>2810</v>
      </c>
      <c r="N355" s="130" t="s">
        <v>484</v>
      </c>
      <c r="O355" s="145">
        <v>43800.0</v>
      </c>
      <c r="P355" s="145">
        <v>43800.0</v>
      </c>
      <c r="Q355" s="131"/>
      <c r="R355" s="132"/>
      <c r="S355" s="132"/>
      <c r="T355" s="118"/>
      <c r="U355" s="176" t="s">
        <v>97</v>
      </c>
      <c r="V355" s="119"/>
      <c r="W355" s="119"/>
      <c r="X355" s="119"/>
      <c r="Y355" s="134"/>
      <c r="Z355" s="119"/>
      <c r="AA355" s="119"/>
      <c r="AB355" s="119"/>
      <c r="AC355" s="119"/>
      <c r="AD355" s="119"/>
      <c r="AE355" s="119"/>
      <c r="AF355" s="119"/>
      <c r="AG355" s="119"/>
      <c r="AH355" s="121"/>
      <c r="AI355" s="121"/>
      <c r="AJ355" s="121"/>
      <c r="AK355" s="121"/>
      <c r="AL355" s="121"/>
      <c r="AM355" s="135"/>
      <c r="AN355" s="119"/>
      <c r="AO355" s="119"/>
      <c r="AP355" s="119"/>
      <c r="AQ355" s="119"/>
      <c r="AR355" s="119"/>
      <c r="AS355" s="119"/>
    </row>
    <row r="356">
      <c r="A356" s="137">
        <v>870.0</v>
      </c>
      <c r="B356" s="641"/>
      <c r="C356" s="642" t="s">
        <v>2811</v>
      </c>
      <c r="D356" s="357" t="s">
        <v>71</v>
      </c>
      <c r="E356" s="358" t="s">
        <v>71</v>
      </c>
      <c r="F356" s="359"/>
      <c r="G356" s="159" t="s">
        <v>2098</v>
      </c>
      <c r="H356" s="166" t="s">
        <v>2812</v>
      </c>
      <c r="I356" s="167" t="s">
        <v>2813</v>
      </c>
      <c r="J356" s="643"/>
      <c r="K356" s="169">
        <v>44098.0</v>
      </c>
      <c r="L356" s="169">
        <v>44103.0</v>
      </c>
      <c r="M356" s="170" t="s">
        <v>684</v>
      </c>
      <c r="N356" s="170" t="s">
        <v>72</v>
      </c>
      <c r="O356" s="22" t="s">
        <v>27</v>
      </c>
      <c r="P356" s="22" t="s">
        <v>27</v>
      </c>
      <c r="Q356" s="361"/>
      <c r="R356" s="361"/>
      <c r="S356" s="117"/>
      <c r="T356" s="362"/>
      <c r="U356" s="269"/>
      <c r="V356" s="269"/>
      <c r="W356" s="269"/>
      <c r="X356" s="269"/>
      <c r="Y356" s="269"/>
      <c r="Z356" s="269"/>
      <c r="AA356" s="266"/>
      <c r="AB356" s="269"/>
      <c r="AC356" s="269"/>
      <c r="AD356" s="269"/>
      <c r="AE356" s="269"/>
      <c r="AF356" s="269"/>
      <c r="AG356" s="269"/>
      <c r="AH356" s="269"/>
      <c r="AI356" s="269"/>
      <c r="AJ356" s="269"/>
      <c r="AK356" s="269"/>
      <c r="AL356" s="269"/>
      <c r="AM356" s="644" t="s">
        <v>97</v>
      </c>
      <c r="AN356" s="269"/>
      <c r="AO356" s="269"/>
      <c r="AP356" s="269"/>
      <c r="AQ356" s="269"/>
      <c r="AR356" s="269"/>
      <c r="AS356" s="119"/>
    </row>
    <row r="357">
      <c r="A357" s="101">
        <v>259.0</v>
      </c>
      <c r="B357" s="150"/>
      <c r="C357" s="104" t="s">
        <v>2814</v>
      </c>
      <c r="D357" s="105" t="s">
        <v>48</v>
      </c>
      <c r="E357" s="107" t="s">
        <v>48</v>
      </c>
      <c r="F357" s="101"/>
      <c r="G357" s="40" t="s">
        <v>2815</v>
      </c>
      <c r="H357" s="55" t="s">
        <v>2816</v>
      </c>
      <c r="I357" s="69" t="s">
        <v>2817</v>
      </c>
      <c r="J357" s="155"/>
      <c r="K357" s="37">
        <v>44098.0</v>
      </c>
      <c r="L357" s="37">
        <v>44101.0</v>
      </c>
      <c r="M357" s="174" t="s">
        <v>2818</v>
      </c>
      <c r="N357" s="73" t="s">
        <v>251</v>
      </c>
      <c r="O357" s="113">
        <v>43936.0</v>
      </c>
      <c r="P357" s="37">
        <v>43997.0</v>
      </c>
      <c r="Q357" s="22"/>
      <c r="R357" s="22"/>
      <c r="S357" s="193" t="s">
        <v>97</v>
      </c>
      <c r="T357" s="157"/>
      <c r="U357" s="176" t="s">
        <v>97</v>
      </c>
      <c r="V357" s="161"/>
      <c r="W357" s="161"/>
      <c r="X357" s="161"/>
      <c r="Y357" s="161"/>
      <c r="Z357" s="161"/>
      <c r="AA357" s="161"/>
      <c r="AB357" s="161"/>
      <c r="AC357" s="161"/>
      <c r="AD357" s="161"/>
      <c r="AE357" s="161"/>
      <c r="AF357" s="161"/>
      <c r="AG357" s="161"/>
      <c r="AH357" s="163"/>
      <c r="AI357" s="163"/>
      <c r="AJ357" s="163"/>
      <c r="AK357" s="163"/>
      <c r="AL357" s="163"/>
      <c r="AM357" s="163"/>
      <c r="AN357" s="161"/>
      <c r="AO357" s="161"/>
      <c r="AP357" s="161"/>
      <c r="AQ357" s="161"/>
      <c r="AR357" s="161"/>
      <c r="AS357" s="119"/>
    </row>
    <row r="358">
      <c r="A358" s="137">
        <v>260.0</v>
      </c>
      <c r="B358" s="150"/>
      <c r="C358" s="104" t="s">
        <v>2819</v>
      </c>
      <c r="D358" s="105" t="s">
        <v>66</v>
      </c>
      <c r="E358" s="107" t="s">
        <v>66</v>
      </c>
      <c r="F358" s="101"/>
      <c r="G358" s="40" t="s">
        <v>1239</v>
      </c>
      <c r="H358" s="55" t="s">
        <v>1240</v>
      </c>
      <c r="I358" s="69" t="s">
        <v>1242</v>
      </c>
      <c r="J358" s="20" t="s">
        <v>26</v>
      </c>
      <c r="K358" s="37">
        <v>43909.0</v>
      </c>
      <c r="L358" s="37">
        <v>43912.0</v>
      </c>
      <c r="M358" s="73" t="s">
        <v>993</v>
      </c>
      <c r="N358" s="73" t="s">
        <v>72</v>
      </c>
      <c r="O358" s="113">
        <v>43739.0</v>
      </c>
      <c r="P358" s="37">
        <v>43800.0</v>
      </c>
      <c r="Q358" s="22"/>
      <c r="R358" s="22"/>
      <c r="S358" s="117"/>
      <c r="T358" s="157"/>
      <c r="U358" s="161"/>
      <c r="V358" s="161"/>
      <c r="W358" s="161"/>
      <c r="X358" s="161"/>
      <c r="Y358" s="161"/>
      <c r="Z358" s="161"/>
      <c r="AA358" s="161"/>
      <c r="AB358" s="161"/>
      <c r="AC358" s="161"/>
      <c r="AD358" s="161"/>
      <c r="AE358" s="161"/>
      <c r="AF358" s="161"/>
      <c r="AG358" s="161"/>
      <c r="AH358" s="163"/>
      <c r="AI358" s="163"/>
      <c r="AJ358" s="242" t="s">
        <v>97</v>
      </c>
      <c r="AK358" s="163"/>
      <c r="AL358" s="163"/>
      <c r="AM358" s="163"/>
      <c r="AN358" s="161"/>
      <c r="AO358" s="161"/>
      <c r="AP358" s="161"/>
      <c r="AQ358" s="161"/>
      <c r="AR358" s="161"/>
      <c r="AS358" s="119"/>
    </row>
    <row r="359">
      <c r="A359" s="137">
        <v>261.0</v>
      </c>
      <c r="B359" s="150">
        <v>10.0</v>
      </c>
      <c r="C359" s="104" t="s">
        <v>2820</v>
      </c>
      <c r="D359" s="105" t="s">
        <v>48</v>
      </c>
      <c r="E359" s="107" t="s">
        <v>48</v>
      </c>
      <c r="F359" s="101"/>
      <c r="G359" s="40" t="s">
        <v>2821</v>
      </c>
      <c r="H359" s="55" t="s">
        <v>2822</v>
      </c>
      <c r="I359" s="69" t="s">
        <v>2823</v>
      </c>
      <c r="J359" s="155"/>
      <c r="K359" s="37">
        <v>44099.0</v>
      </c>
      <c r="L359" s="37">
        <v>44105.0</v>
      </c>
      <c r="M359" s="73" t="s">
        <v>2824</v>
      </c>
      <c r="N359" s="73" t="s">
        <v>72</v>
      </c>
      <c r="O359" s="37">
        <v>43905.0</v>
      </c>
      <c r="P359" s="37">
        <v>43997.0</v>
      </c>
      <c r="Q359" s="22"/>
      <c r="R359" s="22"/>
      <c r="S359" s="117"/>
      <c r="T359" s="157"/>
      <c r="U359" s="176" t="s">
        <v>97</v>
      </c>
      <c r="V359" s="161"/>
      <c r="W359" s="161"/>
      <c r="X359" s="161"/>
      <c r="Y359" s="161"/>
      <c r="Z359" s="161"/>
      <c r="AA359" s="161"/>
      <c r="AB359" s="161"/>
      <c r="AC359" s="161"/>
      <c r="AD359" s="161"/>
      <c r="AE359" s="161"/>
      <c r="AF359" s="161"/>
      <c r="AG359" s="161"/>
      <c r="AH359" s="163"/>
      <c r="AI359" s="163"/>
      <c r="AJ359" s="163"/>
      <c r="AK359" s="163"/>
      <c r="AL359" s="163"/>
      <c r="AM359" s="163"/>
      <c r="AN359" s="161"/>
      <c r="AO359" s="161"/>
      <c r="AP359" s="161"/>
      <c r="AQ359" s="161"/>
      <c r="AR359" s="161"/>
      <c r="AS359" s="119"/>
    </row>
    <row r="360">
      <c r="A360" s="101">
        <v>262.0</v>
      </c>
      <c r="B360" s="150"/>
      <c r="C360" s="104" t="s">
        <v>2825</v>
      </c>
      <c r="D360" s="105" t="s">
        <v>48</v>
      </c>
      <c r="E360" s="107" t="s">
        <v>48</v>
      </c>
      <c r="F360" s="101"/>
      <c r="G360" s="40" t="s">
        <v>791</v>
      </c>
      <c r="H360" s="55" t="s">
        <v>792</v>
      </c>
      <c r="I360" s="69" t="s">
        <v>794</v>
      </c>
      <c r="J360" s="20" t="s">
        <v>795</v>
      </c>
      <c r="K360" s="37">
        <v>43917.0</v>
      </c>
      <c r="L360" s="37">
        <v>43919.0</v>
      </c>
      <c r="M360" s="73" t="s">
        <v>797</v>
      </c>
      <c r="N360" s="73" t="s">
        <v>80</v>
      </c>
      <c r="O360" s="113">
        <v>43616.0</v>
      </c>
      <c r="P360" s="37">
        <v>43830.0</v>
      </c>
      <c r="Q360" s="22"/>
      <c r="R360" s="22"/>
      <c r="S360" s="117"/>
      <c r="T360" s="157"/>
      <c r="U360" s="176" t="s">
        <v>97</v>
      </c>
      <c r="V360" s="161"/>
      <c r="W360" s="161"/>
      <c r="X360" s="161"/>
      <c r="Y360" s="161"/>
      <c r="Z360" s="161"/>
      <c r="AA360" s="161"/>
      <c r="AB360" s="161"/>
      <c r="AC360" s="161"/>
      <c r="AD360" s="161"/>
      <c r="AE360" s="161"/>
      <c r="AF360" s="161"/>
      <c r="AG360" s="161"/>
      <c r="AH360" s="163"/>
      <c r="AI360" s="163"/>
      <c r="AJ360" s="163"/>
      <c r="AK360" s="163"/>
      <c r="AL360" s="163"/>
      <c r="AM360" s="163"/>
      <c r="AN360" s="161"/>
      <c r="AO360" s="161"/>
      <c r="AP360" s="161"/>
      <c r="AQ360" s="161"/>
      <c r="AR360" s="161"/>
      <c r="AS360" s="119"/>
    </row>
    <row r="361">
      <c r="A361" s="137">
        <v>263.0</v>
      </c>
      <c r="B361" s="150"/>
      <c r="C361" s="104" t="s">
        <v>2826</v>
      </c>
      <c r="D361" s="105" t="s">
        <v>52</v>
      </c>
      <c r="E361" s="107" t="s">
        <v>2364</v>
      </c>
      <c r="F361" s="101"/>
      <c r="G361" s="40" t="s">
        <v>2827</v>
      </c>
      <c r="H361" s="55" t="s">
        <v>2828</v>
      </c>
      <c r="I361" s="69" t="s">
        <v>2829</v>
      </c>
      <c r="J361" s="155"/>
      <c r="K361" s="37">
        <v>44071.0</v>
      </c>
      <c r="L361" s="37">
        <v>44073.0</v>
      </c>
      <c r="M361" s="85" t="s">
        <v>131</v>
      </c>
      <c r="N361" s="73" t="s">
        <v>132</v>
      </c>
      <c r="O361" s="113">
        <v>43845.0</v>
      </c>
      <c r="P361" s="37">
        <v>43936.0</v>
      </c>
      <c r="Q361" s="22"/>
      <c r="R361" s="22"/>
      <c r="S361" s="117"/>
      <c r="T361" s="157"/>
      <c r="U361" s="161"/>
      <c r="V361" s="161"/>
      <c r="W361" s="120" t="s">
        <v>97</v>
      </c>
      <c r="X361" s="161"/>
      <c r="Y361" s="161"/>
      <c r="Z361" s="161"/>
      <c r="AA361" s="161"/>
      <c r="AB361" s="161"/>
      <c r="AC361" s="161"/>
      <c r="AD361" s="161"/>
      <c r="AE361" s="161"/>
      <c r="AF361" s="161"/>
      <c r="AG361" s="161"/>
      <c r="AH361" s="163"/>
      <c r="AI361" s="163"/>
      <c r="AJ361" s="163"/>
      <c r="AK361" s="163"/>
      <c r="AL361" s="163"/>
      <c r="AM361" s="163"/>
      <c r="AN361" s="161"/>
      <c r="AO361" s="351" t="s">
        <v>97</v>
      </c>
      <c r="AP361" s="161"/>
      <c r="AQ361" s="161"/>
      <c r="AR361" s="161"/>
      <c r="AS361" s="119"/>
    </row>
    <row r="362">
      <c r="A362" s="137">
        <v>264.0</v>
      </c>
      <c r="B362" s="177">
        <v>9.0</v>
      </c>
      <c r="C362" s="104" t="s">
        <v>2830</v>
      </c>
      <c r="D362" s="138" t="s">
        <v>77</v>
      </c>
      <c r="E362" s="107" t="s">
        <v>869</v>
      </c>
      <c r="F362" s="178"/>
      <c r="G362" s="77" t="s">
        <v>2831</v>
      </c>
      <c r="H362" s="81" t="s">
        <v>2832</v>
      </c>
      <c r="I362" s="84" t="s">
        <v>2833</v>
      </c>
      <c r="J362" s="155"/>
      <c r="K362" s="37">
        <v>44103.0</v>
      </c>
      <c r="L362" s="37">
        <v>44108.0</v>
      </c>
      <c r="M362" s="85" t="s">
        <v>2834</v>
      </c>
      <c r="N362" s="85" t="s">
        <v>46</v>
      </c>
      <c r="O362" s="37">
        <v>43901.0</v>
      </c>
      <c r="P362" s="37">
        <v>43971.0</v>
      </c>
      <c r="Q362" s="373"/>
      <c r="R362" s="373"/>
      <c r="S362" s="224"/>
      <c r="T362" s="181"/>
      <c r="U362" s="184"/>
      <c r="V362" s="184"/>
      <c r="W362" s="184"/>
      <c r="X362" s="184"/>
      <c r="Y362" s="184"/>
      <c r="Z362" s="184"/>
      <c r="AA362" s="184"/>
      <c r="AB362" s="184"/>
      <c r="AC362" s="184"/>
      <c r="AD362" s="186"/>
      <c r="AE362" s="187"/>
      <c r="AF362" s="184"/>
      <c r="AG362" s="187"/>
      <c r="AH362" s="189"/>
      <c r="AI362" s="189"/>
      <c r="AJ362" s="189"/>
      <c r="AK362" s="189"/>
      <c r="AL362" s="189"/>
      <c r="AM362" s="189"/>
      <c r="AN362" s="187"/>
      <c r="AO362" s="645" t="s">
        <v>97</v>
      </c>
      <c r="AP362" s="184"/>
      <c r="AQ362" s="187"/>
      <c r="AR362" s="187"/>
      <c r="AS362" s="119"/>
    </row>
    <row r="363">
      <c r="A363" s="137">
        <v>265.0</v>
      </c>
      <c r="B363" s="150">
        <v>11.0</v>
      </c>
      <c r="C363" s="104" t="s">
        <v>2835</v>
      </c>
      <c r="D363" s="105" t="s">
        <v>48</v>
      </c>
      <c r="E363" s="107" t="s">
        <v>48</v>
      </c>
      <c r="F363" s="101"/>
      <c r="G363" s="40" t="s">
        <v>2836</v>
      </c>
      <c r="H363" s="55" t="s">
        <v>2837</v>
      </c>
      <c r="I363" s="69" t="s">
        <v>2838</v>
      </c>
      <c r="J363" s="155"/>
      <c r="K363" s="37">
        <v>44138.0</v>
      </c>
      <c r="L363" s="37">
        <v>44146.0</v>
      </c>
      <c r="M363" s="73" t="s">
        <v>2839</v>
      </c>
      <c r="N363" s="73" t="s">
        <v>29</v>
      </c>
      <c r="O363" s="37">
        <v>43936.0</v>
      </c>
      <c r="P363" s="37">
        <v>44058.0</v>
      </c>
      <c r="Q363" s="22"/>
      <c r="R363" s="22"/>
      <c r="S363" s="193" t="s">
        <v>97</v>
      </c>
      <c r="T363" s="157"/>
      <c r="U363" s="176" t="s">
        <v>97</v>
      </c>
      <c r="V363" s="161"/>
      <c r="W363" s="161"/>
      <c r="X363" s="161"/>
      <c r="Y363" s="161"/>
      <c r="Z363" s="161"/>
      <c r="AA363" s="161"/>
      <c r="AB363" s="161"/>
      <c r="AC363" s="161"/>
      <c r="AD363" s="161"/>
      <c r="AE363" s="161"/>
      <c r="AF363" s="161"/>
      <c r="AG363" s="161"/>
      <c r="AH363" s="163"/>
      <c r="AI363" s="163"/>
      <c r="AJ363" s="163"/>
      <c r="AK363" s="163"/>
      <c r="AL363" s="163"/>
      <c r="AM363" s="163"/>
      <c r="AN363" s="161"/>
      <c r="AO363" s="161"/>
      <c r="AP363" s="161"/>
      <c r="AQ363" s="161"/>
      <c r="AR363" s="161"/>
      <c r="AS363" s="119"/>
    </row>
    <row r="364">
      <c r="A364" s="101">
        <v>266.0</v>
      </c>
      <c r="B364" s="177"/>
      <c r="C364" s="104" t="s">
        <v>2840</v>
      </c>
      <c r="D364" s="105" t="s">
        <v>48</v>
      </c>
      <c r="E364" s="107" t="s">
        <v>48</v>
      </c>
      <c r="F364" s="178"/>
      <c r="G364" s="77" t="s">
        <v>2841</v>
      </c>
      <c r="H364" s="81" t="s">
        <v>2842</v>
      </c>
      <c r="I364" s="84" t="s">
        <v>2843</v>
      </c>
      <c r="J364" s="155"/>
      <c r="K364" s="37">
        <v>44093.0</v>
      </c>
      <c r="L364" s="37">
        <v>44100.0</v>
      </c>
      <c r="M364" s="85" t="s">
        <v>1355</v>
      </c>
      <c r="N364" s="85" t="s">
        <v>412</v>
      </c>
      <c r="O364" s="113">
        <v>43805.0</v>
      </c>
      <c r="P364" s="37">
        <v>44008.0</v>
      </c>
      <c r="Q364" s="22"/>
      <c r="R364" s="22"/>
      <c r="S364" s="117"/>
      <c r="T364" s="181"/>
      <c r="U364" s="182" t="s">
        <v>97</v>
      </c>
      <c r="V364" s="184"/>
      <c r="W364" s="184"/>
      <c r="X364" s="184"/>
      <c r="Y364" s="184"/>
      <c r="Z364" s="184"/>
      <c r="AA364" s="184"/>
      <c r="AB364" s="184"/>
      <c r="AC364" s="184"/>
      <c r="AD364" s="186"/>
      <c r="AE364" s="187"/>
      <c r="AF364" s="184"/>
      <c r="AG364" s="187"/>
      <c r="AH364" s="189"/>
      <c r="AI364" s="189"/>
      <c r="AJ364" s="189"/>
      <c r="AK364" s="189"/>
      <c r="AL364" s="189"/>
      <c r="AM364" s="189"/>
      <c r="AN364" s="187"/>
      <c r="AO364" s="187"/>
      <c r="AP364" s="184"/>
      <c r="AQ364" s="187"/>
      <c r="AR364" s="187"/>
      <c r="AS364" s="119"/>
    </row>
    <row r="365">
      <c r="A365" s="137">
        <v>267.0</v>
      </c>
      <c r="B365" s="150"/>
      <c r="C365" s="104" t="s">
        <v>2844</v>
      </c>
      <c r="D365" s="105" t="s">
        <v>48</v>
      </c>
      <c r="E365" s="107" t="s">
        <v>48</v>
      </c>
      <c r="F365" s="101"/>
      <c r="G365" s="40" t="s">
        <v>2845</v>
      </c>
      <c r="H365" s="55" t="s">
        <v>2846</v>
      </c>
      <c r="I365" s="69" t="s">
        <v>2847</v>
      </c>
      <c r="J365" s="646"/>
      <c r="K365" s="37">
        <v>44141.0</v>
      </c>
      <c r="L365" s="37">
        <v>44143.0</v>
      </c>
      <c r="M365" s="73" t="s">
        <v>1289</v>
      </c>
      <c r="N365" s="73" t="s">
        <v>72</v>
      </c>
      <c r="O365" s="113">
        <v>43867.0</v>
      </c>
      <c r="P365" s="37">
        <v>44080.0</v>
      </c>
      <c r="Q365" s="22"/>
      <c r="R365" s="22"/>
      <c r="S365" s="117"/>
      <c r="T365" s="157"/>
      <c r="U365" s="176" t="s">
        <v>97</v>
      </c>
      <c r="V365" s="161"/>
      <c r="W365" s="161"/>
      <c r="X365" s="161"/>
      <c r="Y365" s="161"/>
      <c r="Z365" s="161"/>
      <c r="AA365" s="161"/>
      <c r="AB365" s="161"/>
      <c r="AC365" s="161"/>
      <c r="AD365" s="161"/>
      <c r="AE365" s="161"/>
      <c r="AF365" s="161"/>
      <c r="AG365" s="161"/>
      <c r="AH365" s="163"/>
      <c r="AI365" s="163"/>
      <c r="AJ365" s="163"/>
      <c r="AK365" s="163"/>
      <c r="AL365" s="163"/>
      <c r="AM365" s="163"/>
      <c r="AN365" s="161"/>
      <c r="AO365" s="161"/>
      <c r="AP365" s="161"/>
      <c r="AQ365" s="161"/>
      <c r="AR365" s="161"/>
      <c r="AS365" s="119"/>
    </row>
    <row r="366">
      <c r="A366" s="137">
        <v>268.0</v>
      </c>
      <c r="B366" s="150"/>
      <c r="C366" s="104" t="s">
        <v>2848</v>
      </c>
      <c r="D366" s="105" t="s">
        <v>90</v>
      </c>
      <c r="E366" s="107" t="s">
        <v>90</v>
      </c>
      <c r="F366" s="101"/>
      <c r="G366" s="40" t="s">
        <v>2849</v>
      </c>
      <c r="H366" s="55" t="s">
        <v>2850</v>
      </c>
      <c r="I366" s="219" t="s">
        <v>2851</v>
      </c>
      <c r="J366" s="155"/>
      <c r="K366" s="647">
        <v>44042.0</v>
      </c>
      <c r="L366" s="648">
        <v>44045.0</v>
      </c>
      <c r="M366" s="649" t="s">
        <v>1410</v>
      </c>
      <c r="N366" s="649" t="s">
        <v>29</v>
      </c>
      <c r="O366" s="650">
        <v>43677.0</v>
      </c>
      <c r="P366" s="648">
        <v>43982.0</v>
      </c>
      <c r="Q366" s="22"/>
      <c r="R366" s="22"/>
      <c r="S366" s="117"/>
      <c r="T366" s="157"/>
      <c r="U366" s="161"/>
      <c r="V366" s="161"/>
      <c r="W366" s="161"/>
      <c r="X366" s="161"/>
      <c r="Y366" s="161"/>
      <c r="Z366" s="161"/>
      <c r="AA366" s="161"/>
      <c r="AB366" s="161"/>
      <c r="AC366" s="161"/>
      <c r="AD366" s="161"/>
      <c r="AE366" s="161"/>
      <c r="AF366" s="161"/>
      <c r="AG366" s="161"/>
      <c r="AH366" s="163"/>
      <c r="AI366" s="163"/>
      <c r="AJ366" s="163"/>
      <c r="AK366" s="163"/>
      <c r="AL366" s="163"/>
      <c r="AM366" s="163"/>
      <c r="AN366" s="161"/>
      <c r="AO366" s="161"/>
      <c r="AP366" s="161"/>
      <c r="AQ366" s="161"/>
      <c r="AR366" s="554" t="s">
        <v>97</v>
      </c>
      <c r="AS366" s="119"/>
    </row>
    <row r="367">
      <c r="A367" s="137">
        <v>839.0</v>
      </c>
      <c r="B367" s="103">
        <v>11.0</v>
      </c>
      <c r="C367" s="651" t="s">
        <v>2852</v>
      </c>
      <c r="D367" s="138" t="s">
        <v>75</v>
      </c>
      <c r="E367" s="107" t="s">
        <v>345</v>
      </c>
      <c r="F367" s="109"/>
      <c r="G367" s="10" t="s">
        <v>2853</v>
      </c>
      <c r="H367" s="17" t="s">
        <v>2854</v>
      </c>
      <c r="I367" s="652" t="s">
        <v>2855</v>
      </c>
      <c r="J367" s="653"/>
      <c r="K367" s="654" t="s">
        <v>27</v>
      </c>
      <c r="L367" s="655" t="s">
        <v>27</v>
      </c>
      <c r="M367" s="656" t="s">
        <v>349</v>
      </c>
      <c r="N367" s="656" t="s">
        <v>350</v>
      </c>
      <c r="O367" s="655" t="s">
        <v>27</v>
      </c>
      <c r="P367" s="655" t="s">
        <v>27</v>
      </c>
      <c r="Q367" s="657"/>
      <c r="R367" s="223"/>
      <c r="S367" s="224"/>
      <c r="T367" s="141" t="s">
        <v>50</v>
      </c>
      <c r="U367" s="142"/>
      <c r="V367" s="119"/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  <c r="AG367" s="119"/>
      <c r="AH367" s="121"/>
      <c r="AI367" s="121"/>
      <c r="AJ367" s="121"/>
      <c r="AK367" s="121"/>
      <c r="AL367" s="121"/>
      <c r="AM367" s="121"/>
      <c r="AN367" s="143" t="s">
        <v>97</v>
      </c>
      <c r="AO367" s="119"/>
      <c r="AP367" s="119"/>
      <c r="AQ367" s="119"/>
      <c r="AR367" s="119"/>
      <c r="AS367" s="119"/>
    </row>
    <row r="368">
      <c r="A368" s="101">
        <v>269.0</v>
      </c>
      <c r="B368" s="177"/>
      <c r="C368" s="104" t="s">
        <v>2856</v>
      </c>
      <c r="D368" s="105" t="s">
        <v>48</v>
      </c>
      <c r="E368" s="107" t="s">
        <v>48</v>
      </c>
      <c r="F368" s="178"/>
      <c r="G368" s="77" t="s">
        <v>2857</v>
      </c>
      <c r="H368" s="81" t="s">
        <v>2858</v>
      </c>
      <c r="I368" s="658" t="s">
        <v>2859</v>
      </c>
      <c r="J368" s="155"/>
      <c r="K368" s="659">
        <v>44098.0</v>
      </c>
      <c r="L368" s="660">
        <v>44114.0</v>
      </c>
      <c r="M368" s="661" t="s">
        <v>2860</v>
      </c>
      <c r="N368" s="661" t="s">
        <v>212</v>
      </c>
      <c r="O368" s="662">
        <v>43932.0</v>
      </c>
      <c r="P368" s="660">
        <v>44072.0</v>
      </c>
      <c r="Q368" s="22"/>
      <c r="R368" s="22"/>
      <c r="S368" s="117"/>
      <c r="T368" s="181"/>
      <c r="U368" s="182" t="s">
        <v>97</v>
      </c>
      <c r="V368" s="184"/>
      <c r="W368" s="184"/>
      <c r="X368" s="184"/>
      <c r="Y368" s="184"/>
      <c r="Z368" s="184"/>
      <c r="AA368" s="184"/>
      <c r="AB368" s="184"/>
      <c r="AC368" s="184"/>
      <c r="AD368" s="186"/>
      <c r="AE368" s="187"/>
      <c r="AF368" s="184"/>
      <c r="AG368" s="187"/>
      <c r="AH368" s="189"/>
      <c r="AI368" s="189"/>
      <c r="AJ368" s="189"/>
      <c r="AK368" s="189"/>
      <c r="AL368" s="189"/>
      <c r="AM368" s="189"/>
      <c r="AN368" s="187"/>
      <c r="AO368" s="187"/>
      <c r="AP368" s="184"/>
      <c r="AQ368" s="187"/>
      <c r="AR368" s="187"/>
      <c r="AS368" s="119"/>
    </row>
    <row r="369">
      <c r="A369" s="101">
        <v>790.0</v>
      </c>
      <c r="B369" s="103">
        <v>9.0</v>
      </c>
      <c r="C369" s="104" t="s">
        <v>2861</v>
      </c>
      <c r="D369" s="138" t="s">
        <v>56</v>
      </c>
      <c r="E369" s="156" t="s">
        <v>227</v>
      </c>
      <c r="F369" s="109"/>
      <c r="G369" s="10" t="s">
        <v>2862</v>
      </c>
      <c r="H369" s="17" t="s">
        <v>2863</v>
      </c>
      <c r="I369" s="663" t="s">
        <v>24</v>
      </c>
      <c r="J369" s="155"/>
      <c r="K369" s="664" t="s">
        <v>27</v>
      </c>
      <c r="L369" s="22" t="s">
        <v>27</v>
      </c>
      <c r="M369" s="24" t="s">
        <v>1090</v>
      </c>
      <c r="N369" s="24" t="s">
        <v>622</v>
      </c>
      <c r="O369" s="22" t="s">
        <v>27</v>
      </c>
      <c r="P369" s="22" t="s">
        <v>27</v>
      </c>
      <c r="Q369" s="115"/>
      <c r="R369" s="115"/>
      <c r="S369" s="193" t="s">
        <v>97</v>
      </c>
      <c r="T369" s="118"/>
      <c r="U369" s="119"/>
      <c r="V369" s="119"/>
      <c r="W369" s="119"/>
      <c r="X369" s="119"/>
      <c r="Y369" s="119"/>
      <c r="Z369" s="119"/>
      <c r="AA369" s="218" t="s">
        <v>97</v>
      </c>
      <c r="AB369" s="119"/>
      <c r="AC369" s="119"/>
      <c r="AD369" s="119"/>
      <c r="AE369" s="119"/>
      <c r="AF369" s="119"/>
      <c r="AG369" s="119"/>
      <c r="AH369" s="121"/>
      <c r="AI369" s="121"/>
      <c r="AJ369" s="121"/>
      <c r="AK369" s="121"/>
      <c r="AL369" s="121"/>
      <c r="AM369" s="121"/>
      <c r="AN369" s="119"/>
      <c r="AO369" s="119"/>
      <c r="AP369" s="119"/>
      <c r="AQ369" s="119"/>
      <c r="AR369" s="119"/>
      <c r="AS369" s="119"/>
    </row>
    <row r="370">
      <c r="A370" s="137">
        <v>270.0</v>
      </c>
      <c r="B370" s="150"/>
      <c r="C370" s="104" t="s">
        <v>2864</v>
      </c>
      <c r="D370" s="105" t="s">
        <v>48</v>
      </c>
      <c r="E370" s="107" t="s">
        <v>48</v>
      </c>
      <c r="F370" s="101"/>
      <c r="G370" s="40" t="s">
        <v>2865</v>
      </c>
      <c r="H370" s="55" t="s">
        <v>2866</v>
      </c>
      <c r="I370" s="219" t="s">
        <v>2867</v>
      </c>
      <c r="J370" s="155"/>
      <c r="K370" s="199">
        <v>43867.0</v>
      </c>
      <c r="L370" s="37">
        <v>43898.0</v>
      </c>
      <c r="M370" s="174" t="s">
        <v>2868</v>
      </c>
      <c r="N370" s="73" t="s">
        <v>350</v>
      </c>
      <c r="O370" s="113">
        <v>43660.0</v>
      </c>
      <c r="P370" s="37">
        <v>43728.0</v>
      </c>
      <c r="Q370" s="22"/>
      <c r="R370" s="22"/>
      <c r="S370" s="117"/>
      <c r="T370" s="157"/>
      <c r="U370" s="176" t="s">
        <v>97</v>
      </c>
      <c r="V370" s="161"/>
      <c r="W370" s="161"/>
      <c r="X370" s="161"/>
      <c r="Y370" s="161"/>
      <c r="Z370" s="161"/>
      <c r="AA370" s="161"/>
      <c r="AB370" s="161"/>
      <c r="AC370" s="161"/>
      <c r="AD370" s="161"/>
      <c r="AE370" s="161"/>
      <c r="AF370" s="161"/>
      <c r="AG370" s="161"/>
      <c r="AH370" s="163"/>
      <c r="AI370" s="163"/>
      <c r="AJ370" s="163"/>
      <c r="AK370" s="163"/>
      <c r="AL370" s="163"/>
      <c r="AM370" s="163"/>
      <c r="AN370" s="161"/>
      <c r="AO370" s="161"/>
      <c r="AP370" s="161"/>
      <c r="AQ370" s="161"/>
      <c r="AR370" s="161"/>
      <c r="AS370" s="119"/>
    </row>
    <row r="371">
      <c r="A371" s="137">
        <v>898.0</v>
      </c>
      <c r="B371" s="284"/>
      <c r="C371" s="123" t="s">
        <v>2869</v>
      </c>
      <c r="D371" s="285" t="s">
        <v>48</v>
      </c>
      <c r="E371" s="287" t="s">
        <v>48</v>
      </c>
      <c r="F371" s="312"/>
      <c r="G371" s="216" t="s">
        <v>756</v>
      </c>
      <c r="H371" s="89" t="s">
        <v>757</v>
      </c>
      <c r="I371" s="91" t="str">
        <f>HYPERLINK("https://filmfreeway.com/GreenMountainFilmFestival","https://filmfreeway.com/GreenMountainFilmFestival")</f>
        <v>https://filmfreeway.com/GreenMountainFilmFestival</v>
      </c>
      <c r="J371" s="665" t="s">
        <v>26</v>
      </c>
      <c r="K371" s="145">
        <v>43916.0</v>
      </c>
      <c r="L371" s="145">
        <v>43921.0</v>
      </c>
      <c r="M371" s="130" t="s">
        <v>761</v>
      </c>
      <c r="N371" s="130" t="s">
        <v>762</v>
      </c>
      <c r="O371" s="145">
        <v>43678.0</v>
      </c>
      <c r="P371" s="145">
        <v>43800.0</v>
      </c>
      <c r="Q371" s="131"/>
      <c r="R371" s="132"/>
      <c r="S371" s="132"/>
      <c r="T371" s="118"/>
      <c r="U371" s="176" t="s">
        <v>97</v>
      </c>
      <c r="V371" s="119"/>
      <c r="W371" s="119"/>
      <c r="X371" s="119"/>
      <c r="Y371" s="134"/>
      <c r="Z371" s="119"/>
      <c r="AA371" s="119"/>
      <c r="AB371" s="119"/>
      <c r="AC371" s="119"/>
      <c r="AD371" s="119"/>
      <c r="AE371" s="119"/>
      <c r="AF371" s="119"/>
      <c r="AG371" s="119"/>
      <c r="AH371" s="121"/>
      <c r="AI371" s="121"/>
      <c r="AJ371" s="121"/>
      <c r="AK371" s="121"/>
      <c r="AL371" s="121"/>
      <c r="AM371" s="135"/>
      <c r="AN371" s="119"/>
      <c r="AO371" s="119"/>
      <c r="AP371" s="119"/>
      <c r="AQ371" s="119"/>
      <c r="AR371" s="119"/>
      <c r="AS371" s="119"/>
    </row>
    <row r="372">
      <c r="A372" s="101">
        <v>772.0</v>
      </c>
      <c r="B372" s="197"/>
      <c r="C372" s="104" t="s">
        <v>2870</v>
      </c>
      <c r="D372" s="105" t="s">
        <v>48</v>
      </c>
      <c r="E372" s="107" t="s">
        <v>48</v>
      </c>
      <c r="F372" s="109"/>
      <c r="G372" s="10" t="s">
        <v>2871</v>
      </c>
      <c r="H372" s="17" t="s">
        <v>2872</v>
      </c>
      <c r="I372" s="34" t="s">
        <v>2873</v>
      </c>
      <c r="J372" s="112"/>
      <c r="K372" s="113">
        <v>43958.0</v>
      </c>
      <c r="L372" s="113">
        <v>43961.0</v>
      </c>
      <c r="M372" s="24" t="s">
        <v>28</v>
      </c>
      <c r="N372" s="24" t="s">
        <v>29</v>
      </c>
      <c r="O372" s="114">
        <v>43738.0</v>
      </c>
      <c r="P372" s="114">
        <v>43861.0</v>
      </c>
      <c r="Q372" s="115"/>
      <c r="R372" s="115"/>
      <c r="S372" s="117"/>
      <c r="T372" s="118"/>
      <c r="U372" s="176" t="s">
        <v>97</v>
      </c>
      <c r="V372" s="119"/>
      <c r="W372" s="119"/>
      <c r="X372" s="119"/>
      <c r="Y372" s="119"/>
      <c r="Z372" s="119"/>
      <c r="AA372" s="119"/>
      <c r="AB372" s="119"/>
      <c r="AC372" s="119"/>
      <c r="AD372" s="119"/>
      <c r="AE372" s="119"/>
      <c r="AF372" s="119"/>
      <c r="AG372" s="119"/>
      <c r="AH372" s="121"/>
      <c r="AI372" s="121"/>
      <c r="AJ372" s="121"/>
      <c r="AK372" s="121"/>
      <c r="AL372" s="121"/>
      <c r="AM372" s="121"/>
      <c r="AN372" s="119"/>
      <c r="AO372" s="119"/>
      <c r="AP372" s="119"/>
      <c r="AQ372" s="119"/>
      <c r="AR372" s="119"/>
      <c r="AS372" s="119"/>
    </row>
    <row r="373">
      <c r="A373" s="137">
        <v>271.0</v>
      </c>
      <c r="B373" s="177"/>
      <c r="C373" s="104" t="s">
        <v>2874</v>
      </c>
      <c r="D373" s="105" t="s">
        <v>48</v>
      </c>
      <c r="E373" s="107" t="s">
        <v>48</v>
      </c>
      <c r="F373" s="178"/>
      <c r="G373" s="77" t="s">
        <v>331</v>
      </c>
      <c r="H373" s="81" t="s">
        <v>333</v>
      </c>
      <c r="I373" s="84" t="s">
        <v>334</v>
      </c>
      <c r="J373" s="20" t="s">
        <v>337</v>
      </c>
      <c r="K373" s="37">
        <v>43951.0</v>
      </c>
      <c r="L373" s="37">
        <v>43954.0</v>
      </c>
      <c r="M373" s="85" t="s">
        <v>338</v>
      </c>
      <c r="N373" s="85" t="s">
        <v>339</v>
      </c>
      <c r="O373" s="22" t="s">
        <v>27</v>
      </c>
      <c r="P373" s="22" t="s">
        <v>27</v>
      </c>
      <c r="Q373" s="22"/>
      <c r="R373" s="22"/>
      <c r="S373" s="117"/>
      <c r="T373" s="181"/>
      <c r="U373" s="182" t="s">
        <v>97</v>
      </c>
      <c r="V373" s="184"/>
      <c r="W373" s="184"/>
      <c r="X373" s="184"/>
      <c r="Y373" s="184"/>
      <c r="Z373" s="184"/>
      <c r="AA373" s="184"/>
      <c r="AB373" s="184"/>
      <c r="AC373" s="184"/>
      <c r="AD373" s="186"/>
      <c r="AE373" s="187"/>
      <c r="AF373" s="184"/>
      <c r="AG373" s="187"/>
      <c r="AH373" s="189"/>
      <c r="AI373" s="189"/>
      <c r="AJ373" s="189"/>
      <c r="AK373" s="189"/>
      <c r="AL373" s="189"/>
      <c r="AM373" s="189"/>
      <c r="AN373" s="187"/>
      <c r="AO373" s="187"/>
      <c r="AP373" s="184"/>
      <c r="AQ373" s="187"/>
      <c r="AR373" s="187"/>
      <c r="AS373" s="119"/>
    </row>
    <row r="374">
      <c r="A374" s="137">
        <v>840.0</v>
      </c>
      <c r="B374" s="103">
        <v>10.0</v>
      </c>
      <c r="C374" s="104" t="s">
        <v>2875</v>
      </c>
      <c r="D374" s="105" t="s">
        <v>48</v>
      </c>
      <c r="E374" s="107" t="s">
        <v>48</v>
      </c>
      <c r="F374" s="109"/>
      <c r="G374" s="10" t="s">
        <v>2876</v>
      </c>
      <c r="H374" s="17" t="s">
        <v>2877</v>
      </c>
      <c r="I374" s="111" t="s">
        <v>2878</v>
      </c>
      <c r="J374" s="155"/>
      <c r="K374" s="37">
        <v>44123.0</v>
      </c>
      <c r="L374" s="37">
        <v>44125.0</v>
      </c>
      <c r="M374" s="24" t="s">
        <v>196</v>
      </c>
      <c r="N374" s="24" t="s">
        <v>29</v>
      </c>
      <c r="O374" s="37">
        <v>43951.0</v>
      </c>
      <c r="P374" s="37">
        <v>44074.0</v>
      </c>
      <c r="Q374" s="223"/>
      <c r="R374" s="223"/>
      <c r="S374" s="224"/>
      <c r="T374" s="118"/>
      <c r="U374" s="176" t="s">
        <v>97</v>
      </c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21"/>
      <c r="AI374" s="121"/>
      <c r="AJ374" s="121"/>
      <c r="AK374" s="121"/>
      <c r="AL374" s="121"/>
      <c r="AM374" s="121"/>
      <c r="AN374" s="119"/>
      <c r="AO374" s="119"/>
      <c r="AP374" s="119"/>
      <c r="AQ374" s="119"/>
      <c r="AR374" s="119"/>
      <c r="AS374" s="119"/>
    </row>
    <row r="375">
      <c r="A375" s="137">
        <v>990.0</v>
      </c>
      <c r="B375" s="122">
        <v>10.0</v>
      </c>
      <c r="C375" s="123" t="s">
        <v>2879</v>
      </c>
      <c r="D375" s="124" t="s">
        <v>71</v>
      </c>
      <c r="E375" s="126" t="s">
        <v>71</v>
      </c>
      <c r="F375" s="144"/>
      <c r="G375" s="87" t="s">
        <v>2880</v>
      </c>
      <c r="H375" s="89" t="s">
        <v>2881</v>
      </c>
      <c r="I375" s="91" t="str">
        <f>HYPERLINK("https://filmfreeway.com/GrenadaAfterglowFilmFestival","https://filmfreeway.com/GrenadaAfterglowFilmFestival")</f>
        <v>https://filmfreeway.com/GrenadaAfterglowFilmFestival</v>
      </c>
      <c r="J375" s="155"/>
      <c r="K375" s="22" t="s">
        <v>27</v>
      </c>
      <c r="L375" s="22" t="s">
        <v>27</v>
      </c>
      <c r="M375" s="130" t="s">
        <v>2882</v>
      </c>
      <c r="N375" s="130" t="s">
        <v>405</v>
      </c>
      <c r="O375" s="22" t="s">
        <v>27</v>
      </c>
      <c r="P375" s="22" t="s">
        <v>27</v>
      </c>
      <c r="Q375" s="131"/>
      <c r="R375" s="132"/>
      <c r="S375" s="148" t="s">
        <v>97</v>
      </c>
      <c r="T375" s="118"/>
      <c r="U375" s="119"/>
      <c r="V375" s="119"/>
      <c r="W375" s="119"/>
      <c r="X375" s="119"/>
      <c r="Y375" s="134"/>
      <c r="Z375" s="119"/>
      <c r="AA375" s="119"/>
      <c r="AB375" s="119"/>
      <c r="AC375" s="119"/>
      <c r="AD375" s="119"/>
      <c r="AE375" s="119"/>
      <c r="AF375" s="119"/>
      <c r="AG375" s="119"/>
      <c r="AH375" s="121"/>
      <c r="AI375" s="121"/>
      <c r="AJ375" s="121"/>
      <c r="AK375" s="121"/>
      <c r="AL375" s="121"/>
      <c r="AM375" s="165" t="s">
        <v>97</v>
      </c>
      <c r="AN375" s="119"/>
      <c r="AO375" s="119"/>
      <c r="AP375" s="119"/>
      <c r="AQ375" s="119"/>
      <c r="AR375" s="119"/>
      <c r="AS375" s="119"/>
    </row>
    <row r="376">
      <c r="A376" s="101">
        <v>272.0</v>
      </c>
      <c r="B376" s="315"/>
      <c r="C376" s="104" t="s">
        <v>2883</v>
      </c>
      <c r="D376" s="138" t="s">
        <v>63</v>
      </c>
      <c r="E376" s="107" t="s">
        <v>1297</v>
      </c>
      <c r="F376" s="178"/>
      <c r="G376" s="77" t="s">
        <v>2884</v>
      </c>
      <c r="H376" s="81" t="s">
        <v>2885</v>
      </c>
      <c r="I376" s="175" t="s">
        <v>2886</v>
      </c>
      <c r="J376" s="112"/>
      <c r="K376" s="113">
        <v>44106.0</v>
      </c>
      <c r="L376" s="113">
        <v>44108.0</v>
      </c>
      <c r="M376" s="85" t="s">
        <v>850</v>
      </c>
      <c r="N376" s="85" t="s">
        <v>594</v>
      </c>
      <c r="O376" s="22" t="s">
        <v>27</v>
      </c>
      <c r="P376" s="22" t="s">
        <v>27</v>
      </c>
      <c r="Q376" s="535"/>
      <c r="R376" s="535"/>
      <c r="S376" s="117"/>
      <c r="T376" s="181"/>
      <c r="U376" s="666"/>
      <c r="V376" s="184"/>
      <c r="W376" s="184"/>
      <c r="X376" s="184"/>
      <c r="Y376" s="184"/>
      <c r="Z376" s="184"/>
      <c r="AA376" s="184"/>
      <c r="AB376" s="184"/>
      <c r="AC376" s="184"/>
      <c r="AD376" s="186"/>
      <c r="AE376" s="187"/>
      <c r="AF376" s="184"/>
      <c r="AG376" s="667" t="s">
        <v>97</v>
      </c>
      <c r="AH376" s="189"/>
      <c r="AI376" s="189"/>
      <c r="AJ376" s="189"/>
      <c r="AK376" s="189"/>
      <c r="AL376" s="189"/>
      <c r="AM376" s="189"/>
      <c r="AN376" s="187"/>
      <c r="AO376" s="187"/>
      <c r="AP376" s="184"/>
      <c r="AQ376" s="187"/>
      <c r="AR376" s="187"/>
      <c r="AS376" s="119"/>
    </row>
    <row r="377">
      <c r="A377" s="137">
        <v>273.0</v>
      </c>
      <c r="B377" s="150">
        <v>8.0</v>
      </c>
      <c r="C377" s="104" t="s">
        <v>2887</v>
      </c>
      <c r="D377" s="138" t="s">
        <v>62</v>
      </c>
      <c r="E377" s="107" t="s">
        <v>523</v>
      </c>
      <c r="F377" s="101"/>
      <c r="G377" s="40" t="s">
        <v>2888</v>
      </c>
      <c r="H377" s="55" t="s">
        <v>2889</v>
      </c>
      <c r="I377" s="69" t="s">
        <v>2890</v>
      </c>
      <c r="J377" s="155"/>
      <c r="K377" s="37">
        <v>44058.0</v>
      </c>
      <c r="L377" s="37">
        <v>44058.0</v>
      </c>
      <c r="M377" s="73" t="s">
        <v>2891</v>
      </c>
      <c r="N377" s="73" t="s">
        <v>72</v>
      </c>
      <c r="O377" s="37">
        <v>43876.0</v>
      </c>
      <c r="P377" s="37">
        <v>43997.0</v>
      </c>
      <c r="Q377" s="22"/>
      <c r="R377" s="22"/>
      <c r="S377" s="117"/>
      <c r="T377" s="157"/>
      <c r="U377" s="161"/>
      <c r="V377" s="161"/>
      <c r="W377" s="161"/>
      <c r="X377" s="161"/>
      <c r="Y377" s="161"/>
      <c r="Z377" s="161"/>
      <c r="AA377" s="161"/>
      <c r="AB377" s="161"/>
      <c r="AC377" s="161"/>
      <c r="AD377" s="161"/>
      <c r="AE377" s="161"/>
      <c r="AF377" s="548" t="s">
        <v>97</v>
      </c>
      <c r="AG377" s="161"/>
      <c r="AH377" s="163"/>
      <c r="AI377" s="163"/>
      <c r="AJ377" s="163"/>
      <c r="AK377" s="163"/>
      <c r="AL377" s="163"/>
      <c r="AM377" s="163"/>
      <c r="AN377" s="161"/>
      <c r="AO377" s="161"/>
      <c r="AP377" s="161"/>
      <c r="AQ377" s="161"/>
      <c r="AR377" s="161"/>
      <c r="AS377" s="119"/>
    </row>
    <row r="378">
      <c r="A378" s="137">
        <v>977.0</v>
      </c>
      <c r="B378" s="122">
        <v>10.0</v>
      </c>
      <c r="C378" s="123" t="s">
        <v>2892</v>
      </c>
      <c r="D378" s="124" t="s">
        <v>64</v>
      </c>
      <c r="E378" s="126" t="s">
        <v>64</v>
      </c>
      <c r="F378" s="127"/>
      <c r="G378" s="128" t="s">
        <v>2893</v>
      </c>
      <c r="H378" s="89" t="s">
        <v>2894</v>
      </c>
      <c r="I378" s="91" t="str">
        <f>HYPERLINK("https://filmfreeway.com/TheHalloweenHorrorPictureShow","https://filmfreeway.com/TheHalloweenHorrorPictureShow")</f>
        <v>https://filmfreeway.com/TheHalloweenHorrorPictureShow</v>
      </c>
      <c r="J378" s="155"/>
      <c r="K378" s="22" t="s">
        <v>27</v>
      </c>
      <c r="L378" s="22" t="s">
        <v>27</v>
      </c>
      <c r="M378" s="130" t="s">
        <v>2895</v>
      </c>
      <c r="N378" s="130" t="s">
        <v>46</v>
      </c>
      <c r="O378" s="22" t="s">
        <v>27</v>
      </c>
      <c r="P378" s="22" t="s">
        <v>27</v>
      </c>
      <c r="Q378" s="131"/>
      <c r="R378" s="132"/>
      <c r="S378" s="132"/>
      <c r="T378" s="118"/>
      <c r="U378" s="119"/>
      <c r="V378" s="119"/>
      <c r="W378" s="119"/>
      <c r="X378" s="119"/>
      <c r="Y378" s="134"/>
      <c r="Z378" s="119"/>
      <c r="AA378" s="119"/>
      <c r="AB378" s="119"/>
      <c r="AC378" s="119"/>
      <c r="AD378" s="119"/>
      <c r="AE378" s="119"/>
      <c r="AF378" s="119"/>
      <c r="AG378" s="119"/>
      <c r="AH378" s="246" t="s">
        <v>97</v>
      </c>
      <c r="AI378" s="121"/>
      <c r="AJ378" s="121"/>
      <c r="AK378" s="121"/>
      <c r="AL378" s="121"/>
      <c r="AM378" s="135"/>
      <c r="AN378" s="119"/>
      <c r="AO378" s="119"/>
      <c r="AP378" s="119"/>
      <c r="AQ378" s="119"/>
      <c r="AR378" s="119"/>
      <c r="AS378" s="119"/>
    </row>
    <row r="379">
      <c r="A379" s="137">
        <v>274.0</v>
      </c>
      <c r="B379" s="150"/>
      <c r="C379" s="104" t="s">
        <v>2896</v>
      </c>
      <c r="D379" s="105" t="s">
        <v>48</v>
      </c>
      <c r="E379" s="107" t="s">
        <v>48</v>
      </c>
      <c r="F379" s="101"/>
      <c r="G379" s="40" t="s">
        <v>2897</v>
      </c>
      <c r="H379" s="55" t="s">
        <v>2898</v>
      </c>
      <c r="I379" s="69" t="s">
        <v>2899</v>
      </c>
      <c r="J379" s="155"/>
      <c r="K379" s="37">
        <v>44032.0</v>
      </c>
      <c r="L379" s="37">
        <v>44038.0</v>
      </c>
      <c r="M379" s="73" t="s">
        <v>2900</v>
      </c>
      <c r="N379" s="73" t="s">
        <v>29</v>
      </c>
      <c r="O379" s="113">
        <v>43723.0</v>
      </c>
      <c r="P379" s="37">
        <v>44002.0</v>
      </c>
      <c r="Q379" s="22"/>
      <c r="R379" s="22"/>
      <c r="S379" s="117"/>
      <c r="T379" s="157"/>
      <c r="U379" s="176" t="s">
        <v>97</v>
      </c>
      <c r="V379" s="161"/>
      <c r="W379" s="161"/>
      <c r="X379" s="161"/>
      <c r="Y379" s="161"/>
      <c r="Z379" s="161"/>
      <c r="AA379" s="161"/>
      <c r="AB379" s="161"/>
      <c r="AC379" s="161"/>
      <c r="AD379" s="161"/>
      <c r="AE379" s="161"/>
      <c r="AF379" s="161"/>
      <c r="AG379" s="161"/>
      <c r="AH379" s="163"/>
      <c r="AI379" s="163"/>
      <c r="AJ379" s="163"/>
      <c r="AK379" s="163"/>
      <c r="AL379" s="163"/>
      <c r="AM379" s="163"/>
      <c r="AN379" s="161"/>
      <c r="AO379" s="161"/>
      <c r="AP379" s="161"/>
      <c r="AQ379" s="161"/>
      <c r="AR379" s="161"/>
      <c r="AS379" s="119"/>
    </row>
    <row r="380">
      <c r="A380" s="137">
        <v>799.0</v>
      </c>
      <c r="B380" s="103">
        <v>12.0</v>
      </c>
      <c r="C380" s="104" t="s">
        <v>2901</v>
      </c>
      <c r="D380" s="105" t="s">
        <v>51</v>
      </c>
      <c r="E380" s="107" t="s">
        <v>51</v>
      </c>
      <c r="F380" s="109"/>
      <c r="G380" s="10" t="s">
        <v>1740</v>
      </c>
      <c r="H380" s="17" t="s">
        <v>2902</v>
      </c>
      <c r="I380" s="111" t="s">
        <v>2903</v>
      </c>
      <c r="J380" s="155"/>
      <c r="K380" s="37">
        <v>44168.0</v>
      </c>
      <c r="L380" s="37">
        <v>44172.0</v>
      </c>
      <c r="M380" s="130" t="s">
        <v>2904</v>
      </c>
      <c r="N380" s="24" t="s">
        <v>29</v>
      </c>
      <c r="O380" s="37">
        <v>43951.0</v>
      </c>
      <c r="P380" s="37">
        <v>44022.0</v>
      </c>
      <c r="Q380" s="115"/>
      <c r="R380" s="115"/>
      <c r="S380" s="193" t="s">
        <v>97</v>
      </c>
      <c r="T380" s="118"/>
      <c r="U380" s="119"/>
      <c r="V380" s="241" t="s">
        <v>97</v>
      </c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21"/>
      <c r="AI380" s="121"/>
      <c r="AJ380" s="121"/>
      <c r="AK380" s="121"/>
      <c r="AL380" s="121"/>
      <c r="AM380" s="121"/>
      <c r="AN380" s="119"/>
      <c r="AO380" s="119"/>
      <c r="AP380" s="119"/>
      <c r="AQ380" s="119"/>
      <c r="AR380" s="119"/>
      <c r="AS380" s="119"/>
    </row>
    <row r="381">
      <c r="A381" s="101">
        <v>275.0</v>
      </c>
      <c r="B381" s="197"/>
      <c r="C381" s="104" t="s">
        <v>2905</v>
      </c>
      <c r="D381" s="105" t="s">
        <v>48</v>
      </c>
      <c r="E381" s="107" t="s">
        <v>48</v>
      </c>
      <c r="F381" s="178"/>
      <c r="G381" s="77" t="s">
        <v>2010</v>
      </c>
      <c r="H381" s="151" t="s">
        <v>2906</v>
      </c>
      <c r="I381" s="34" t="s">
        <v>2907</v>
      </c>
      <c r="J381" s="155"/>
      <c r="K381" s="37">
        <v>44112.0</v>
      </c>
      <c r="L381" s="37">
        <v>44116.0</v>
      </c>
      <c r="M381" s="85" t="s">
        <v>2908</v>
      </c>
      <c r="N381" s="85" t="s">
        <v>29</v>
      </c>
      <c r="O381" s="37">
        <v>43900.0</v>
      </c>
      <c r="P381" s="37">
        <v>43963.0</v>
      </c>
      <c r="Q381" s="200" t="s">
        <v>222</v>
      </c>
      <c r="R381" s="200" t="s">
        <v>222</v>
      </c>
      <c r="S381" s="203" t="s">
        <v>97</v>
      </c>
      <c r="T381" s="181"/>
      <c r="U381" s="182" t="s">
        <v>97</v>
      </c>
      <c r="V381" s="184"/>
      <c r="W381" s="184"/>
      <c r="X381" s="184"/>
      <c r="Y381" s="184"/>
      <c r="Z381" s="184"/>
      <c r="AA381" s="184"/>
      <c r="AB381" s="184"/>
      <c r="AC381" s="184"/>
      <c r="AD381" s="186"/>
      <c r="AE381" s="187"/>
      <c r="AF381" s="184"/>
      <c r="AG381" s="187"/>
      <c r="AH381" s="189"/>
      <c r="AI381" s="189"/>
      <c r="AJ381" s="189"/>
      <c r="AK381" s="189"/>
      <c r="AL381" s="189"/>
      <c r="AM381" s="189"/>
      <c r="AN381" s="187"/>
      <c r="AO381" s="187"/>
      <c r="AP381" s="184"/>
      <c r="AQ381" s="187"/>
      <c r="AR381" s="187"/>
      <c r="AS381" s="119"/>
    </row>
    <row r="382">
      <c r="A382" s="137">
        <v>276.0</v>
      </c>
      <c r="B382" s="150"/>
      <c r="C382" s="104" t="s">
        <v>2909</v>
      </c>
      <c r="D382" s="105" t="s">
        <v>52</v>
      </c>
      <c r="E382" s="107" t="s">
        <v>52</v>
      </c>
      <c r="F382" s="101"/>
      <c r="G382" s="40" t="s">
        <v>2910</v>
      </c>
      <c r="H382" s="55" t="s">
        <v>2911</v>
      </c>
      <c r="I382" s="69" t="s">
        <v>2912</v>
      </c>
      <c r="J382" s="155"/>
      <c r="K382" s="37">
        <v>43953.0</v>
      </c>
      <c r="L382" s="37">
        <v>43954.0</v>
      </c>
      <c r="M382" s="73" t="s">
        <v>2913</v>
      </c>
      <c r="N382" s="73" t="s">
        <v>412</v>
      </c>
      <c r="O382" s="113">
        <v>43661.0</v>
      </c>
      <c r="P382" s="37">
        <v>43880.0</v>
      </c>
      <c r="Q382" s="22"/>
      <c r="R382" s="22"/>
      <c r="S382" s="117"/>
      <c r="T382" s="157"/>
      <c r="U382" s="161"/>
      <c r="V382" s="161"/>
      <c r="W382" s="120" t="s">
        <v>97</v>
      </c>
      <c r="X382" s="161"/>
      <c r="Y382" s="161"/>
      <c r="Z382" s="161"/>
      <c r="AA382" s="161"/>
      <c r="AB382" s="161"/>
      <c r="AC382" s="161"/>
      <c r="AD382" s="161"/>
      <c r="AE382" s="161"/>
      <c r="AF382" s="161"/>
      <c r="AG382" s="161"/>
      <c r="AH382" s="163"/>
      <c r="AI382" s="163"/>
      <c r="AJ382" s="163"/>
      <c r="AK382" s="163"/>
      <c r="AL382" s="163"/>
      <c r="AM382" s="163"/>
      <c r="AN382" s="161"/>
      <c r="AO382" s="161"/>
      <c r="AP382" s="161"/>
      <c r="AQ382" s="161"/>
      <c r="AR382" s="161"/>
      <c r="AS382" s="119"/>
    </row>
    <row r="383">
      <c r="A383" s="137">
        <v>1025.0</v>
      </c>
      <c r="B383" s="173"/>
      <c r="C383" s="668" t="s">
        <v>2914</v>
      </c>
      <c r="D383" s="622" t="s">
        <v>64</v>
      </c>
      <c r="E383" s="622" t="s">
        <v>64</v>
      </c>
      <c r="F383" s="254"/>
      <c r="G383" s="256" t="s">
        <v>1908</v>
      </c>
      <c r="H383" s="669" t="s">
        <v>2915</v>
      </c>
      <c r="I383" s="280" t="s">
        <v>2916</v>
      </c>
      <c r="J383" s="670"/>
      <c r="K383" s="286">
        <v>43997.0</v>
      </c>
      <c r="L383" s="286">
        <v>43997.0</v>
      </c>
      <c r="M383" s="254" t="s">
        <v>2917</v>
      </c>
      <c r="N383" s="264" t="s">
        <v>80</v>
      </c>
      <c r="O383" s="286">
        <v>43922.0</v>
      </c>
      <c r="P383" s="286">
        <v>43982.0</v>
      </c>
      <c r="Q383" s="22"/>
      <c r="R383" s="22"/>
      <c r="S383" s="117"/>
      <c r="T383" s="236"/>
      <c r="U383" s="161"/>
      <c r="V383" s="161"/>
      <c r="W383" s="161"/>
      <c r="X383" s="161"/>
      <c r="Y383" s="161"/>
      <c r="Z383" s="161"/>
      <c r="AA383" s="161"/>
      <c r="AB383" s="161"/>
      <c r="AC383" s="161"/>
      <c r="AD383" s="161"/>
      <c r="AE383" s="161"/>
      <c r="AF383" s="161"/>
      <c r="AG383" s="237"/>
      <c r="AH383" s="246" t="s">
        <v>97</v>
      </c>
      <c r="AI383" s="163"/>
      <c r="AJ383" s="163"/>
      <c r="AK383" s="163"/>
      <c r="AL383" s="163"/>
      <c r="AM383" s="163"/>
      <c r="AN383" s="161"/>
      <c r="AO383" s="161"/>
      <c r="AP383" s="161"/>
      <c r="AQ383" s="161"/>
      <c r="AR383" s="161"/>
      <c r="AS383" s="119"/>
    </row>
    <row r="384">
      <c r="A384" s="137">
        <v>277.0</v>
      </c>
      <c r="B384" s="177"/>
      <c r="C384" s="104" t="s">
        <v>2918</v>
      </c>
      <c r="D384" s="105" t="s">
        <v>48</v>
      </c>
      <c r="E384" s="107" t="s">
        <v>48</v>
      </c>
      <c r="F384" s="178"/>
      <c r="G384" s="77" t="s">
        <v>2919</v>
      </c>
      <c r="H384" s="81" t="s">
        <v>2920</v>
      </c>
      <c r="I384" s="84" t="s">
        <v>2921</v>
      </c>
      <c r="J384" s="155"/>
      <c r="K384" s="37">
        <v>43965.0</v>
      </c>
      <c r="L384" s="37">
        <v>43968.0</v>
      </c>
      <c r="M384" s="85" t="s">
        <v>196</v>
      </c>
      <c r="N384" s="85" t="s">
        <v>29</v>
      </c>
      <c r="O384" s="113">
        <v>43779.0</v>
      </c>
      <c r="P384" s="37">
        <v>43847.0</v>
      </c>
      <c r="Q384" s="22"/>
      <c r="R384" s="22"/>
      <c r="S384" s="117"/>
      <c r="T384" s="181"/>
      <c r="U384" s="182" t="s">
        <v>97</v>
      </c>
      <c r="V384" s="184"/>
      <c r="W384" s="184"/>
      <c r="X384" s="184"/>
      <c r="Y384" s="184"/>
      <c r="Z384" s="184"/>
      <c r="AA384" s="184"/>
      <c r="AB384" s="184"/>
      <c r="AC384" s="184"/>
      <c r="AD384" s="186"/>
      <c r="AE384" s="187"/>
      <c r="AF384" s="184"/>
      <c r="AG384" s="187"/>
      <c r="AH384" s="189"/>
      <c r="AI384" s="189"/>
      <c r="AJ384" s="189"/>
      <c r="AK384" s="189"/>
      <c r="AL384" s="189"/>
      <c r="AM384" s="189"/>
      <c r="AN384" s="187"/>
      <c r="AO384" s="187"/>
      <c r="AP384" s="184"/>
      <c r="AQ384" s="187"/>
      <c r="AR384" s="187"/>
      <c r="AS384" s="119"/>
    </row>
    <row r="385">
      <c r="A385" s="101">
        <v>278.0</v>
      </c>
      <c r="B385" s="173"/>
      <c r="C385" s="104" t="s">
        <v>2922</v>
      </c>
      <c r="D385" s="296" t="s">
        <v>55</v>
      </c>
      <c r="E385" s="297" t="s">
        <v>55</v>
      </c>
      <c r="F385" s="101"/>
      <c r="G385" s="40" t="s">
        <v>2923</v>
      </c>
      <c r="H385" s="55" t="s">
        <v>2924</v>
      </c>
      <c r="I385" s="55" t="s">
        <v>2925</v>
      </c>
      <c r="J385" s="155"/>
      <c r="K385" s="37">
        <v>43895.0</v>
      </c>
      <c r="L385" s="37">
        <v>43905.0</v>
      </c>
      <c r="M385" s="290" t="s">
        <v>2285</v>
      </c>
      <c r="N385" s="290" t="s">
        <v>339</v>
      </c>
      <c r="O385" s="114">
        <v>43647.0</v>
      </c>
      <c r="P385" s="152">
        <v>43799.0</v>
      </c>
      <c r="Q385" s="345"/>
      <c r="R385" s="345"/>
      <c r="S385" s="117"/>
      <c r="T385" s="141"/>
      <c r="U385" s="119"/>
      <c r="V385" s="119"/>
      <c r="W385" s="119"/>
      <c r="X385" s="119"/>
      <c r="Y385" s="119"/>
      <c r="Z385" s="299" t="s">
        <v>97</v>
      </c>
      <c r="AA385" s="119"/>
      <c r="AB385" s="119"/>
      <c r="AC385" s="119"/>
      <c r="AD385" s="119"/>
      <c r="AE385" s="119"/>
      <c r="AF385" s="119"/>
      <c r="AG385" s="119"/>
      <c r="AH385" s="121"/>
      <c r="AI385" s="121"/>
      <c r="AJ385" s="121"/>
      <c r="AK385" s="121"/>
      <c r="AL385" s="121"/>
      <c r="AM385" s="121"/>
      <c r="AN385" s="119"/>
      <c r="AO385" s="119"/>
      <c r="AP385" s="119"/>
      <c r="AQ385" s="119"/>
      <c r="AR385" s="119"/>
      <c r="AS385" s="119"/>
    </row>
    <row r="386">
      <c r="A386" s="137">
        <v>773.0</v>
      </c>
      <c r="B386" s="103"/>
      <c r="C386" s="104" t="s">
        <v>2926</v>
      </c>
      <c r="D386" s="105" t="s">
        <v>70</v>
      </c>
      <c r="E386" s="107" t="s">
        <v>70</v>
      </c>
      <c r="F386" s="109"/>
      <c r="G386" s="10" t="s">
        <v>388</v>
      </c>
      <c r="H386" s="17" t="s">
        <v>389</v>
      </c>
      <c r="I386" s="111" t="s">
        <v>391</v>
      </c>
      <c r="J386" s="222" t="s">
        <v>394</v>
      </c>
      <c r="K386" s="113">
        <v>43938.0</v>
      </c>
      <c r="L386" s="113">
        <v>43939.0</v>
      </c>
      <c r="M386" s="24" t="s">
        <v>395</v>
      </c>
      <c r="N386" s="24" t="s">
        <v>80</v>
      </c>
      <c r="O386" s="114">
        <v>43801.0</v>
      </c>
      <c r="P386" s="114">
        <v>44134.0</v>
      </c>
      <c r="Q386" s="115"/>
      <c r="R386" s="115"/>
      <c r="S386" s="117"/>
      <c r="T386" s="118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21"/>
      <c r="AI386" s="121"/>
      <c r="AJ386" s="121"/>
      <c r="AK386" s="121"/>
      <c r="AL386" s="149" t="s">
        <v>97</v>
      </c>
      <c r="AM386" s="121"/>
      <c r="AN386" s="119"/>
      <c r="AO386" s="119"/>
      <c r="AP386" s="119"/>
      <c r="AQ386" s="119"/>
      <c r="AR386" s="119"/>
      <c r="AS386" s="119"/>
    </row>
    <row r="387">
      <c r="A387" s="137">
        <v>279.0</v>
      </c>
      <c r="B387" s="197">
        <v>11.0</v>
      </c>
      <c r="C387" s="104" t="s">
        <v>2927</v>
      </c>
      <c r="D387" s="105" t="s">
        <v>48</v>
      </c>
      <c r="E387" s="107" t="s">
        <v>48</v>
      </c>
      <c r="F387" s="178"/>
      <c r="G387" s="77" t="s">
        <v>2071</v>
      </c>
      <c r="H387" s="81" t="s">
        <v>2928</v>
      </c>
      <c r="I387" s="34" t="s">
        <v>2929</v>
      </c>
      <c r="J387" s="155"/>
      <c r="K387" s="37">
        <v>44140.0</v>
      </c>
      <c r="L387" s="37">
        <v>44150.0</v>
      </c>
      <c r="M387" s="85" t="s">
        <v>2930</v>
      </c>
      <c r="N387" s="85" t="s">
        <v>2931</v>
      </c>
      <c r="O387" s="37">
        <v>43896.0</v>
      </c>
      <c r="P387" s="37">
        <v>44008.0</v>
      </c>
      <c r="Q387" s="201"/>
      <c r="R387" s="201"/>
      <c r="S387" s="224"/>
      <c r="T387" s="181"/>
      <c r="U387" s="182" t="s">
        <v>97</v>
      </c>
      <c r="V387" s="184"/>
      <c r="W387" s="184"/>
      <c r="X387" s="184"/>
      <c r="Y387" s="184"/>
      <c r="Z387" s="184"/>
      <c r="AA387" s="184"/>
      <c r="AB387" s="184"/>
      <c r="AC387" s="184"/>
      <c r="AD387" s="186"/>
      <c r="AE387" s="187"/>
      <c r="AF387" s="184"/>
      <c r="AG387" s="187"/>
      <c r="AH387" s="189"/>
      <c r="AI387" s="189"/>
      <c r="AJ387" s="189"/>
      <c r="AK387" s="189"/>
      <c r="AL387" s="189"/>
      <c r="AM387" s="189"/>
      <c r="AN387" s="187"/>
      <c r="AO387" s="187"/>
      <c r="AP387" s="184"/>
      <c r="AQ387" s="187"/>
      <c r="AR387" s="187"/>
      <c r="AS387" s="119"/>
    </row>
    <row r="388">
      <c r="A388" s="137">
        <v>280.0</v>
      </c>
      <c r="B388" s="150"/>
      <c r="C388" s="104" t="s">
        <v>2932</v>
      </c>
      <c r="D388" s="138" t="s">
        <v>56</v>
      </c>
      <c r="E388" s="156" t="s">
        <v>227</v>
      </c>
      <c r="F388" s="101"/>
      <c r="G388" s="40" t="s">
        <v>2933</v>
      </c>
      <c r="H388" s="55" t="s">
        <v>2934</v>
      </c>
      <c r="I388" s="69" t="s">
        <v>2935</v>
      </c>
      <c r="J388" s="155"/>
      <c r="K388" s="37">
        <v>43874.0</v>
      </c>
      <c r="L388" s="37">
        <v>43876.0</v>
      </c>
      <c r="M388" s="73" t="s">
        <v>2936</v>
      </c>
      <c r="N388" s="73" t="s">
        <v>159</v>
      </c>
      <c r="O388" s="113">
        <v>43784.0</v>
      </c>
      <c r="P388" s="37">
        <v>43784.0</v>
      </c>
      <c r="Q388" s="22"/>
      <c r="R388" s="22"/>
      <c r="S388" s="117"/>
      <c r="T388" s="157"/>
      <c r="U388" s="161"/>
      <c r="V388" s="161"/>
      <c r="W388" s="161"/>
      <c r="X388" s="161"/>
      <c r="Y388" s="161"/>
      <c r="Z388" s="161"/>
      <c r="AA388" s="218" t="s">
        <v>97</v>
      </c>
      <c r="AB388" s="161"/>
      <c r="AC388" s="161"/>
      <c r="AD388" s="161"/>
      <c r="AE388" s="161"/>
      <c r="AF388" s="161"/>
      <c r="AG388" s="161"/>
      <c r="AH388" s="163"/>
      <c r="AI388" s="163"/>
      <c r="AJ388" s="163"/>
      <c r="AK388" s="163"/>
      <c r="AL388" s="163"/>
      <c r="AM388" s="163"/>
      <c r="AN388" s="161"/>
      <c r="AO388" s="161"/>
      <c r="AP388" s="161"/>
      <c r="AQ388" s="161"/>
      <c r="AR388" s="161"/>
      <c r="AS388" s="119"/>
    </row>
    <row r="389">
      <c r="A389" s="101">
        <v>281.0</v>
      </c>
      <c r="B389" s="292"/>
      <c r="C389" s="104" t="s">
        <v>2937</v>
      </c>
      <c r="D389" s="105" t="s">
        <v>48</v>
      </c>
      <c r="E389" s="107" t="s">
        <v>48</v>
      </c>
      <c r="F389" s="190"/>
      <c r="G389" s="192" t="s">
        <v>2938</v>
      </c>
      <c r="H389" s="81" t="s">
        <v>2939</v>
      </c>
      <c r="I389" s="158" t="s">
        <v>2940</v>
      </c>
      <c r="J389" s="155"/>
      <c r="K389" s="37">
        <v>44112.0</v>
      </c>
      <c r="L389" s="37">
        <v>44122.0</v>
      </c>
      <c r="M389" s="85" t="s">
        <v>560</v>
      </c>
      <c r="N389" s="73" t="s">
        <v>561</v>
      </c>
      <c r="O389" s="113">
        <v>43870.0</v>
      </c>
      <c r="P389" s="37">
        <v>44017.0</v>
      </c>
      <c r="Q389" s="200" t="s">
        <v>222</v>
      </c>
      <c r="R389" s="200" t="s">
        <v>222</v>
      </c>
      <c r="S389" s="203" t="s">
        <v>97</v>
      </c>
      <c r="T389" s="157"/>
      <c r="U389" s="293" t="s">
        <v>97</v>
      </c>
      <c r="V389" s="194"/>
      <c r="W389" s="194"/>
      <c r="X389" s="194"/>
      <c r="Y389" s="194"/>
      <c r="Z389" s="194"/>
      <c r="AA389" s="194"/>
      <c r="AB389" s="194"/>
      <c r="AC389" s="194"/>
      <c r="AD389" s="186"/>
      <c r="AE389" s="187"/>
      <c r="AF389" s="194"/>
      <c r="AG389" s="187"/>
      <c r="AH389" s="189"/>
      <c r="AI389" s="189"/>
      <c r="AJ389" s="189"/>
      <c r="AK389" s="189"/>
      <c r="AL389" s="189"/>
      <c r="AM389" s="189"/>
      <c r="AN389" s="187"/>
      <c r="AO389" s="187"/>
      <c r="AP389" s="194"/>
      <c r="AQ389" s="187"/>
      <c r="AR389" s="187"/>
      <c r="AS389" s="119"/>
    </row>
    <row r="390">
      <c r="A390" s="137">
        <v>282.0</v>
      </c>
      <c r="B390" s="150"/>
      <c r="C390" s="104" t="s">
        <v>2941</v>
      </c>
      <c r="D390" s="105" t="s">
        <v>48</v>
      </c>
      <c r="E390" s="107" t="s">
        <v>48</v>
      </c>
      <c r="F390" s="101"/>
      <c r="G390" s="40" t="s">
        <v>2942</v>
      </c>
      <c r="H390" s="55" t="s">
        <v>2943</v>
      </c>
      <c r="I390" s="69" t="s">
        <v>2944</v>
      </c>
      <c r="J390" s="155"/>
      <c r="K390" s="37">
        <v>44098.0</v>
      </c>
      <c r="L390" s="37">
        <v>44101.0</v>
      </c>
      <c r="M390" s="73" t="s">
        <v>2945</v>
      </c>
      <c r="N390" s="73" t="s">
        <v>155</v>
      </c>
      <c r="O390" s="113">
        <v>43800.0</v>
      </c>
      <c r="P390" s="37">
        <v>43933.0</v>
      </c>
      <c r="Q390" s="22"/>
      <c r="R390" s="22"/>
      <c r="S390" s="193" t="s">
        <v>97</v>
      </c>
      <c r="T390" s="157"/>
      <c r="U390" s="176" t="s">
        <v>97</v>
      </c>
      <c r="V390" s="161"/>
      <c r="W390" s="161"/>
      <c r="X390" s="161"/>
      <c r="Y390" s="161"/>
      <c r="Z390" s="161"/>
      <c r="AA390" s="161"/>
      <c r="AB390" s="161"/>
      <c r="AC390" s="161"/>
      <c r="AD390" s="161"/>
      <c r="AE390" s="161"/>
      <c r="AF390" s="161"/>
      <c r="AG390" s="161"/>
      <c r="AH390" s="163"/>
      <c r="AI390" s="163"/>
      <c r="AJ390" s="163"/>
      <c r="AK390" s="163"/>
      <c r="AL390" s="163"/>
      <c r="AM390" s="163"/>
      <c r="AN390" s="161"/>
      <c r="AO390" s="161"/>
      <c r="AP390" s="161"/>
      <c r="AQ390" s="161"/>
      <c r="AR390" s="161"/>
      <c r="AS390" s="119"/>
    </row>
    <row r="391">
      <c r="A391" s="137">
        <v>283.0</v>
      </c>
      <c r="B391" s="150"/>
      <c r="C391" s="104" t="s">
        <v>2946</v>
      </c>
      <c r="D391" s="105" t="s">
        <v>52</v>
      </c>
      <c r="E391" s="107" t="s">
        <v>52</v>
      </c>
      <c r="F391" s="101"/>
      <c r="G391" s="40" t="s">
        <v>2947</v>
      </c>
      <c r="H391" s="55" t="s">
        <v>2948</v>
      </c>
      <c r="I391" s="69" t="s">
        <v>2949</v>
      </c>
      <c r="J391" s="155"/>
      <c r="K391" s="37">
        <v>43964.0</v>
      </c>
      <c r="L391" s="37">
        <v>43967.0</v>
      </c>
      <c r="M391" s="73" t="s">
        <v>2950</v>
      </c>
      <c r="N391" s="73" t="s">
        <v>379</v>
      </c>
      <c r="O391" s="113">
        <v>43861.0</v>
      </c>
      <c r="P391" s="37">
        <v>43920.0</v>
      </c>
      <c r="Q391" s="22"/>
      <c r="R391" s="22"/>
      <c r="S391" s="117"/>
      <c r="T391" s="157"/>
      <c r="U391" s="161"/>
      <c r="V391" s="161"/>
      <c r="W391" s="120" t="s">
        <v>97</v>
      </c>
      <c r="X391" s="161"/>
      <c r="Y391" s="161"/>
      <c r="Z391" s="161"/>
      <c r="AA391" s="161"/>
      <c r="AB391" s="161"/>
      <c r="AC391" s="161"/>
      <c r="AD391" s="161"/>
      <c r="AE391" s="161"/>
      <c r="AF391" s="161"/>
      <c r="AG391" s="161"/>
      <c r="AH391" s="163"/>
      <c r="AI391" s="163"/>
      <c r="AJ391" s="163"/>
      <c r="AK391" s="163"/>
      <c r="AL391" s="163"/>
      <c r="AM391" s="163"/>
      <c r="AN391" s="161"/>
      <c r="AO391" s="161"/>
      <c r="AP391" s="161"/>
      <c r="AQ391" s="161"/>
      <c r="AR391" s="161"/>
      <c r="AS391" s="119"/>
    </row>
    <row r="392">
      <c r="A392" s="101">
        <v>284.0</v>
      </c>
      <c r="B392" s="177">
        <v>10.0</v>
      </c>
      <c r="C392" s="104" t="s">
        <v>2951</v>
      </c>
      <c r="D392" s="105" t="s">
        <v>53</v>
      </c>
      <c r="E392" s="107" t="s">
        <v>53</v>
      </c>
      <c r="F392" s="178"/>
      <c r="G392" s="77" t="s">
        <v>2952</v>
      </c>
      <c r="H392" s="81" t="s">
        <v>2953</v>
      </c>
      <c r="I392" s="84" t="s">
        <v>2954</v>
      </c>
      <c r="J392" s="155"/>
      <c r="K392" s="22" t="s">
        <v>27</v>
      </c>
      <c r="L392" s="22" t="s">
        <v>27</v>
      </c>
      <c r="M392" s="85" t="s">
        <v>419</v>
      </c>
      <c r="N392" s="85" t="s">
        <v>29</v>
      </c>
      <c r="O392" s="22" t="s">
        <v>27</v>
      </c>
      <c r="P392" s="22" t="s">
        <v>27</v>
      </c>
      <c r="Q392" s="373"/>
      <c r="R392" s="373"/>
      <c r="S392" s="224"/>
      <c r="T392" s="181"/>
      <c r="U392" s="184"/>
      <c r="V392" s="184"/>
      <c r="W392" s="184"/>
      <c r="X392" s="671" t="s">
        <v>97</v>
      </c>
      <c r="Y392" s="184"/>
      <c r="Z392" s="184"/>
      <c r="AA392" s="184"/>
      <c r="AB392" s="184"/>
      <c r="AC392" s="184"/>
      <c r="AD392" s="186"/>
      <c r="AE392" s="187"/>
      <c r="AF392" s="184"/>
      <c r="AG392" s="187"/>
      <c r="AH392" s="189"/>
      <c r="AI392" s="189"/>
      <c r="AJ392" s="189"/>
      <c r="AK392" s="189"/>
      <c r="AL392" s="189"/>
      <c r="AM392" s="189"/>
      <c r="AN392" s="187"/>
      <c r="AO392" s="187"/>
      <c r="AP392" s="184"/>
      <c r="AQ392" s="187"/>
      <c r="AR392" s="187"/>
      <c r="AS392" s="119"/>
    </row>
    <row r="393">
      <c r="A393" s="137">
        <v>285.0</v>
      </c>
      <c r="B393" s="150"/>
      <c r="C393" s="104" t="s">
        <v>2955</v>
      </c>
      <c r="D393" s="105" t="s">
        <v>48</v>
      </c>
      <c r="E393" s="107" t="s">
        <v>48</v>
      </c>
      <c r="F393" s="101"/>
      <c r="G393" s="40" t="s">
        <v>239</v>
      </c>
      <c r="H393" s="55" t="s">
        <v>240</v>
      </c>
      <c r="I393" s="69" t="s">
        <v>241</v>
      </c>
      <c r="J393" s="20" t="s">
        <v>26</v>
      </c>
      <c r="K393" s="37">
        <v>43958.0</v>
      </c>
      <c r="L393" s="37">
        <v>43961.0</v>
      </c>
      <c r="M393" s="174" t="s">
        <v>242</v>
      </c>
      <c r="N393" s="73" t="s">
        <v>102</v>
      </c>
      <c r="O393" s="113">
        <v>43750.0</v>
      </c>
      <c r="P393" s="37">
        <v>43883.0</v>
      </c>
      <c r="Q393" s="22"/>
      <c r="R393" s="22"/>
      <c r="S393" s="117"/>
      <c r="T393" s="157"/>
      <c r="U393" s="176" t="s">
        <v>97</v>
      </c>
      <c r="V393" s="161"/>
      <c r="W393" s="161"/>
      <c r="X393" s="161"/>
      <c r="Y393" s="161"/>
      <c r="Z393" s="161"/>
      <c r="AA393" s="161"/>
      <c r="AB393" s="161"/>
      <c r="AC393" s="161"/>
      <c r="AD393" s="161"/>
      <c r="AE393" s="161"/>
      <c r="AF393" s="161"/>
      <c r="AG393" s="161"/>
      <c r="AH393" s="163"/>
      <c r="AI393" s="163"/>
      <c r="AJ393" s="163"/>
      <c r="AK393" s="163"/>
      <c r="AL393" s="163"/>
      <c r="AM393" s="163"/>
      <c r="AN393" s="161"/>
      <c r="AO393" s="161"/>
      <c r="AP393" s="161"/>
      <c r="AQ393" s="161"/>
      <c r="AR393" s="161"/>
      <c r="AS393" s="119"/>
    </row>
    <row r="394">
      <c r="A394" s="101">
        <v>1026.0</v>
      </c>
      <c r="B394" s="173"/>
      <c r="C394" s="668" t="s">
        <v>2956</v>
      </c>
      <c r="D394" s="622" t="s">
        <v>48</v>
      </c>
      <c r="E394" s="622" t="s">
        <v>48</v>
      </c>
      <c r="F394" s="254"/>
      <c r="G394" s="256" t="s">
        <v>1911</v>
      </c>
      <c r="H394" s="258" t="s">
        <v>2957</v>
      </c>
      <c r="I394" s="259" t="s">
        <v>2958</v>
      </c>
      <c r="J394" s="155"/>
      <c r="K394" s="37">
        <v>44113.0</v>
      </c>
      <c r="L394" s="37">
        <v>44115.0</v>
      </c>
      <c r="M394" s="254" t="s">
        <v>2959</v>
      </c>
      <c r="N394" s="254" t="s">
        <v>561</v>
      </c>
      <c r="O394" s="37">
        <v>43890.0</v>
      </c>
      <c r="P394" s="37">
        <v>44012.0</v>
      </c>
      <c r="Q394" s="22"/>
      <c r="R394" s="22"/>
      <c r="S394" s="117"/>
      <c r="T394" s="236"/>
      <c r="U394" s="176" t="s">
        <v>97</v>
      </c>
      <c r="V394" s="161"/>
      <c r="W394" s="161"/>
      <c r="X394" s="161"/>
      <c r="Y394" s="161"/>
      <c r="Z394" s="161"/>
      <c r="AA394" s="161"/>
      <c r="AB394" s="161"/>
      <c r="AC394" s="161"/>
      <c r="AD394" s="161"/>
      <c r="AE394" s="161"/>
      <c r="AF394" s="161"/>
      <c r="AG394" s="237"/>
      <c r="AH394" s="163"/>
      <c r="AI394" s="163"/>
      <c r="AJ394" s="163"/>
      <c r="AK394" s="163"/>
      <c r="AL394" s="163"/>
      <c r="AM394" s="163"/>
      <c r="AN394" s="161"/>
      <c r="AO394" s="161"/>
      <c r="AP394" s="161"/>
      <c r="AQ394" s="161"/>
      <c r="AR394" s="161"/>
      <c r="AS394" s="119"/>
    </row>
    <row r="395">
      <c r="A395" s="137">
        <v>286.0</v>
      </c>
      <c r="B395" s="150">
        <v>5.0</v>
      </c>
      <c r="C395" s="104" t="s">
        <v>2960</v>
      </c>
      <c r="D395" s="105" t="s">
        <v>48</v>
      </c>
      <c r="E395" s="107" t="s">
        <v>48</v>
      </c>
      <c r="F395" s="101"/>
      <c r="G395" s="40" t="s">
        <v>2961</v>
      </c>
      <c r="H395" s="55" t="s">
        <v>2962</v>
      </c>
      <c r="I395" s="69" t="s">
        <v>2963</v>
      </c>
      <c r="J395" s="155"/>
      <c r="K395" s="22" t="s">
        <v>27</v>
      </c>
      <c r="L395" s="22" t="s">
        <v>27</v>
      </c>
      <c r="M395" s="73" t="s">
        <v>2964</v>
      </c>
      <c r="N395" s="73" t="s">
        <v>412</v>
      </c>
      <c r="O395" s="22" t="s">
        <v>27</v>
      </c>
      <c r="P395" s="22" t="s">
        <v>27</v>
      </c>
      <c r="Q395" s="22"/>
      <c r="R395" s="22"/>
      <c r="S395" s="117"/>
      <c r="T395" s="157"/>
      <c r="U395" s="176" t="s">
        <v>97</v>
      </c>
      <c r="V395" s="161"/>
      <c r="W395" s="161"/>
      <c r="X395" s="161"/>
      <c r="Y395" s="161"/>
      <c r="Z395" s="161"/>
      <c r="AA395" s="161"/>
      <c r="AB395" s="161"/>
      <c r="AC395" s="161"/>
      <c r="AD395" s="161"/>
      <c r="AE395" s="161"/>
      <c r="AF395" s="161"/>
      <c r="AG395" s="161"/>
      <c r="AH395" s="163"/>
      <c r="AI395" s="163"/>
      <c r="AJ395" s="163"/>
      <c r="AK395" s="163"/>
      <c r="AL395" s="163"/>
      <c r="AM395" s="163"/>
      <c r="AN395" s="161"/>
      <c r="AO395" s="161"/>
      <c r="AP395" s="161"/>
      <c r="AQ395" s="161"/>
      <c r="AR395" s="161"/>
      <c r="AS395" s="119"/>
    </row>
    <row r="396">
      <c r="A396" s="137">
        <v>287.0</v>
      </c>
      <c r="B396" s="292"/>
      <c r="C396" s="104" t="s">
        <v>2965</v>
      </c>
      <c r="D396" s="105" t="s">
        <v>52</v>
      </c>
      <c r="E396" s="107" t="s">
        <v>52</v>
      </c>
      <c r="F396" s="190"/>
      <c r="G396" s="192" t="s">
        <v>2966</v>
      </c>
      <c r="H396" s="81" t="s">
        <v>2967</v>
      </c>
      <c r="I396" s="158" t="s">
        <v>2968</v>
      </c>
      <c r="J396" s="155"/>
      <c r="K396" s="37">
        <v>44056.0</v>
      </c>
      <c r="L396" s="37">
        <v>44065.0</v>
      </c>
      <c r="M396" s="73" t="s">
        <v>221</v>
      </c>
      <c r="N396" s="73" t="s">
        <v>72</v>
      </c>
      <c r="O396" s="113">
        <v>43868.0</v>
      </c>
      <c r="P396" s="37">
        <v>43980.0</v>
      </c>
      <c r="Q396" s="200" t="s">
        <v>222</v>
      </c>
      <c r="R396" s="22"/>
      <c r="S396" s="193" t="s">
        <v>97</v>
      </c>
      <c r="T396" s="157"/>
      <c r="U396" s="194"/>
      <c r="V396" s="194"/>
      <c r="W396" s="672" t="s">
        <v>97</v>
      </c>
      <c r="X396" s="194"/>
      <c r="Y396" s="194"/>
      <c r="Z396" s="194"/>
      <c r="AA396" s="194"/>
      <c r="AB396" s="194"/>
      <c r="AC396" s="194"/>
      <c r="AD396" s="186"/>
      <c r="AE396" s="187"/>
      <c r="AF396" s="194"/>
      <c r="AG396" s="187"/>
      <c r="AH396" s="189"/>
      <c r="AI396" s="189"/>
      <c r="AJ396" s="189"/>
      <c r="AK396" s="189"/>
      <c r="AL396" s="189"/>
      <c r="AM396" s="189"/>
      <c r="AN396" s="187"/>
      <c r="AO396" s="187"/>
      <c r="AP396" s="194"/>
      <c r="AQ396" s="187"/>
      <c r="AR396" s="187"/>
      <c r="AS396" s="119"/>
    </row>
    <row r="397">
      <c r="A397" s="137">
        <v>955.0</v>
      </c>
      <c r="B397" s="122">
        <v>0.0</v>
      </c>
      <c r="C397" s="123" t="s">
        <v>2969</v>
      </c>
      <c r="D397" s="399" t="s">
        <v>56</v>
      </c>
      <c r="E397" s="400" t="s">
        <v>227</v>
      </c>
      <c r="F397" s="127"/>
      <c r="G397" s="128" t="s">
        <v>2970</v>
      </c>
      <c r="H397" s="89" t="s">
        <v>2971</v>
      </c>
      <c r="I397" s="91" t="str">
        <f>HYPERLINK("https://filmfreeway.com/HollywoodBlackFilmFestival","https://filmfreeway.com/HollywoodBlackFilmFestival")</f>
        <v>https://filmfreeway.com/HollywoodBlackFilmFestival</v>
      </c>
      <c r="J397" s="155"/>
      <c r="K397" s="22" t="s">
        <v>27</v>
      </c>
      <c r="L397" s="22" t="s">
        <v>27</v>
      </c>
      <c r="M397" s="130" t="s">
        <v>2972</v>
      </c>
      <c r="N397" s="130" t="s">
        <v>72</v>
      </c>
      <c r="O397" s="22" t="s">
        <v>27</v>
      </c>
      <c r="P397" s="22" t="s">
        <v>27</v>
      </c>
      <c r="Q397" s="131"/>
      <c r="R397" s="132"/>
      <c r="S397" s="132"/>
      <c r="T397" s="118"/>
      <c r="U397" s="119"/>
      <c r="V397" s="119"/>
      <c r="W397" s="119"/>
      <c r="X397" s="119"/>
      <c r="Y397" s="134"/>
      <c r="Z397" s="119"/>
      <c r="AA397" s="218" t="s">
        <v>97</v>
      </c>
      <c r="AB397" s="119"/>
      <c r="AC397" s="119"/>
      <c r="AD397" s="119"/>
      <c r="AE397" s="119"/>
      <c r="AF397" s="119"/>
      <c r="AG397" s="119"/>
      <c r="AH397" s="121"/>
      <c r="AI397" s="121"/>
      <c r="AJ397" s="121"/>
      <c r="AK397" s="121"/>
      <c r="AL397" s="121"/>
      <c r="AM397" s="135"/>
      <c r="AN397" s="119"/>
      <c r="AO397" s="119"/>
      <c r="AP397" s="119"/>
      <c r="AQ397" s="119"/>
      <c r="AR397" s="119"/>
      <c r="AS397" s="119"/>
    </row>
    <row r="398">
      <c r="A398" s="101">
        <v>288.0</v>
      </c>
      <c r="B398" s="150"/>
      <c r="C398" s="104" t="s">
        <v>2965</v>
      </c>
      <c r="D398" s="105" t="s">
        <v>69</v>
      </c>
      <c r="E398" s="107" t="s">
        <v>834</v>
      </c>
      <c r="F398" s="101"/>
      <c r="G398" s="40" t="s">
        <v>117</v>
      </c>
      <c r="H398" s="55" t="s">
        <v>118</v>
      </c>
      <c r="I398" s="69" t="s">
        <v>120</v>
      </c>
      <c r="J398" s="20" t="s">
        <v>121</v>
      </c>
      <c r="K398" s="37">
        <v>43944.0</v>
      </c>
      <c r="L398" s="37">
        <v>43947.0</v>
      </c>
      <c r="M398" s="73" t="s">
        <v>122</v>
      </c>
      <c r="N398" s="73" t="s">
        <v>72</v>
      </c>
      <c r="O398" s="113">
        <v>43777.0</v>
      </c>
      <c r="P398" s="37">
        <v>43896.0</v>
      </c>
      <c r="Q398" s="22"/>
      <c r="R398" s="22"/>
      <c r="S398" s="117"/>
      <c r="T398" s="157"/>
      <c r="U398" s="161"/>
      <c r="V398" s="161"/>
      <c r="W398" s="120" t="s">
        <v>97</v>
      </c>
      <c r="X398" s="161"/>
      <c r="Y398" s="161"/>
      <c r="Z398" s="161"/>
      <c r="AA398" s="161"/>
      <c r="AB398" s="161"/>
      <c r="AC398" s="161"/>
      <c r="AD398" s="161"/>
      <c r="AE398" s="161"/>
      <c r="AF398" s="161"/>
      <c r="AG398" s="161"/>
      <c r="AH398" s="163"/>
      <c r="AI398" s="163"/>
      <c r="AJ398" s="163"/>
      <c r="AK398" s="332" t="s">
        <v>97</v>
      </c>
      <c r="AL398" s="163"/>
      <c r="AM398" s="163"/>
      <c r="AN398" s="161"/>
      <c r="AO398" s="161"/>
      <c r="AP398" s="161"/>
      <c r="AQ398" s="161"/>
      <c r="AR398" s="161"/>
      <c r="AS398" s="119"/>
    </row>
    <row r="399">
      <c r="A399" s="137">
        <v>289.0</v>
      </c>
      <c r="B399" s="177">
        <v>10.0</v>
      </c>
      <c r="C399" s="104" t="s">
        <v>2973</v>
      </c>
      <c r="D399" s="105" t="s">
        <v>48</v>
      </c>
      <c r="E399" s="107" t="s">
        <v>48</v>
      </c>
      <c r="F399" s="178"/>
      <c r="G399" s="77" t="s">
        <v>2974</v>
      </c>
      <c r="H399" s="81" t="s">
        <v>2975</v>
      </c>
      <c r="I399" s="84" t="s">
        <v>2976</v>
      </c>
      <c r="J399" s="155"/>
      <c r="K399" s="22" t="s">
        <v>27</v>
      </c>
      <c r="L399" s="22" t="s">
        <v>27</v>
      </c>
      <c r="M399" s="85" t="s">
        <v>221</v>
      </c>
      <c r="N399" s="85" t="s">
        <v>72</v>
      </c>
      <c r="O399" s="22" t="s">
        <v>27</v>
      </c>
      <c r="P399" s="22" t="s">
        <v>27</v>
      </c>
      <c r="Q399" s="373"/>
      <c r="R399" s="373"/>
      <c r="S399" s="224"/>
      <c r="T399" s="181"/>
      <c r="U399" s="182" t="s">
        <v>97</v>
      </c>
      <c r="V399" s="184"/>
      <c r="W399" s="184"/>
      <c r="X399" s="184"/>
      <c r="Y399" s="184"/>
      <c r="Z399" s="184"/>
      <c r="AA399" s="184"/>
      <c r="AB399" s="184"/>
      <c r="AC399" s="184"/>
      <c r="AD399" s="186"/>
      <c r="AE399" s="187"/>
      <c r="AF399" s="184"/>
      <c r="AG399" s="187"/>
      <c r="AH399" s="189"/>
      <c r="AI399" s="189"/>
      <c r="AJ399" s="189"/>
      <c r="AK399" s="189"/>
      <c r="AL399" s="189"/>
      <c r="AM399" s="189"/>
      <c r="AN399" s="187"/>
      <c r="AO399" s="187"/>
      <c r="AP399" s="184"/>
      <c r="AQ399" s="187"/>
      <c r="AR399" s="187"/>
      <c r="AS399" s="119"/>
    </row>
    <row r="400">
      <c r="A400" s="137">
        <v>290.0</v>
      </c>
      <c r="B400" s="150">
        <v>8.0</v>
      </c>
      <c r="C400" s="104" t="s">
        <v>2977</v>
      </c>
      <c r="D400" s="138" t="s">
        <v>63</v>
      </c>
      <c r="E400" s="107" t="s">
        <v>1297</v>
      </c>
      <c r="F400" s="101"/>
      <c r="G400" s="40" t="s">
        <v>2978</v>
      </c>
      <c r="H400" s="55" t="s">
        <v>2979</v>
      </c>
      <c r="I400" s="69" t="s">
        <v>2980</v>
      </c>
      <c r="J400" s="155"/>
      <c r="K400" s="37">
        <v>44050.0</v>
      </c>
      <c r="L400" s="37">
        <v>44051.0</v>
      </c>
      <c r="M400" s="73" t="s">
        <v>221</v>
      </c>
      <c r="N400" s="73" t="s">
        <v>72</v>
      </c>
      <c r="O400" s="37">
        <v>43876.0</v>
      </c>
      <c r="P400" s="37">
        <v>44036.0</v>
      </c>
      <c r="Q400" s="22"/>
      <c r="R400" s="22"/>
      <c r="S400" s="117"/>
      <c r="T400" s="157"/>
      <c r="U400" s="161"/>
      <c r="V400" s="161"/>
      <c r="W400" s="161"/>
      <c r="X400" s="161"/>
      <c r="Y400" s="161"/>
      <c r="Z400" s="161"/>
      <c r="AA400" s="161"/>
      <c r="AB400" s="161"/>
      <c r="AC400" s="161"/>
      <c r="AD400" s="161"/>
      <c r="AE400" s="161"/>
      <c r="AF400" s="161"/>
      <c r="AG400" s="275" t="s">
        <v>97</v>
      </c>
      <c r="AH400" s="163"/>
      <c r="AI400" s="163"/>
      <c r="AJ400" s="163"/>
      <c r="AK400" s="163"/>
      <c r="AL400" s="163"/>
      <c r="AM400" s="163"/>
      <c r="AN400" s="161"/>
      <c r="AO400" s="161"/>
      <c r="AP400" s="161"/>
      <c r="AQ400" s="161"/>
      <c r="AR400" s="161"/>
      <c r="AS400" s="119"/>
    </row>
    <row r="401">
      <c r="A401" s="101">
        <v>291.0</v>
      </c>
      <c r="B401" s="150"/>
      <c r="C401" s="104" t="s">
        <v>2981</v>
      </c>
      <c r="D401" s="105" t="s">
        <v>48</v>
      </c>
      <c r="E401" s="107" t="s">
        <v>48</v>
      </c>
      <c r="F401" s="101"/>
      <c r="G401" s="40" t="s">
        <v>2982</v>
      </c>
      <c r="H401" s="55" t="s">
        <v>2983</v>
      </c>
      <c r="I401" s="175" t="s">
        <v>2984</v>
      </c>
      <c r="J401" s="155"/>
      <c r="K401" s="37">
        <v>43873.0</v>
      </c>
      <c r="L401" s="37">
        <v>43885.0</v>
      </c>
      <c r="M401" s="73" t="s">
        <v>2891</v>
      </c>
      <c r="N401" s="73" t="s">
        <v>72</v>
      </c>
      <c r="O401" s="113">
        <v>43542.0</v>
      </c>
      <c r="P401" s="37">
        <v>43834.0</v>
      </c>
      <c r="Q401" s="22"/>
      <c r="R401" s="22"/>
      <c r="S401" s="117"/>
      <c r="T401" s="157"/>
      <c r="U401" s="176" t="s">
        <v>97</v>
      </c>
      <c r="V401" s="161"/>
      <c r="W401" s="161"/>
      <c r="X401" s="161"/>
      <c r="Y401" s="161"/>
      <c r="Z401" s="161"/>
      <c r="AA401" s="161"/>
      <c r="AB401" s="161"/>
      <c r="AC401" s="161"/>
      <c r="AD401" s="161"/>
      <c r="AE401" s="161"/>
      <c r="AF401" s="161"/>
      <c r="AG401" s="161"/>
      <c r="AH401" s="163"/>
      <c r="AI401" s="163"/>
      <c r="AJ401" s="163"/>
      <c r="AK401" s="163"/>
      <c r="AL401" s="163"/>
      <c r="AM401" s="163"/>
      <c r="AN401" s="161"/>
      <c r="AO401" s="161"/>
      <c r="AP401" s="161"/>
      <c r="AQ401" s="161"/>
      <c r="AR401" s="161"/>
      <c r="AS401" s="119"/>
    </row>
    <row r="402">
      <c r="A402" s="101">
        <v>756.0</v>
      </c>
      <c r="B402" s="103"/>
      <c r="C402" s="104" t="s">
        <v>2985</v>
      </c>
      <c r="D402" s="105" t="s">
        <v>52</v>
      </c>
      <c r="E402" s="107" t="s">
        <v>52</v>
      </c>
      <c r="F402" s="109"/>
      <c r="G402" s="10" t="s">
        <v>2986</v>
      </c>
      <c r="H402" s="17" t="s">
        <v>2987</v>
      </c>
      <c r="I402" s="111" t="s">
        <v>2988</v>
      </c>
      <c r="J402" s="112"/>
      <c r="K402" s="113">
        <v>43841.0</v>
      </c>
      <c r="L402" s="113">
        <v>43841.0</v>
      </c>
      <c r="M402" s="24" t="s">
        <v>221</v>
      </c>
      <c r="N402" s="24" t="s">
        <v>72</v>
      </c>
      <c r="O402" s="114">
        <v>43646.0</v>
      </c>
      <c r="P402" s="114">
        <v>43819.0</v>
      </c>
      <c r="Q402" s="115"/>
      <c r="R402" s="115"/>
      <c r="S402" s="117"/>
      <c r="T402" s="118"/>
      <c r="U402" s="119"/>
      <c r="V402" s="119"/>
      <c r="W402" s="120" t="s">
        <v>97</v>
      </c>
      <c r="X402" s="119"/>
      <c r="Y402" s="119"/>
      <c r="Z402" s="119"/>
      <c r="AA402" s="119"/>
      <c r="AB402" s="119"/>
      <c r="AC402" s="119"/>
      <c r="AD402" s="119"/>
      <c r="AE402" s="119"/>
      <c r="AF402" s="119"/>
      <c r="AG402" s="119"/>
      <c r="AH402" s="121"/>
      <c r="AI402" s="121"/>
      <c r="AJ402" s="121"/>
      <c r="AK402" s="121"/>
      <c r="AL402" s="121"/>
      <c r="AM402" s="121"/>
      <c r="AN402" s="119"/>
      <c r="AO402" s="119"/>
      <c r="AP402" s="119"/>
      <c r="AQ402" s="119"/>
      <c r="AR402" s="119"/>
      <c r="AS402" s="119"/>
    </row>
    <row r="403">
      <c r="A403" s="137">
        <v>952.0</v>
      </c>
      <c r="B403" s="122">
        <v>8.0</v>
      </c>
      <c r="C403" s="123" t="s">
        <v>2989</v>
      </c>
      <c r="D403" s="357" t="s">
        <v>54</v>
      </c>
      <c r="E403" s="358" t="s">
        <v>54</v>
      </c>
      <c r="F403" s="127"/>
      <c r="G403" s="128" t="s">
        <v>2990</v>
      </c>
      <c r="H403" s="89" t="s">
        <v>2991</v>
      </c>
      <c r="I403" s="91" t="str">
        <f>HYPERLINK("https://filmfreeway.com/HonoluluuRainbowFilmFestival","https://filmfreeway.com/HonoluluuRainbowFilmFestival")</f>
        <v>https://filmfreeway.com/HonoluluuRainbowFilmFestival</v>
      </c>
      <c r="J403" s="155"/>
      <c r="K403" s="37">
        <v>44056.0</v>
      </c>
      <c r="L403" s="37">
        <v>44059.0</v>
      </c>
      <c r="M403" s="130" t="s">
        <v>2930</v>
      </c>
      <c r="N403" s="130" t="s">
        <v>2931</v>
      </c>
      <c r="O403" s="37">
        <v>43866.0</v>
      </c>
      <c r="P403" s="37">
        <v>43952.0</v>
      </c>
      <c r="Q403" s="131"/>
      <c r="R403" s="132"/>
      <c r="S403" s="132"/>
      <c r="T403" s="118"/>
      <c r="U403" s="119"/>
      <c r="V403" s="119"/>
      <c r="W403" s="119"/>
      <c r="X403" s="119"/>
      <c r="Y403" s="374" t="s">
        <v>97</v>
      </c>
      <c r="Z403" s="119"/>
      <c r="AA403" s="119"/>
      <c r="AB403" s="119"/>
      <c r="AC403" s="119"/>
      <c r="AD403" s="119"/>
      <c r="AE403" s="119"/>
      <c r="AF403" s="119"/>
      <c r="AG403" s="119"/>
      <c r="AH403" s="121"/>
      <c r="AI403" s="121"/>
      <c r="AJ403" s="121"/>
      <c r="AK403" s="121"/>
      <c r="AL403" s="121"/>
      <c r="AM403" s="135"/>
      <c r="AN403" s="119"/>
      <c r="AO403" s="119"/>
      <c r="AP403" s="119"/>
      <c r="AQ403" s="119"/>
      <c r="AR403" s="119"/>
      <c r="AS403" s="119"/>
    </row>
    <row r="404">
      <c r="A404" s="137">
        <v>292.0</v>
      </c>
      <c r="B404" s="150"/>
      <c r="C404" s="104" t="s">
        <v>2992</v>
      </c>
      <c r="D404" s="138" t="s">
        <v>63</v>
      </c>
      <c r="E404" s="107" t="s">
        <v>1297</v>
      </c>
      <c r="F404" s="101"/>
      <c r="G404" s="40" t="s">
        <v>2993</v>
      </c>
      <c r="H404" s="55" t="s">
        <v>2994</v>
      </c>
      <c r="I404" s="69" t="s">
        <v>2995</v>
      </c>
      <c r="J404" s="155"/>
      <c r="K404" s="37">
        <v>44071.0</v>
      </c>
      <c r="L404" s="37">
        <v>44073.0</v>
      </c>
      <c r="M404" s="73" t="s">
        <v>684</v>
      </c>
      <c r="N404" s="73" t="s">
        <v>72</v>
      </c>
      <c r="O404" s="113">
        <v>43768.0</v>
      </c>
      <c r="P404" s="37">
        <v>43979.0</v>
      </c>
      <c r="Q404" s="22"/>
      <c r="R404" s="22"/>
      <c r="S404" s="193" t="s">
        <v>97</v>
      </c>
      <c r="T404" s="157"/>
      <c r="U404" s="161"/>
      <c r="V404" s="161"/>
      <c r="W404" s="161"/>
      <c r="X404" s="161"/>
      <c r="Y404" s="161"/>
      <c r="Z404" s="161"/>
      <c r="AA404" s="161"/>
      <c r="AB404" s="161"/>
      <c r="AC404" s="161"/>
      <c r="AD404" s="161"/>
      <c r="AE404" s="161"/>
      <c r="AF404" s="161"/>
      <c r="AG404" s="275" t="s">
        <v>97</v>
      </c>
      <c r="AH404" s="163"/>
      <c r="AI404" s="163"/>
      <c r="AJ404" s="163"/>
      <c r="AK404" s="163"/>
      <c r="AL404" s="163"/>
      <c r="AM404" s="163"/>
      <c r="AN404" s="161"/>
      <c r="AO404" s="161"/>
      <c r="AP404" s="161"/>
      <c r="AQ404" s="161"/>
      <c r="AR404" s="161"/>
      <c r="AS404" s="119"/>
    </row>
    <row r="405">
      <c r="A405" s="137">
        <v>293.0</v>
      </c>
      <c r="B405" s="150"/>
      <c r="C405" s="104" t="s">
        <v>2996</v>
      </c>
      <c r="D405" s="105" t="s">
        <v>64</v>
      </c>
      <c r="E405" s="107" t="s">
        <v>64</v>
      </c>
      <c r="F405" s="101"/>
      <c r="G405" s="40" t="s">
        <v>2997</v>
      </c>
      <c r="H405" s="55" t="s">
        <v>2998</v>
      </c>
      <c r="I405" s="69" t="s">
        <v>2999</v>
      </c>
      <c r="J405" s="155"/>
      <c r="K405" s="37">
        <v>44127.0</v>
      </c>
      <c r="L405" s="37">
        <v>44129.0</v>
      </c>
      <c r="M405" s="73" t="s">
        <v>221</v>
      </c>
      <c r="N405" s="73" t="s">
        <v>72</v>
      </c>
      <c r="O405" s="113">
        <v>43814.0</v>
      </c>
      <c r="P405" s="37">
        <v>44048.0</v>
      </c>
      <c r="Q405" s="22"/>
      <c r="R405" s="22"/>
      <c r="S405" s="117"/>
      <c r="T405" s="157"/>
      <c r="U405" s="161"/>
      <c r="V405" s="161"/>
      <c r="W405" s="161"/>
      <c r="X405" s="161"/>
      <c r="Y405" s="161"/>
      <c r="Z405" s="161"/>
      <c r="AA405" s="161"/>
      <c r="AB405" s="161"/>
      <c r="AC405" s="161"/>
      <c r="AD405" s="161"/>
      <c r="AE405" s="161"/>
      <c r="AF405" s="161"/>
      <c r="AG405" s="161"/>
      <c r="AH405" s="246" t="s">
        <v>97</v>
      </c>
      <c r="AI405" s="163"/>
      <c r="AJ405" s="163"/>
      <c r="AK405" s="163"/>
      <c r="AL405" s="163"/>
      <c r="AM405" s="163"/>
      <c r="AN405" s="161"/>
      <c r="AO405" s="161"/>
      <c r="AP405" s="161"/>
      <c r="AQ405" s="161"/>
      <c r="AR405" s="161"/>
      <c r="AS405" s="119"/>
    </row>
    <row r="406">
      <c r="A406" s="101">
        <v>294.0</v>
      </c>
      <c r="B406" s="150">
        <v>10.0</v>
      </c>
      <c r="C406" s="104" t="s">
        <v>3000</v>
      </c>
      <c r="D406" s="105" t="s">
        <v>64</v>
      </c>
      <c r="E406" s="107" t="s">
        <v>64</v>
      </c>
      <c r="F406" s="101"/>
      <c r="G406" s="40" t="s">
        <v>3001</v>
      </c>
      <c r="H406" s="55" t="s">
        <v>3002</v>
      </c>
      <c r="I406" s="69" t="s">
        <v>3003</v>
      </c>
      <c r="J406" s="155"/>
      <c r="K406" s="22" t="s">
        <v>27</v>
      </c>
      <c r="L406" s="22" t="s">
        <v>27</v>
      </c>
      <c r="M406" s="174" t="s">
        <v>302</v>
      </c>
      <c r="N406" s="73" t="s">
        <v>303</v>
      </c>
      <c r="O406" s="22" t="s">
        <v>27</v>
      </c>
      <c r="P406" s="22" t="s">
        <v>27</v>
      </c>
      <c r="Q406" s="22"/>
      <c r="R406" s="22"/>
      <c r="S406" s="117"/>
      <c r="T406" s="157"/>
      <c r="U406" s="161"/>
      <c r="V406" s="161"/>
      <c r="W406" s="161"/>
      <c r="X406" s="161"/>
      <c r="Y406" s="161"/>
      <c r="Z406" s="161"/>
      <c r="AA406" s="161"/>
      <c r="AB406" s="161"/>
      <c r="AC406" s="161"/>
      <c r="AD406" s="161"/>
      <c r="AE406" s="161"/>
      <c r="AF406" s="161"/>
      <c r="AG406" s="161"/>
      <c r="AH406" s="246" t="s">
        <v>97</v>
      </c>
      <c r="AI406" s="163"/>
      <c r="AJ406" s="163"/>
      <c r="AK406" s="163"/>
      <c r="AL406" s="163"/>
      <c r="AM406" s="163"/>
      <c r="AN406" s="161"/>
      <c r="AO406" s="161"/>
      <c r="AP406" s="161"/>
      <c r="AQ406" s="161"/>
      <c r="AR406" s="161"/>
      <c r="AS406" s="119"/>
    </row>
    <row r="407">
      <c r="A407" s="137">
        <v>295.0</v>
      </c>
      <c r="B407" s="150"/>
      <c r="C407" s="104" t="s">
        <v>3004</v>
      </c>
      <c r="D407" s="105" t="s">
        <v>64</v>
      </c>
      <c r="E407" s="107" t="s">
        <v>64</v>
      </c>
      <c r="F407" s="101"/>
      <c r="G407" s="40" t="s">
        <v>615</v>
      </c>
      <c r="H407" s="55" t="s">
        <v>616</v>
      </c>
      <c r="I407" s="69" t="s">
        <v>619</v>
      </c>
      <c r="J407" s="20" t="s">
        <v>620</v>
      </c>
      <c r="K407" s="37">
        <v>43910.0</v>
      </c>
      <c r="L407" s="37">
        <v>43912.0</v>
      </c>
      <c r="M407" s="73" t="s">
        <v>621</v>
      </c>
      <c r="N407" s="73" t="s">
        <v>622</v>
      </c>
      <c r="O407" s="113">
        <v>43769.0</v>
      </c>
      <c r="P407" s="37">
        <v>43850.0</v>
      </c>
      <c r="Q407" s="22"/>
      <c r="R407" s="22"/>
      <c r="S407" s="117"/>
      <c r="T407" s="157"/>
      <c r="U407" s="161"/>
      <c r="V407" s="161"/>
      <c r="W407" s="161"/>
      <c r="X407" s="161"/>
      <c r="Y407" s="161"/>
      <c r="Z407" s="161"/>
      <c r="AA407" s="161"/>
      <c r="AB407" s="161"/>
      <c r="AC407" s="161"/>
      <c r="AD407" s="161"/>
      <c r="AE407" s="161"/>
      <c r="AF407" s="161"/>
      <c r="AG407" s="161"/>
      <c r="AH407" s="246" t="s">
        <v>97</v>
      </c>
      <c r="AI407" s="163"/>
      <c r="AJ407" s="163"/>
      <c r="AK407" s="163"/>
      <c r="AL407" s="163"/>
      <c r="AM407" s="163"/>
      <c r="AN407" s="161"/>
      <c r="AO407" s="161"/>
      <c r="AP407" s="161"/>
      <c r="AQ407" s="161"/>
      <c r="AR407" s="161"/>
      <c r="AS407" s="119"/>
    </row>
    <row r="408">
      <c r="A408" s="137">
        <v>296.0</v>
      </c>
      <c r="B408" s="177">
        <v>10.0</v>
      </c>
      <c r="C408" s="104" t="s">
        <v>3005</v>
      </c>
      <c r="D408" s="105" t="s">
        <v>51</v>
      </c>
      <c r="E408" s="107" t="s">
        <v>51</v>
      </c>
      <c r="F408" s="178"/>
      <c r="G408" s="77" t="s">
        <v>3006</v>
      </c>
      <c r="H408" s="81" t="s">
        <v>3007</v>
      </c>
      <c r="I408" s="84" t="s">
        <v>3008</v>
      </c>
      <c r="J408" s="155"/>
      <c r="K408" s="37">
        <v>44113.0</v>
      </c>
      <c r="L408" s="37">
        <v>44121.0</v>
      </c>
      <c r="M408" s="85" t="s">
        <v>625</v>
      </c>
      <c r="N408" s="85" t="s">
        <v>626</v>
      </c>
      <c r="O408" s="37">
        <v>43873.0</v>
      </c>
      <c r="P408" s="37">
        <v>44013.0</v>
      </c>
      <c r="Q408" s="22"/>
      <c r="R408" s="200" t="s">
        <v>222</v>
      </c>
      <c r="S408" s="203" t="s">
        <v>97</v>
      </c>
      <c r="T408" s="181"/>
      <c r="U408" s="184"/>
      <c r="V408" s="536" t="s">
        <v>97</v>
      </c>
      <c r="W408" s="184"/>
      <c r="X408" s="184"/>
      <c r="Y408" s="184"/>
      <c r="Z408" s="184"/>
      <c r="AA408" s="184"/>
      <c r="AB408" s="184"/>
      <c r="AC408" s="184"/>
      <c r="AD408" s="186"/>
      <c r="AE408" s="187"/>
      <c r="AF408" s="184"/>
      <c r="AG408" s="187"/>
      <c r="AH408" s="189"/>
      <c r="AI408" s="189"/>
      <c r="AJ408" s="189"/>
      <c r="AK408" s="189"/>
      <c r="AL408" s="189"/>
      <c r="AM408" s="189"/>
      <c r="AN408" s="187"/>
      <c r="AO408" s="187"/>
      <c r="AP408" s="184"/>
      <c r="AQ408" s="187"/>
      <c r="AR408" s="187"/>
      <c r="AS408" s="119"/>
    </row>
    <row r="409">
      <c r="A409" s="101">
        <v>297.0</v>
      </c>
      <c r="B409" s="150"/>
      <c r="C409" s="104" t="s">
        <v>3009</v>
      </c>
      <c r="D409" s="105" t="s">
        <v>64</v>
      </c>
      <c r="E409" s="107" t="s">
        <v>64</v>
      </c>
      <c r="F409" s="101"/>
      <c r="G409" s="40" t="s">
        <v>3010</v>
      </c>
      <c r="H409" s="55" t="s">
        <v>3011</v>
      </c>
      <c r="I409" s="69" t="s">
        <v>3012</v>
      </c>
      <c r="J409" s="155"/>
      <c r="K409" s="37">
        <v>44098.0</v>
      </c>
      <c r="L409" s="37">
        <v>44101.0</v>
      </c>
      <c r="M409" s="73" t="s">
        <v>625</v>
      </c>
      <c r="N409" s="73" t="s">
        <v>626</v>
      </c>
      <c r="O409" s="113">
        <v>43830.0</v>
      </c>
      <c r="P409" s="37">
        <v>44073.0</v>
      </c>
      <c r="Q409" s="22"/>
      <c r="R409" s="22"/>
      <c r="S409" s="117"/>
      <c r="T409" s="157"/>
      <c r="U409" s="161"/>
      <c r="V409" s="161"/>
      <c r="W409" s="161"/>
      <c r="X409" s="161"/>
      <c r="Y409" s="161"/>
      <c r="Z409" s="161"/>
      <c r="AA409" s="161"/>
      <c r="AB409" s="161"/>
      <c r="AC409" s="161"/>
      <c r="AD409" s="161"/>
      <c r="AE409" s="161"/>
      <c r="AF409" s="161"/>
      <c r="AG409" s="161"/>
      <c r="AH409" s="246" t="s">
        <v>97</v>
      </c>
      <c r="AI409" s="163"/>
      <c r="AJ409" s="163"/>
      <c r="AK409" s="163"/>
      <c r="AL409" s="163"/>
      <c r="AM409" s="163"/>
      <c r="AN409" s="161"/>
      <c r="AO409" s="161"/>
      <c r="AP409" s="161"/>
      <c r="AQ409" s="161"/>
      <c r="AR409" s="161"/>
      <c r="AS409" s="119"/>
    </row>
    <row r="410">
      <c r="A410" s="137">
        <v>298.0</v>
      </c>
      <c r="B410" s="150"/>
      <c r="C410" s="104" t="s">
        <v>3013</v>
      </c>
      <c r="D410" s="105" t="s">
        <v>69</v>
      </c>
      <c r="E410" s="107" t="s">
        <v>69</v>
      </c>
      <c r="F410" s="101"/>
      <c r="G410" s="40" t="s">
        <v>166</v>
      </c>
      <c r="H410" s="55" t="s">
        <v>167</v>
      </c>
      <c r="I410" s="69" t="s">
        <v>169</v>
      </c>
      <c r="J410" s="20" t="s">
        <v>171</v>
      </c>
      <c r="K410" s="37">
        <v>43939.0</v>
      </c>
      <c r="L410" s="37">
        <v>43939.0</v>
      </c>
      <c r="M410" s="174" t="s">
        <v>172</v>
      </c>
      <c r="N410" s="73" t="s">
        <v>102</v>
      </c>
      <c r="O410" s="113">
        <v>43738.0</v>
      </c>
      <c r="P410" s="37">
        <v>43890.0</v>
      </c>
      <c r="Q410" s="22"/>
      <c r="R410" s="22"/>
      <c r="S410" s="117"/>
      <c r="T410" s="157"/>
      <c r="U410" s="161"/>
      <c r="V410" s="161"/>
      <c r="W410" s="161"/>
      <c r="X410" s="161"/>
      <c r="Y410" s="161"/>
      <c r="Z410" s="161"/>
      <c r="AA410" s="161"/>
      <c r="AB410" s="161"/>
      <c r="AC410" s="161"/>
      <c r="AD410" s="161"/>
      <c r="AE410" s="161"/>
      <c r="AF410" s="161"/>
      <c r="AG410" s="161"/>
      <c r="AH410" s="163"/>
      <c r="AI410" s="163"/>
      <c r="AJ410" s="163"/>
      <c r="AK410" s="332" t="s">
        <v>97</v>
      </c>
      <c r="AL410" s="163"/>
      <c r="AM410" s="163"/>
      <c r="AN410" s="161"/>
      <c r="AO410" s="161"/>
      <c r="AP410" s="161"/>
      <c r="AQ410" s="161"/>
      <c r="AR410" s="161"/>
      <c r="AS410" s="119"/>
    </row>
    <row r="411">
      <c r="A411" s="137">
        <v>299.0</v>
      </c>
      <c r="B411" s="173"/>
      <c r="C411" s="104" t="s">
        <v>3014</v>
      </c>
      <c r="D411" s="296" t="s">
        <v>55</v>
      </c>
      <c r="E411" s="297" t="s">
        <v>55</v>
      </c>
      <c r="F411" s="101"/>
      <c r="G411" s="40" t="s">
        <v>623</v>
      </c>
      <c r="H411" s="55" t="s">
        <v>624</v>
      </c>
      <c r="I411" s="289" t="s">
        <v>24</v>
      </c>
      <c r="J411" s="20" t="s">
        <v>26</v>
      </c>
      <c r="K411" s="37">
        <v>43911.0</v>
      </c>
      <c r="L411" s="37">
        <v>43922.0</v>
      </c>
      <c r="M411" s="174" t="s">
        <v>387</v>
      </c>
      <c r="N411" s="290" t="s">
        <v>102</v>
      </c>
      <c r="O411" s="113">
        <v>43733.0</v>
      </c>
      <c r="P411" s="113">
        <v>43733.0</v>
      </c>
      <c r="Q411" s="373"/>
      <c r="R411" s="373"/>
      <c r="S411" s="224"/>
      <c r="T411" s="141"/>
      <c r="U411" s="119"/>
      <c r="V411" s="119"/>
      <c r="W411" s="119"/>
      <c r="X411" s="119"/>
      <c r="Y411" s="119"/>
      <c r="Z411" s="299" t="s">
        <v>97</v>
      </c>
      <c r="AA411" s="119"/>
      <c r="AB411" s="119"/>
      <c r="AC411" s="119"/>
      <c r="AD411" s="119"/>
      <c r="AE411" s="119"/>
      <c r="AF411" s="119"/>
      <c r="AG411" s="119"/>
      <c r="AH411" s="121"/>
      <c r="AI411" s="121"/>
      <c r="AJ411" s="121"/>
      <c r="AK411" s="121"/>
      <c r="AL411" s="121"/>
      <c r="AM411" s="121"/>
      <c r="AN411" s="119"/>
      <c r="AO411" s="119"/>
      <c r="AP411" s="119"/>
      <c r="AQ411" s="119"/>
      <c r="AR411" s="119"/>
      <c r="AS411" s="119"/>
    </row>
    <row r="412">
      <c r="A412" s="101">
        <v>300.0</v>
      </c>
      <c r="B412" s="150"/>
      <c r="C412" s="104" t="s">
        <v>3015</v>
      </c>
      <c r="D412" s="138" t="s">
        <v>59</v>
      </c>
      <c r="E412" s="107" t="s">
        <v>352</v>
      </c>
      <c r="F412" s="101"/>
      <c r="G412" s="40" t="s">
        <v>818</v>
      </c>
      <c r="H412" s="55" t="s">
        <v>819</v>
      </c>
      <c r="I412" s="69" t="s">
        <v>821</v>
      </c>
      <c r="J412" s="20" t="s">
        <v>825</v>
      </c>
      <c r="K412" s="37">
        <v>43909.0</v>
      </c>
      <c r="L412" s="37">
        <v>43912.0</v>
      </c>
      <c r="M412" s="174" t="s">
        <v>387</v>
      </c>
      <c r="N412" s="73" t="s">
        <v>102</v>
      </c>
      <c r="O412" s="113">
        <v>43646.0</v>
      </c>
      <c r="P412" s="37">
        <v>43799.0</v>
      </c>
      <c r="Q412" s="22"/>
      <c r="R412" s="22"/>
      <c r="S412" s="117"/>
      <c r="T412" s="157"/>
      <c r="U412" s="161"/>
      <c r="V412" s="161"/>
      <c r="W412" s="161"/>
      <c r="X412" s="161"/>
      <c r="Y412" s="161"/>
      <c r="Z412" s="161"/>
      <c r="AA412" s="161"/>
      <c r="AB412" s="161"/>
      <c r="AC412" s="551" t="s">
        <v>97</v>
      </c>
      <c r="AD412" s="161"/>
      <c r="AE412" s="161"/>
      <c r="AF412" s="161"/>
      <c r="AG412" s="161"/>
      <c r="AH412" s="163"/>
      <c r="AI412" s="163"/>
      <c r="AJ412" s="163"/>
      <c r="AK412" s="163"/>
      <c r="AL412" s="163"/>
      <c r="AM412" s="163"/>
      <c r="AN412" s="161"/>
      <c r="AO412" s="161"/>
      <c r="AP412" s="161"/>
      <c r="AQ412" s="161"/>
      <c r="AR412" s="161"/>
      <c r="AS412" s="119"/>
    </row>
    <row r="413">
      <c r="A413" s="137">
        <v>301.0</v>
      </c>
      <c r="B413" s="150"/>
      <c r="C413" s="104" t="s">
        <v>3016</v>
      </c>
      <c r="D413" s="138" t="s">
        <v>62</v>
      </c>
      <c r="E413" s="107" t="s">
        <v>523</v>
      </c>
      <c r="F413" s="101"/>
      <c r="G413" s="40" t="s">
        <v>3017</v>
      </c>
      <c r="H413" s="55" t="s">
        <v>3018</v>
      </c>
      <c r="I413" s="69" t="s">
        <v>3019</v>
      </c>
      <c r="J413" s="155"/>
      <c r="K413" s="37">
        <v>43945.0</v>
      </c>
      <c r="L413" s="37">
        <v>43955.0</v>
      </c>
      <c r="M413" s="174" t="s">
        <v>387</v>
      </c>
      <c r="N413" s="73" t="s">
        <v>102</v>
      </c>
      <c r="O413" s="113">
        <v>43811.0</v>
      </c>
      <c r="P413" s="37">
        <v>43811.0</v>
      </c>
      <c r="Q413" s="22"/>
      <c r="R413" s="22"/>
      <c r="S413" s="117"/>
      <c r="T413" s="157"/>
      <c r="U413" s="161"/>
      <c r="V413" s="161"/>
      <c r="W413" s="161"/>
      <c r="X413" s="161"/>
      <c r="Y413" s="161"/>
      <c r="Z413" s="161"/>
      <c r="AA413" s="161"/>
      <c r="AB413" s="161"/>
      <c r="AC413" s="161"/>
      <c r="AD413" s="161"/>
      <c r="AE413" s="161"/>
      <c r="AF413" s="548" t="s">
        <v>97</v>
      </c>
      <c r="AG413" s="161"/>
      <c r="AH413" s="163"/>
      <c r="AI413" s="163"/>
      <c r="AJ413" s="163"/>
      <c r="AK413" s="163"/>
      <c r="AL413" s="163"/>
      <c r="AM413" s="163"/>
      <c r="AN413" s="161"/>
      <c r="AO413" s="161"/>
      <c r="AP413" s="161"/>
      <c r="AQ413" s="161"/>
      <c r="AR413" s="161"/>
      <c r="AS413" s="119"/>
    </row>
    <row r="414">
      <c r="A414" s="137">
        <v>876.0</v>
      </c>
      <c r="B414" s="673">
        <v>6.0</v>
      </c>
      <c r="C414" s="170" t="s">
        <v>3020</v>
      </c>
      <c r="D414" s="357" t="s">
        <v>77</v>
      </c>
      <c r="E414" s="358" t="s">
        <v>869</v>
      </c>
      <c r="F414" s="359"/>
      <c r="G414" s="159" t="s">
        <v>2079</v>
      </c>
      <c r="H414" s="166" t="s">
        <v>3021</v>
      </c>
      <c r="I414" s="674" t="s">
        <v>24</v>
      </c>
      <c r="J414" s="155"/>
      <c r="K414" s="22" t="s">
        <v>27</v>
      </c>
      <c r="L414" s="22" t="s">
        <v>27</v>
      </c>
      <c r="M414" s="170" t="s">
        <v>196</v>
      </c>
      <c r="N414" s="170" t="s">
        <v>29</v>
      </c>
      <c r="O414" s="22" t="s">
        <v>27</v>
      </c>
      <c r="P414" s="22" t="s">
        <v>27</v>
      </c>
      <c r="Q414" s="361"/>
      <c r="R414" s="361"/>
      <c r="S414" s="117"/>
      <c r="T414" s="265"/>
      <c r="U414" s="266"/>
      <c r="V414" s="266"/>
      <c r="W414" s="266"/>
      <c r="X414" s="266"/>
      <c r="Y414" s="266"/>
      <c r="Z414" s="266"/>
      <c r="AA414" s="266"/>
      <c r="AB414" s="266"/>
      <c r="AC414" s="266"/>
      <c r="AD414" s="266"/>
      <c r="AE414" s="266"/>
      <c r="AF414" s="266"/>
      <c r="AG414" s="266"/>
      <c r="AH414" s="266"/>
      <c r="AI414" s="266"/>
      <c r="AJ414" s="266"/>
      <c r="AK414" s="266"/>
      <c r="AL414" s="266"/>
      <c r="AM414" s="266"/>
      <c r="AN414" s="266"/>
      <c r="AO414" s="675" t="s">
        <v>97</v>
      </c>
      <c r="AP414" s="266"/>
      <c r="AQ414" s="266"/>
      <c r="AR414" s="266"/>
      <c r="AS414" s="119"/>
    </row>
    <row r="415">
      <c r="A415" s="137">
        <v>302.0</v>
      </c>
      <c r="B415" s="150"/>
      <c r="C415" s="104" t="s">
        <v>3022</v>
      </c>
      <c r="D415" s="105" t="s">
        <v>52</v>
      </c>
      <c r="E415" s="107" t="s">
        <v>52</v>
      </c>
      <c r="F415" s="101"/>
      <c r="G415" s="40" t="s">
        <v>3023</v>
      </c>
      <c r="H415" s="55" t="s">
        <v>3024</v>
      </c>
      <c r="I415" s="69" t="s">
        <v>3025</v>
      </c>
      <c r="J415" s="155"/>
      <c r="K415" s="37">
        <v>43945.0</v>
      </c>
      <c r="L415" s="37">
        <v>43949.0</v>
      </c>
      <c r="M415" s="73" t="s">
        <v>3026</v>
      </c>
      <c r="N415" s="73" t="s">
        <v>72</v>
      </c>
      <c r="O415" s="113">
        <v>43878.0</v>
      </c>
      <c r="P415" s="37">
        <v>43899.0</v>
      </c>
      <c r="Q415" s="22"/>
      <c r="R415" s="22"/>
      <c r="S415" s="117"/>
      <c r="T415" s="157"/>
      <c r="U415" s="161"/>
      <c r="V415" s="161"/>
      <c r="W415" s="120" t="s">
        <v>97</v>
      </c>
      <c r="X415" s="161"/>
      <c r="Y415" s="161"/>
      <c r="Z415" s="161"/>
      <c r="AA415" s="161"/>
      <c r="AB415" s="161"/>
      <c r="AC415" s="161"/>
      <c r="AD415" s="161"/>
      <c r="AE415" s="161"/>
      <c r="AF415" s="161"/>
      <c r="AG415" s="161"/>
      <c r="AH415" s="163"/>
      <c r="AI415" s="163"/>
      <c r="AJ415" s="163"/>
      <c r="AK415" s="163"/>
      <c r="AL415" s="163"/>
      <c r="AM415" s="163"/>
      <c r="AN415" s="161"/>
      <c r="AO415" s="161"/>
      <c r="AP415" s="161"/>
      <c r="AQ415" s="161"/>
      <c r="AR415" s="161"/>
      <c r="AS415" s="119"/>
    </row>
    <row r="416">
      <c r="A416" s="101">
        <v>303.0</v>
      </c>
      <c r="B416" s="150">
        <v>9.0</v>
      </c>
      <c r="C416" s="104" t="s">
        <v>3027</v>
      </c>
      <c r="D416" s="105" t="s">
        <v>48</v>
      </c>
      <c r="E416" s="107" t="s">
        <v>48</v>
      </c>
      <c r="F416" s="101"/>
      <c r="G416" s="40" t="s">
        <v>3028</v>
      </c>
      <c r="H416" s="55" t="s">
        <v>3029</v>
      </c>
      <c r="I416" s="69" t="s">
        <v>3030</v>
      </c>
      <c r="J416" s="155"/>
      <c r="K416" s="22" t="s">
        <v>27</v>
      </c>
      <c r="L416" s="22" t="s">
        <v>27</v>
      </c>
      <c r="M416" s="73" t="s">
        <v>3031</v>
      </c>
      <c r="N416" s="73" t="s">
        <v>72</v>
      </c>
      <c r="O416" s="22" t="s">
        <v>27</v>
      </c>
      <c r="P416" s="22" t="s">
        <v>27</v>
      </c>
      <c r="Q416" s="22"/>
      <c r="R416" s="22"/>
      <c r="S416" s="117"/>
      <c r="T416" s="157"/>
      <c r="U416" s="176" t="s">
        <v>97</v>
      </c>
      <c r="V416" s="161"/>
      <c r="W416" s="161"/>
      <c r="X416" s="161"/>
      <c r="Y416" s="161"/>
      <c r="Z416" s="161"/>
      <c r="AA416" s="161"/>
      <c r="AB416" s="161"/>
      <c r="AC416" s="161"/>
      <c r="AD416" s="161"/>
      <c r="AE416" s="161"/>
      <c r="AF416" s="161"/>
      <c r="AG416" s="161"/>
      <c r="AH416" s="163"/>
      <c r="AI416" s="163"/>
      <c r="AJ416" s="163"/>
      <c r="AK416" s="163"/>
      <c r="AL416" s="163"/>
      <c r="AM416" s="163"/>
      <c r="AN416" s="161"/>
      <c r="AO416" s="161"/>
      <c r="AP416" s="161"/>
      <c r="AQ416" s="161"/>
      <c r="AR416" s="161"/>
      <c r="AS416" s="119"/>
    </row>
    <row r="417">
      <c r="A417" s="137">
        <v>304.0</v>
      </c>
      <c r="B417" s="150"/>
      <c r="C417" s="104" t="s">
        <v>3032</v>
      </c>
      <c r="D417" s="105" t="s">
        <v>48</v>
      </c>
      <c r="E417" s="107" t="s">
        <v>48</v>
      </c>
      <c r="F417" s="101"/>
      <c r="G417" s="40" t="s">
        <v>3033</v>
      </c>
      <c r="H417" s="55" t="s">
        <v>3034</v>
      </c>
      <c r="I417" s="175" t="s">
        <v>3035</v>
      </c>
      <c r="J417" s="155"/>
      <c r="K417" s="37">
        <v>43899.0</v>
      </c>
      <c r="L417" s="37">
        <v>43905.0</v>
      </c>
      <c r="M417" s="73" t="s">
        <v>3036</v>
      </c>
      <c r="N417" s="73" t="s">
        <v>72</v>
      </c>
      <c r="O417" s="113">
        <v>43695.0</v>
      </c>
      <c r="P417" s="37">
        <v>43820.0</v>
      </c>
      <c r="Q417" s="22"/>
      <c r="R417" s="22"/>
      <c r="S417" s="117"/>
      <c r="T417" s="157"/>
      <c r="U417" s="176" t="s">
        <v>97</v>
      </c>
      <c r="V417" s="161"/>
      <c r="W417" s="161"/>
      <c r="X417" s="161"/>
      <c r="Y417" s="161"/>
      <c r="Z417" s="161"/>
      <c r="AA417" s="161"/>
      <c r="AB417" s="161"/>
      <c r="AC417" s="161"/>
      <c r="AD417" s="161"/>
      <c r="AE417" s="161"/>
      <c r="AF417" s="161"/>
      <c r="AG417" s="161"/>
      <c r="AH417" s="163"/>
      <c r="AI417" s="163"/>
      <c r="AJ417" s="163"/>
      <c r="AK417" s="163"/>
      <c r="AL417" s="163"/>
      <c r="AM417" s="163"/>
      <c r="AN417" s="161"/>
      <c r="AO417" s="161"/>
      <c r="AP417" s="161"/>
      <c r="AQ417" s="161"/>
      <c r="AR417" s="161"/>
      <c r="AS417" s="119"/>
    </row>
    <row r="418">
      <c r="A418" s="137">
        <v>305.0</v>
      </c>
      <c r="B418" s="177">
        <v>11.0</v>
      </c>
      <c r="C418" s="104" t="s">
        <v>3037</v>
      </c>
      <c r="D418" s="105" t="s">
        <v>48</v>
      </c>
      <c r="E418" s="107" t="s">
        <v>48</v>
      </c>
      <c r="F418" s="178"/>
      <c r="G418" s="77" t="s">
        <v>3038</v>
      </c>
      <c r="H418" s="81" t="s">
        <v>3039</v>
      </c>
      <c r="I418" s="84" t="s">
        <v>3040</v>
      </c>
      <c r="J418" s="155"/>
      <c r="K418" s="22" t="s">
        <v>27</v>
      </c>
      <c r="L418" s="22" t="s">
        <v>27</v>
      </c>
      <c r="M418" s="85" t="s">
        <v>3041</v>
      </c>
      <c r="N418" s="85" t="s">
        <v>231</v>
      </c>
      <c r="O418" s="22" t="s">
        <v>27</v>
      </c>
      <c r="P418" s="22" t="s">
        <v>27</v>
      </c>
      <c r="Q418" s="22"/>
      <c r="R418" s="22"/>
      <c r="S418" s="117"/>
      <c r="T418" s="181"/>
      <c r="U418" s="182" t="s">
        <v>97</v>
      </c>
      <c r="V418" s="184"/>
      <c r="W418" s="184"/>
      <c r="X418" s="184"/>
      <c r="Y418" s="184"/>
      <c r="Z418" s="184"/>
      <c r="AA418" s="184"/>
      <c r="AB418" s="184"/>
      <c r="AC418" s="184"/>
      <c r="AD418" s="186"/>
      <c r="AE418" s="187"/>
      <c r="AF418" s="184"/>
      <c r="AG418" s="187"/>
      <c r="AH418" s="189"/>
      <c r="AI418" s="189"/>
      <c r="AJ418" s="189"/>
      <c r="AK418" s="189"/>
      <c r="AL418" s="189"/>
      <c r="AM418" s="189"/>
      <c r="AN418" s="187"/>
      <c r="AO418" s="187"/>
      <c r="AP418" s="184"/>
      <c r="AQ418" s="187"/>
      <c r="AR418" s="187"/>
      <c r="AS418" s="119"/>
    </row>
    <row r="419">
      <c r="A419" s="101">
        <v>306.0</v>
      </c>
      <c r="B419" s="173"/>
      <c r="C419" s="104" t="s">
        <v>3042</v>
      </c>
      <c r="D419" s="105" t="s">
        <v>54</v>
      </c>
      <c r="E419" s="105" t="s">
        <v>54</v>
      </c>
      <c r="F419" s="178"/>
      <c r="G419" s="77" t="s">
        <v>3043</v>
      </c>
      <c r="H419" s="81" t="s">
        <v>3044</v>
      </c>
      <c r="I419" s="175" t="s">
        <v>3045</v>
      </c>
      <c r="J419" s="112"/>
      <c r="K419" s="113">
        <v>44112.0</v>
      </c>
      <c r="L419" s="113">
        <v>44122.0</v>
      </c>
      <c r="M419" s="85" t="s">
        <v>419</v>
      </c>
      <c r="N419" s="85" t="s">
        <v>29</v>
      </c>
      <c r="O419" s="113">
        <v>43936.0</v>
      </c>
      <c r="P419" s="37">
        <v>44043.0</v>
      </c>
      <c r="Q419" s="201"/>
      <c r="R419" s="201"/>
      <c r="S419" s="224"/>
      <c r="T419" s="181"/>
      <c r="U419" s="184"/>
      <c r="V419" s="184"/>
      <c r="W419" s="184"/>
      <c r="X419" s="184"/>
      <c r="Y419" s="233" t="s">
        <v>97</v>
      </c>
      <c r="Z419" s="184"/>
      <c r="AA419" s="184"/>
      <c r="AB419" s="184"/>
      <c r="AC419" s="184"/>
      <c r="AD419" s="186"/>
      <c r="AE419" s="187"/>
      <c r="AF419" s="184"/>
      <c r="AG419" s="187"/>
      <c r="AH419" s="189"/>
      <c r="AI419" s="189"/>
      <c r="AJ419" s="189"/>
      <c r="AK419" s="189"/>
      <c r="AL419" s="189"/>
      <c r="AM419" s="189"/>
      <c r="AN419" s="187"/>
      <c r="AO419" s="187"/>
      <c r="AP419" s="184"/>
      <c r="AQ419" s="187"/>
      <c r="AR419" s="187"/>
      <c r="AS419" s="119"/>
    </row>
    <row r="420">
      <c r="A420" s="137">
        <v>307.0</v>
      </c>
      <c r="B420" s="150">
        <v>11.0</v>
      </c>
      <c r="C420" s="104" t="s">
        <v>1391</v>
      </c>
      <c r="D420" s="105" t="s">
        <v>53</v>
      </c>
      <c r="E420" s="107" t="s">
        <v>53</v>
      </c>
      <c r="F420" s="101"/>
      <c r="G420" s="40" t="s">
        <v>3046</v>
      </c>
      <c r="H420" s="55" t="s">
        <v>3047</v>
      </c>
      <c r="I420" s="69" t="s">
        <v>3048</v>
      </c>
      <c r="J420" s="155"/>
      <c r="K420" s="37">
        <v>44099.0</v>
      </c>
      <c r="L420" s="37">
        <v>44101.0</v>
      </c>
      <c r="M420" s="156" t="s">
        <v>196</v>
      </c>
      <c r="N420" s="73" t="s">
        <v>29</v>
      </c>
      <c r="O420" s="37">
        <v>43821.0</v>
      </c>
      <c r="P420" s="37">
        <v>44010.0</v>
      </c>
      <c r="Q420" s="22"/>
      <c r="R420" s="22"/>
      <c r="S420" s="193" t="s">
        <v>97</v>
      </c>
      <c r="T420" s="157"/>
      <c r="U420" s="161"/>
      <c r="V420" s="161"/>
      <c r="W420" s="161"/>
      <c r="X420" s="401" t="s">
        <v>97</v>
      </c>
      <c r="Y420" s="161"/>
      <c r="Z420" s="161"/>
      <c r="AA420" s="161"/>
      <c r="AB420" s="161"/>
      <c r="AC420" s="161"/>
      <c r="AD420" s="161"/>
      <c r="AE420" s="161"/>
      <c r="AF420" s="161"/>
      <c r="AG420" s="161"/>
      <c r="AH420" s="163"/>
      <c r="AI420" s="163"/>
      <c r="AJ420" s="163"/>
      <c r="AK420" s="163"/>
      <c r="AL420" s="163"/>
      <c r="AM420" s="163"/>
      <c r="AN420" s="161"/>
      <c r="AO420" s="161"/>
      <c r="AP420" s="161"/>
      <c r="AQ420" s="161"/>
      <c r="AR420" s="161"/>
      <c r="AS420" s="119"/>
    </row>
    <row r="421">
      <c r="A421" s="137">
        <v>308.0</v>
      </c>
      <c r="B421" s="150"/>
      <c r="C421" s="104" t="s">
        <v>3049</v>
      </c>
      <c r="D421" s="105" t="s">
        <v>89</v>
      </c>
      <c r="E421" s="107" t="s">
        <v>89</v>
      </c>
      <c r="F421" s="101"/>
      <c r="G421" s="40" t="s">
        <v>3050</v>
      </c>
      <c r="H421" s="55" t="s">
        <v>3051</v>
      </c>
      <c r="I421" s="69" t="s">
        <v>3052</v>
      </c>
      <c r="J421" s="155"/>
      <c r="K421" s="37">
        <v>43882.0</v>
      </c>
      <c r="L421" s="37">
        <v>43884.0</v>
      </c>
      <c r="M421" s="73" t="s">
        <v>230</v>
      </c>
      <c r="N421" s="73" t="s">
        <v>231</v>
      </c>
      <c r="O421" s="113">
        <v>43709.0</v>
      </c>
      <c r="P421" s="37">
        <v>43784.0</v>
      </c>
      <c r="Q421" s="22"/>
      <c r="R421" s="22"/>
      <c r="S421" s="117"/>
      <c r="T421" s="157"/>
      <c r="U421" s="161"/>
      <c r="V421" s="161"/>
      <c r="W421" s="161"/>
      <c r="X421" s="161"/>
      <c r="Y421" s="161"/>
      <c r="Z421" s="161"/>
      <c r="AA421" s="161"/>
      <c r="AB421" s="161"/>
      <c r="AC421" s="161"/>
      <c r="AD421" s="161"/>
      <c r="AE421" s="161"/>
      <c r="AF421" s="161"/>
      <c r="AG421" s="161"/>
      <c r="AH421" s="163"/>
      <c r="AI421" s="163"/>
      <c r="AJ421" s="163"/>
      <c r="AK421" s="163"/>
      <c r="AL421" s="163"/>
      <c r="AM421" s="163"/>
      <c r="AN421" s="161"/>
      <c r="AO421" s="161"/>
      <c r="AP421" s="161"/>
      <c r="AQ421" s="172" t="s">
        <v>97</v>
      </c>
      <c r="AR421" s="161"/>
      <c r="AS421" s="119"/>
    </row>
    <row r="422">
      <c r="A422" s="137">
        <v>309.0</v>
      </c>
      <c r="B422" s="177"/>
      <c r="C422" s="104" t="s">
        <v>3053</v>
      </c>
      <c r="D422" s="105" t="s">
        <v>48</v>
      </c>
      <c r="E422" s="107" t="s">
        <v>48</v>
      </c>
      <c r="F422" s="178"/>
      <c r="G422" s="77" t="s">
        <v>872</v>
      </c>
      <c r="H422" s="81" t="s">
        <v>874</v>
      </c>
      <c r="I422" s="84" t="s">
        <v>875</v>
      </c>
      <c r="J422" s="20" t="s">
        <v>78</v>
      </c>
      <c r="K422" s="37">
        <v>43943.0</v>
      </c>
      <c r="L422" s="37">
        <v>43950.0</v>
      </c>
      <c r="M422" s="85" t="s">
        <v>447</v>
      </c>
      <c r="N422" s="85" t="s">
        <v>80</v>
      </c>
      <c r="O422" s="113">
        <v>43721.0</v>
      </c>
      <c r="P422" s="37">
        <v>43826.0</v>
      </c>
      <c r="Q422" s="22"/>
      <c r="R422" s="22"/>
      <c r="S422" s="193" t="s">
        <v>97</v>
      </c>
      <c r="T422" s="181"/>
      <c r="U422" s="182" t="s">
        <v>97</v>
      </c>
      <c r="V422" s="184"/>
      <c r="W422" s="184"/>
      <c r="X422" s="184"/>
      <c r="Y422" s="184"/>
      <c r="Z422" s="184"/>
      <c r="AA422" s="184"/>
      <c r="AB422" s="184"/>
      <c r="AC422" s="184"/>
      <c r="AD422" s="186"/>
      <c r="AE422" s="187"/>
      <c r="AF422" s="184"/>
      <c r="AG422" s="187"/>
      <c r="AH422" s="189"/>
      <c r="AI422" s="189"/>
      <c r="AJ422" s="189"/>
      <c r="AK422" s="189"/>
      <c r="AL422" s="189"/>
      <c r="AM422" s="189"/>
      <c r="AN422" s="187"/>
      <c r="AO422" s="187"/>
      <c r="AP422" s="184"/>
      <c r="AQ422" s="187"/>
      <c r="AR422" s="187"/>
      <c r="AS422" s="119"/>
    </row>
    <row r="423">
      <c r="A423" s="101">
        <v>310.0</v>
      </c>
      <c r="B423" s="177"/>
      <c r="C423" s="104" t="s">
        <v>3054</v>
      </c>
      <c r="D423" s="138" t="s">
        <v>62</v>
      </c>
      <c r="E423" s="107" t="s">
        <v>523</v>
      </c>
      <c r="F423" s="178"/>
      <c r="G423" s="77" t="s">
        <v>745</v>
      </c>
      <c r="H423" s="81" t="s">
        <v>746</v>
      </c>
      <c r="I423" s="84" t="s">
        <v>747</v>
      </c>
      <c r="J423" s="20" t="s">
        <v>78</v>
      </c>
      <c r="K423" s="37">
        <v>43922.0</v>
      </c>
      <c r="L423" s="37">
        <v>43926.0</v>
      </c>
      <c r="M423" s="85" t="s">
        <v>221</v>
      </c>
      <c r="N423" s="85" t="s">
        <v>72</v>
      </c>
      <c r="O423" s="113">
        <v>43794.0</v>
      </c>
      <c r="P423" s="37">
        <v>43836.0</v>
      </c>
      <c r="Q423" s="22"/>
      <c r="R423" s="22"/>
      <c r="S423" s="117"/>
      <c r="T423" s="181"/>
      <c r="U423" s="184"/>
      <c r="V423" s="184"/>
      <c r="W423" s="184"/>
      <c r="X423" s="184"/>
      <c r="Y423" s="184"/>
      <c r="Z423" s="184"/>
      <c r="AA423" s="184"/>
      <c r="AB423" s="184"/>
      <c r="AC423" s="184"/>
      <c r="AD423" s="186"/>
      <c r="AE423" s="187"/>
      <c r="AF423" s="415" t="s">
        <v>97</v>
      </c>
      <c r="AG423" s="187"/>
      <c r="AH423" s="189"/>
      <c r="AI423" s="189"/>
      <c r="AJ423" s="189"/>
      <c r="AK423" s="189"/>
      <c r="AL423" s="189"/>
      <c r="AM423" s="189"/>
      <c r="AN423" s="187"/>
      <c r="AO423" s="187"/>
      <c r="AP423" s="184"/>
      <c r="AQ423" s="187"/>
      <c r="AR423" s="187"/>
      <c r="AS423" s="119"/>
    </row>
    <row r="424">
      <c r="A424" s="137">
        <v>311.0</v>
      </c>
      <c r="B424" s="177">
        <v>11.0</v>
      </c>
      <c r="C424" s="104" t="s">
        <v>3055</v>
      </c>
      <c r="D424" s="105" t="s">
        <v>54</v>
      </c>
      <c r="E424" s="105" t="s">
        <v>54</v>
      </c>
      <c r="F424" s="178"/>
      <c r="G424" s="77" t="s">
        <v>3056</v>
      </c>
      <c r="H424" s="81" t="s">
        <v>3057</v>
      </c>
      <c r="I424" s="84" t="s">
        <v>3058</v>
      </c>
      <c r="J424" s="155"/>
      <c r="K424" s="22" t="s">
        <v>27</v>
      </c>
      <c r="L424" s="22" t="s">
        <v>27</v>
      </c>
      <c r="M424" s="85" t="s">
        <v>560</v>
      </c>
      <c r="N424" s="85" t="s">
        <v>561</v>
      </c>
      <c r="O424" s="22" t="s">
        <v>27</v>
      </c>
      <c r="P424" s="22" t="s">
        <v>27</v>
      </c>
      <c r="Q424" s="373"/>
      <c r="R424" s="373"/>
      <c r="S424" s="224"/>
      <c r="T424" s="181"/>
      <c r="U424" s="184"/>
      <c r="V424" s="184"/>
      <c r="W424" s="184"/>
      <c r="X424" s="184"/>
      <c r="Y424" s="233" t="s">
        <v>97</v>
      </c>
      <c r="Z424" s="184"/>
      <c r="AA424" s="184"/>
      <c r="AB424" s="184"/>
      <c r="AC424" s="184"/>
      <c r="AD424" s="186"/>
      <c r="AE424" s="187"/>
      <c r="AF424" s="184"/>
      <c r="AG424" s="187"/>
      <c r="AH424" s="189"/>
      <c r="AI424" s="189"/>
      <c r="AJ424" s="189"/>
      <c r="AK424" s="189"/>
      <c r="AL424" s="189"/>
      <c r="AM424" s="189"/>
      <c r="AN424" s="187"/>
      <c r="AO424" s="187"/>
      <c r="AP424" s="184"/>
      <c r="AQ424" s="187"/>
      <c r="AR424" s="187"/>
      <c r="AS424" s="119"/>
    </row>
    <row r="425">
      <c r="A425" s="137">
        <v>871.0</v>
      </c>
      <c r="B425" s="353"/>
      <c r="C425" s="170" t="s">
        <v>3059</v>
      </c>
      <c r="D425" s="357" t="s">
        <v>48</v>
      </c>
      <c r="E425" s="358" t="s">
        <v>48</v>
      </c>
      <c r="F425" s="359"/>
      <c r="G425" s="159" t="s">
        <v>3060</v>
      </c>
      <c r="H425" s="166" t="s">
        <v>3061</v>
      </c>
      <c r="I425" s="167" t="s">
        <v>3062</v>
      </c>
      <c r="J425" s="643"/>
      <c r="K425" s="169">
        <v>44126.0</v>
      </c>
      <c r="L425" s="169">
        <v>44129.0</v>
      </c>
      <c r="M425" s="170" t="s">
        <v>3063</v>
      </c>
      <c r="N425" s="170" t="s">
        <v>72</v>
      </c>
      <c r="O425" s="169">
        <v>43830.0</v>
      </c>
      <c r="P425" s="169">
        <v>44036.0</v>
      </c>
      <c r="Q425" s="361"/>
      <c r="R425" s="361"/>
      <c r="S425" s="117"/>
      <c r="T425" s="362"/>
      <c r="U425" s="363" t="s">
        <v>97</v>
      </c>
      <c r="V425" s="269"/>
      <c r="W425" s="269"/>
      <c r="X425" s="269"/>
      <c r="Y425" s="269"/>
      <c r="Z425" s="269"/>
      <c r="AA425" s="266"/>
      <c r="AB425" s="269"/>
      <c r="AC425" s="269"/>
      <c r="AD425" s="269"/>
      <c r="AE425" s="269"/>
      <c r="AF425" s="269"/>
      <c r="AG425" s="269"/>
      <c r="AH425" s="269"/>
      <c r="AI425" s="269"/>
      <c r="AJ425" s="269"/>
      <c r="AK425" s="269"/>
      <c r="AL425" s="269"/>
      <c r="AM425" s="269"/>
      <c r="AN425" s="269"/>
      <c r="AO425" s="269"/>
      <c r="AP425" s="269"/>
      <c r="AQ425" s="269"/>
      <c r="AR425" s="269"/>
      <c r="AS425" s="119"/>
    </row>
    <row r="426">
      <c r="A426" s="137">
        <v>312.0</v>
      </c>
      <c r="B426" s="292"/>
      <c r="C426" s="104" t="s">
        <v>3064</v>
      </c>
      <c r="D426" s="105" t="s">
        <v>48</v>
      </c>
      <c r="E426" s="107" t="s">
        <v>48</v>
      </c>
      <c r="F426" s="178"/>
      <c r="G426" s="77" t="s">
        <v>3065</v>
      </c>
      <c r="H426" s="81" t="s">
        <v>3066</v>
      </c>
      <c r="I426" s="158" t="s">
        <v>3067</v>
      </c>
      <c r="J426" s="155"/>
      <c r="K426" s="37">
        <v>44056.0</v>
      </c>
      <c r="L426" s="37">
        <v>44059.0</v>
      </c>
      <c r="M426" s="85" t="s">
        <v>3068</v>
      </c>
      <c r="N426" s="85" t="s">
        <v>622</v>
      </c>
      <c r="O426" s="113">
        <v>43830.0</v>
      </c>
      <c r="P426" s="37">
        <v>43966.0</v>
      </c>
      <c r="Q426" s="22"/>
      <c r="R426" s="22"/>
      <c r="S426" s="117"/>
      <c r="T426" s="181"/>
      <c r="U426" s="182" t="s">
        <v>97</v>
      </c>
      <c r="V426" s="184"/>
      <c r="W426" s="184"/>
      <c r="X426" s="184"/>
      <c r="Y426" s="184"/>
      <c r="Z426" s="184"/>
      <c r="AA426" s="184"/>
      <c r="AB426" s="184"/>
      <c r="AC426" s="184"/>
      <c r="AD426" s="186"/>
      <c r="AE426" s="187"/>
      <c r="AF426" s="184"/>
      <c r="AG426" s="187"/>
      <c r="AH426" s="189"/>
      <c r="AI426" s="189"/>
      <c r="AJ426" s="189"/>
      <c r="AK426" s="189"/>
      <c r="AL426" s="189"/>
      <c r="AM426" s="189"/>
      <c r="AN426" s="187"/>
      <c r="AO426" s="187"/>
      <c r="AP426" s="184"/>
      <c r="AQ426" s="187"/>
      <c r="AR426" s="187"/>
      <c r="AS426" s="119"/>
    </row>
    <row r="427">
      <c r="A427" s="101">
        <v>313.0</v>
      </c>
      <c r="B427" s="292"/>
      <c r="C427" s="104" t="s">
        <v>3069</v>
      </c>
      <c r="D427" s="105" t="s">
        <v>48</v>
      </c>
      <c r="E427" s="107" t="s">
        <v>48</v>
      </c>
      <c r="F427" s="518"/>
      <c r="G427" s="153" t="s">
        <v>485</v>
      </c>
      <c r="H427" s="81" t="s">
        <v>486</v>
      </c>
      <c r="I427" s="158" t="s">
        <v>487</v>
      </c>
      <c r="J427" s="20" t="s">
        <v>26</v>
      </c>
      <c r="K427" s="37">
        <v>43916.0</v>
      </c>
      <c r="L427" s="37">
        <v>43919.0</v>
      </c>
      <c r="M427" s="73" t="s">
        <v>488</v>
      </c>
      <c r="N427" s="73" t="s">
        <v>489</v>
      </c>
      <c r="O427" s="113">
        <v>43742.0</v>
      </c>
      <c r="P427" s="37">
        <v>43822.0</v>
      </c>
      <c r="Q427" s="22"/>
      <c r="R427" s="22"/>
      <c r="S427" s="117"/>
      <c r="T427" s="157"/>
      <c r="U427" s="293" t="s">
        <v>97</v>
      </c>
      <c r="V427" s="194"/>
      <c r="W427" s="194"/>
      <c r="X427" s="194"/>
      <c r="Y427" s="194"/>
      <c r="Z427" s="194"/>
      <c r="AA427" s="194"/>
      <c r="AB427" s="194"/>
      <c r="AC427" s="194"/>
      <c r="AD427" s="186"/>
      <c r="AE427" s="187"/>
      <c r="AF427" s="194"/>
      <c r="AG427" s="187"/>
      <c r="AH427" s="189"/>
      <c r="AI427" s="189"/>
      <c r="AJ427" s="189"/>
      <c r="AK427" s="189"/>
      <c r="AL427" s="189"/>
      <c r="AM427" s="189"/>
      <c r="AN427" s="187"/>
      <c r="AO427" s="187"/>
      <c r="AP427" s="194"/>
      <c r="AQ427" s="187"/>
      <c r="AR427" s="187"/>
      <c r="AS427" s="119"/>
    </row>
    <row r="428">
      <c r="A428" s="137">
        <v>314.0</v>
      </c>
      <c r="B428" s="150"/>
      <c r="C428" s="104" t="s">
        <v>3000</v>
      </c>
      <c r="D428" s="105" t="s">
        <v>64</v>
      </c>
      <c r="E428" s="107" t="s">
        <v>64</v>
      </c>
      <c r="F428" s="101"/>
      <c r="G428" s="40" t="s">
        <v>3070</v>
      </c>
      <c r="H428" s="55" t="s">
        <v>3071</v>
      </c>
      <c r="I428" s="69" t="s">
        <v>3072</v>
      </c>
      <c r="J428" s="155"/>
      <c r="K428" s="37">
        <v>44079.0</v>
      </c>
      <c r="L428" s="37">
        <v>44079.0</v>
      </c>
      <c r="M428" s="174" t="s">
        <v>302</v>
      </c>
      <c r="N428" s="73" t="s">
        <v>303</v>
      </c>
      <c r="O428" s="113">
        <v>43665.0</v>
      </c>
      <c r="P428" s="37">
        <v>43967.0</v>
      </c>
      <c r="Q428" s="22"/>
      <c r="R428" s="22"/>
      <c r="S428" s="117"/>
      <c r="T428" s="157"/>
      <c r="U428" s="161"/>
      <c r="V428" s="161"/>
      <c r="W428" s="161"/>
      <c r="X428" s="161"/>
      <c r="Y428" s="161"/>
      <c r="Z428" s="161"/>
      <c r="AA428" s="161"/>
      <c r="AB428" s="161"/>
      <c r="AC428" s="161"/>
      <c r="AD428" s="161"/>
      <c r="AE428" s="161"/>
      <c r="AF428" s="161"/>
      <c r="AG428" s="161"/>
      <c r="AH428" s="246" t="s">
        <v>97</v>
      </c>
      <c r="AI428" s="163"/>
      <c r="AJ428" s="163"/>
      <c r="AK428" s="163"/>
      <c r="AL428" s="163"/>
      <c r="AM428" s="163"/>
      <c r="AN428" s="161"/>
      <c r="AO428" s="161"/>
      <c r="AP428" s="161"/>
      <c r="AQ428" s="161"/>
      <c r="AR428" s="161"/>
      <c r="AS428" s="119"/>
    </row>
    <row r="429">
      <c r="A429" s="137">
        <v>315.0</v>
      </c>
      <c r="B429" s="177"/>
      <c r="C429" s="104" t="s">
        <v>3073</v>
      </c>
      <c r="D429" s="105" t="s">
        <v>48</v>
      </c>
      <c r="E429" s="107" t="s">
        <v>48</v>
      </c>
      <c r="F429" s="178"/>
      <c r="G429" s="77" t="s">
        <v>3074</v>
      </c>
      <c r="H429" s="81" t="s">
        <v>3075</v>
      </c>
      <c r="I429" s="84" t="s">
        <v>3076</v>
      </c>
      <c r="J429" s="155"/>
      <c r="K429" s="37">
        <v>44125.0</v>
      </c>
      <c r="L429" s="37">
        <v>44130.0</v>
      </c>
      <c r="M429" s="85" t="s">
        <v>3077</v>
      </c>
      <c r="N429" s="85" t="s">
        <v>303</v>
      </c>
      <c r="O429" s="282">
        <v>43866.0</v>
      </c>
      <c r="P429" s="282">
        <v>44013.0</v>
      </c>
      <c r="Q429" s="22"/>
      <c r="R429" s="22"/>
      <c r="S429" s="193" t="s">
        <v>97</v>
      </c>
      <c r="T429" s="181"/>
      <c r="U429" s="182" t="s">
        <v>97</v>
      </c>
      <c r="V429" s="184"/>
      <c r="W429" s="184"/>
      <c r="X429" s="184"/>
      <c r="Y429" s="184"/>
      <c r="Z429" s="184"/>
      <c r="AA429" s="184"/>
      <c r="AB429" s="184"/>
      <c r="AC429" s="184"/>
      <c r="AD429" s="186"/>
      <c r="AE429" s="187"/>
      <c r="AF429" s="184"/>
      <c r="AG429" s="187"/>
      <c r="AH429" s="189"/>
      <c r="AI429" s="189"/>
      <c r="AJ429" s="189"/>
      <c r="AK429" s="189"/>
      <c r="AL429" s="189"/>
      <c r="AM429" s="189"/>
      <c r="AN429" s="187"/>
      <c r="AO429" s="187"/>
      <c r="AP429" s="184"/>
      <c r="AQ429" s="187"/>
      <c r="AR429" s="187"/>
      <c r="AS429" s="119"/>
    </row>
    <row r="430">
      <c r="A430" s="101">
        <v>316.0</v>
      </c>
      <c r="B430" s="150">
        <v>7.0</v>
      </c>
      <c r="C430" s="104" t="s">
        <v>3078</v>
      </c>
      <c r="D430" s="105" t="s">
        <v>48</v>
      </c>
      <c r="E430" s="107" t="s">
        <v>48</v>
      </c>
      <c r="F430" s="190"/>
      <c r="G430" s="192" t="s">
        <v>3079</v>
      </c>
      <c r="H430" s="81" t="s">
        <v>3080</v>
      </c>
      <c r="I430" s="470" t="s">
        <v>3081</v>
      </c>
      <c r="J430" s="155"/>
      <c r="K430" s="37">
        <v>44034.0</v>
      </c>
      <c r="L430" s="37">
        <v>44038.0</v>
      </c>
      <c r="M430" s="73" t="s">
        <v>3082</v>
      </c>
      <c r="N430" s="73" t="s">
        <v>412</v>
      </c>
      <c r="O430" s="37">
        <v>43893.0</v>
      </c>
      <c r="P430" s="37">
        <v>43959.0</v>
      </c>
      <c r="Q430" s="22"/>
      <c r="R430" s="22"/>
      <c r="S430" s="117"/>
      <c r="T430" s="157"/>
      <c r="U430" s="293" t="s">
        <v>97</v>
      </c>
      <c r="V430" s="194"/>
      <c r="W430" s="194"/>
      <c r="X430" s="194"/>
      <c r="Y430" s="194"/>
      <c r="Z430" s="194"/>
      <c r="AA430" s="194"/>
      <c r="AB430" s="194"/>
      <c r="AC430" s="194"/>
      <c r="AD430" s="186"/>
      <c r="AE430" s="187"/>
      <c r="AF430" s="194"/>
      <c r="AG430" s="187"/>
      <c r="AH430" s="189"/>
      <c r="AI430" s="189"/>
      <c r="AJ430" s="189"/>
      <c r="AK430" s="189"/>
      <c r="AL430" s="189"/>
      <c r="AM430" s="189"/>
      <c r="AN430" s="187"/>
      <c r="AO430" s="187"/>
      <c r="AP430" s="194"/>
      <c r="AQ430" s="187"/>
      <c r="AR430" s="187"/>
      <c r="AS430" s="119"/>
    </row>
    <row r="431">
      <c r="A431" s="137">
        <v>317.0</v>
      </c>
      <c r="B431" s="150">
        <v>10.0</v>
      </c>
      <c r="C431" s="104" t="s">
        <v>3083</v>
      </c>
      <c r="D431" s="105" t="s">
        <v>48</v>
      </c>
      <c r="E431" s="107" t="s">
        <v>48</v>
      </c>
      <c r="F431" s="101"/>
      <c r="G431" s="40" t="s">
        <v>3084</v>
      </c>
      <c r="H431" s="55" t="s">
        <v>3085</v>
      </c>
      <c r="I431" s="69" t="s">
        <v>3086</v>
      </c>
      <c r="J431" s="155"/>
      <c r="K431" s="37">
        <v>44113.0</v>
      </c>
      <c r="L431" s="37">
        <v>44115.0</v>
      </c>
      <c r="M431" s="73" t="s">
        <v>2591</v>
      </c>
      <c r="N431" s="73" t="s">
        <v>159</v>
      </c>
      <c r="O431" s="37">
        <v>43922.0</v>
      </c>
      <c r="P431" s="37">
        <v>44013.0</v>
      </c>
      <c r="Q431" s="22"/>
      <c r="R431" s="22"/>
      <c r="S431" s="117"/>
      <c r="T431" s="157"/>
      <c r="U431" s="176" t="s">
        <v>97</v>
      </c>
      <c r="V431" s="161"/>
      <c r="W431" s="161"/>
      <c r="X431" s="161"/>
      <c r="Y431" s="161"/>
      <c r="Z431" s="161"/>
      <c r="AA431" s="161"/>
      <c r="AB431" s="161"/>
      <c r="AC431" s="161"/>
      <c r="AD431" s="161"/>
      <c r="AE431" s="161"/>
      <c r="AF431" s="161"/>
      <c r="AG431" s="161"/>
      <c r="AH431" s="163"/>
      <c r="AI431" s="163"/>
      <c r="AJ431" s="163"/>
      <c r="AK431" s="163"/>
      <c r="AL431" s="163"/>
      <c r="AM431" s="163"/>
      <c r="AN431" s="161"/>
      <c r="AO431" s="161"/>
      <c r="AP431" s="161"/>
      <c r="AQ431" s="161"/>
      <c r="AR431" s="161"/>
      <c r="AS431" s="119"/>
    </row>
    <row r="432">
      <c r="A432" s="137">
        <v>318.0</v>
      </c>
      <c r="B432" s="177"/>
      <c r="C432" s="104" t="s">
        <v>3087</v>
      </c>
      <c r="D432" s="105" t="s">
        <v>48</v>
      </c>
      <c r="E432" s="107" t="s">
        <v>48</v>
      </c>
      <c r="F432" s="228"/>
      <c r="G432" s="183" t="s">
        <v>554</v>
      </c>
      <c r="H432" s="81" t="s">
        <v>555</v>
      </c>
      <c r="I432" s="84" t="s">
        <v>557</v>
      </c>
      <c r="J432" s="20" t="s">
        <v>559</v>
      </c>
      <c r="K432" s="37">
        <v>43951.0</v>
      </c>
      <c r="L432" s="37">
        <v>43961.0</v>
      </c>
      <c r="M432" s="85" t="s">
        <v>560</v>
      </c>
      <c r="N432" s="85" t="s">
        <v>561</v>
      </c>
      <c r="O432" s="113">
        <v>43710.0</v>
      </c>
      <c r="P432" s="37">
        <v>43863.0</v>
      </c>
      <c r="Q432" s="22"/>
      <c r="R432" s="22"/>
      <c r="S432" s="193" t="s">
        <v>97</v>
      </c>
      <c r="T432" s="181"/>
      <c r="U432" s="182" t="s">
        <v>97</v>
      </c>
      <c r="V432" s="184"/>
      <c r="W432" s="184"/>
      <c r="X432" s="184"/>
      <c r="Y432" s="184"/>
      <c r="Z432" s="184"/>
      <c r="AA432" s="184"/>
      <c r="AB432" s="184"/>
      <c r="AC432" s="184"/>
      <c r="AD432" s="186"/>
      <c r="AE432" s="187"/>
      <c r="AF432" s="184"/>
      <c r="AG432" s="187"/>
      <c r="AH432" s="189"/>
      <c r="AI432" s="189"/>
      <c r="AJ432" s="189"/>
      <c r="AK432" s="189"/>
      <c r="AL432" s="189"/>
      <c r="AM432" s="189"/>
      <c r="AN432" s="187"/>
      <c r="AO432" s="187"/>
      <c r="AP432" s="184"/>
      <c r="AQ432" s="187"/>
      <c r="AR432" s="187"/>
      <c r="AS432" s="119"/>
    </row>
    <row r="433">
      <c r="A433" s="101">
        <v>941.0</v>
      </c>
      <c r="B433" s="284"/>
      <c r="C433" s="123" t="s">
        <v>3088</v>
      </c>
      <c r="D433" s="124" t="s">
        <v>52</v>
      </c>
      <c r="E433" s="126" t="s">
        <v>52</v>
      </c>
      <c r="F433" s="144"/>
      <c r="G433" s="87" t="s">
        <v>3089</v>
      </c>
      <c r="H433" s="89" t="s">
        <v>3090</v>
      </c>
      <c r="I433" s="91" t="str">
        <f>HYPERLINK("https://filmfreeway.com/HeartlandFilmIndyShorts","https://filmfreeway.com/HeartlandFilmIndyShorts")</f>
        <v>https://filmfreeway.com/HeartlandFilmIndyShorts</v>
      </c>
      <c r="J433" s="288"/>
      <c r="K433" s="145">
        <v>44033.0</v>
      </c>
      <c r="L433" s="145">
        <v>44038.0</v>
      </c>
      <c r="M433" s="130" t="s">
        <v>560</v>
      </c>
      <c r="N433" s="130" t="s">
        <v>561</v>
      </c>
      <c r="O433" s="145">
        <v>43835.0</v>
      </c>
      <c r="P433" s="145">
        <v>43954.0</v>
      </c>
      <c r="Q433" s="200" t="s">
        <v>222</v>
      </c>
      <c r="R433" s="200" t="s">
        <v>222</v>
      </c>
      <c r="S433" s="148" t="s">
        <v>97</v>
      </c>
      <c r="T433" s="118"/>
      <c r="U433" s="119"/>
      <c r="V433" s="119"/>
      <c r="W433" s="120" t="s">
        <v>97</v>
      </c>
      <c r="X433" s="119"/>
      <c r="Y433" s="134"/>
      <c r="Z433" s="119"/>
      <c r="AA433" s="119"/>
      <c r="AB433" s="119"/>
      <c r="AC433" s="119"/>
      <c r="AD433" s="119"/>
      <c r="AE433" s="119"/>
      <c r="AF433" s="119"/>
      <c r="AG433" s="119"/>
      <c r="AH433" s="121"/>
      <c r="AI433" s="121"/>
      <c r="AJ433" s="121"/>
      <c r="AK433" s="121"/>
      <c r="AL433" s="121"/>
      <c r="AM433" s="135"/>
      <c r="AN433" s="119"/>
      <c r="AO433" s="119"/>
      <c r="AP433" s="119"/>
      <c r="AQ433" s="119"/>
      <c r="AR433" s="119"/>
      <c r="AS433" s="119"/>
    </row>
    <row r="434">
      <c r="A434" s="101">
        <v>841.0</v>
      </c>
      <c r="B434" s="103">
        <v>6.0</v>
      </c>
      <c r="C434" s="104" t="s">
        <v>3091</v>
      </c>
      <c r="D434" s="105" t="s">
        <v>48</v>
      </c>
      <c r="E434" s="107" t="s">
        <v>48</v>
      </c>
      <c r="F434" s="109"/>
      <c r="G434" s="10" t="s">
        <v>3092</v>
      </c>
      <c r="H434" s="17" t="s">
        <v>3093</v>
      </c>
      <c r="I434" s="111" t="s">
        <v>3094</v>
      </c>
      <c r="J434" s="155"/>
      <c r="K434" s="22" t="s">
        <v>27</v>
      </c>
      <c r="L434" s="22" t="s">
        <v>27</v>
      </c>
      <c r="M434" s="24" t="s">
        <v>136</v>
      </c>
      <c r="N434" s="24" t="s">
        <v>110</v>
      </c>
      <c r="O434" s="22" t="s">
        <v>27</v>
      </c>
      <c r="P434" s="22" t="s">
        <v>27</v>
      </c>
      <c r="Q434" s="223"/>
      <c r="R434" s="223"/>
      <c r="S434" s="224"/>
      <c r="T434" s="118"/>
      <c r="U434" s="176" t="s">
        <v>97</v>
      </c>
      <c r="V434" s="119"/>
      <c r="W434" s="119"/>
      <c r="X434" s="119"/>
      <c r="Y434" s="119"/>
      <c r="Z434" s="119"/>
      <c r="AA434" s="119"/>
      <c r="AB434" s="119"/>
      <c r="AC434" s="119"/>
      <c r="AD434" s="119"/>
      <c r="AE434" s="119"/>
      <c r="AF434" s="119"/>
      <c r="AG434" s="119"/>
      <c r="AH434" s="121"/>
      <c r="AI434" s="121"/>
      <c r="AJ434" s="121"/>
      <c r="AK434" s="121"/>
      <c r="AL434" s="121"/>
      <c r="AM434" s="121"/>
      <c r="AN434" s="119"/>
      <c r="AO434" s="119"/>
      <c r="AP434" s="119"/>
      <c r="AQ434" s="119"/>
      <c r="AR434" s="119"/>
      <c r="AS434" s="119"/>
    </row>
    <row r="435">
      <c r="A435" s="137">
        <v>994.0</v>
      </c>
      <c r="B435" s="122">
        <v>12.0</v>
      </c>
      <c r="C435" s="123" t="s">
        <v>3095</v>
      </c>
      <c r="D435" s="124" t="s">
        <v>71</v>
      </c>
      <c r="E435" s="126" t="s">
        <v>71</v>
      </c>
      <c r="F435" s="144"/>
      <c r="G435" s="87" t="s">
        <v>3096</v>
      </c>
      <c r="H435" s="89" t="s">
        <v>3097</v>
      </c>
      <c r="I435" s="91" t="str">
        <f>HYPERLINK("https://filmfreeway.com/InterFaithFilmFest","https://filmfreeway.com/InterFaithFilmFest")</f>
        <v>https://filmfreeway.com/InterFaithFilmFest</v>
      </c>
      <c r="J435" s="155"/>
      <c r="K435" s="37">
        <v>44175.0</v>
      </c>
      <c r="L435" s="37">
        <v>44178.0</v>
      </c>
      <c r="M435" s="130" t="s">
        <v>196</v>
      </c>
      <c r="N435" s="130" t="s">
        <v>29</v>
      </c>
      <c r="O435" s="37">
        <v>43882.0</v>
      </c>
      <c r="P435" s="37">
        <v>44022.0</v>
      </c>
      <c r="Q435" s="131"/>
      <c r="R435" s="132"/>
      <c r="S435" s="148" t="s">
        <v>97</v>
      </c>
      <c r="T435" s="118"/>
      <c r="U435" s="119"/>
      <c r="V435" s="119"/>
      <c r="W435" s="119"/>
      <c r="X435" s="119"/>
      <c r="Y435" s="134"/>
      <c r="Z435" s="119"/>
      <c r="AA435" s="119"/>
      <c r="AB435" s="119"/>
      <c r="AC435" s="119"/>
      <c r="AD435" s="119"/>
      <c r="AE435" s="119"/>
      <c r="AF435" s="119"/>
      <c r="AG435" s="119"/>
      <c r="AH435" s="121"/>
      <c r="AI435" s="121"/>
      <c r="AJ435" s="121"/>
      <c r="AK435" s="121"/>
      <c r="AL435" s="121"/>
      <c r="AM435" s="165" t="s">
        <v>97</v>
      </c>
      <c r="AN435" s="119"/>
      <c r="AO435" s="119"/>
      <c r="AP435" s="119"/>
      <c r="AQ435" s="119"/>
      <c r="AR435" s="119"/>
      <c r="AS435" s="119"/>
    </row>
    <row r="436">
      <c r="A436" s="101">
        <v>319.0</v>
      </c>
      <c r="B436" s="150">
        <v>10.0</v>
      </c>
      <c r="C436" s="104" t="s">
        <v>3098</v>
      </c>
      <c r="D436" s="138" t="s">
        <v>56</v>
      </c>
      <c r="E436" s="156" t="s">
        <v>227</v>
      </c>
      <c r="F436" s="101"/>
      <c r="G436" s="40" t="s">
        <v>3099</v>
      </c>
      <c r="H436" s="55" t="s">
        <v>3100</v>
      </c>
      <c r="I436" s="69" t="s">
        <v>3101</v>
      </c>
      <c r="J436" s="155"/>
      <c r="K436" s="37">
        <v>44103.0</v>
      </c>
      <c r="L436" s="37">
        <v>44108.0</v>
      </c>
      <c r="M436" s="174" t="s">
        <v>2406</v>
      </c>
      <c r="N436" s="73" t="s">
        <v>303</v>
      </c>
      <c r="O436" s="37">
        <v>43861.0</v>
      </c>
      <c r="P436" s="37">
        <v>43980.0</v>
      </c>
      <c r="Q436" s="22"/>
      <c r="R436" s="22"/>
      <c r="S436" s="117"/>
      <c r="T436" s="157"/>
      <c r="U436" s="161"/>
      <c r="V436" s="161"/>
      <c r="W436" s="161"/>
      <c r="X436" s="161"/>
      <c r="Y436" s="161"/>
      <c r="Z436" s="161"/>
      <c r="AA436" s="218" t="s">
        <v>97</v>
      </c>
      <c r="AB436" s="161"/>
      <c r="AC436" s="161"/>
      <c r="AD436" s="161"/>
      <c r="AE436" s="161"/>
      <c r="AF436" s="161"/>
      <c r="AG436" s="161"/>
      <c r="AH436" s="163"/>
      <c r="AI436" s="163"/>
      <c r="AJ436" s="163"/>
      <c r="AK436" s="163"/>
      <c r="AL436" s="163"/>
      <c r="AM436" s="163"/>
      <c r="AN436" s="161"/>
      <c r="AO436" s="161"/>
      <c r="AP436" s="161"/>
      <c r="AQ436" s="161"/>
      <c r="AR436" s="161"/>
      <c r="AS436" s="119"/>
    </row>
    <row r="437">
      <c r="A437" s="101">
        <v>973.0</v>
      </c>
      <c r="B437" s="284"/>
      <c r="C437" s="123" t="s">
        <v>3102</v>
      </c>
      <c r="D437" s="138" t="s">
        <v>62</v>
      </c>
      <c r="E437" s="138" t="s">
        <v>62</v>
      </c>
      <c r="F437" s="312"/>
      <c r="G437" s="216" t="s">
        <v>3103</v>
      </c>
      <c r="H437" s="89" t="s">
        <v>3104</v>
      </c>
      <c r="I437" s="91" t="str">
        <f>HYPERLINK("https://filmfreeway.com/InternationalBuddhistFilmFestival","https://filmfreeway.com/InternationalBuddhistFilmFestival")</f>
        <v>https://filmfreeway.com/InternationalBuddhistFilmFestival</v>
      </c>
      <c r="J437" s="288"/>
      <c r="K437" s="145">
        <v>43980.0</v>
      </c>
      <c r="L437" s="145">
        <v>44010.0</v>
      </c>
      <c r="M437" s="130" t="s">
        <v>927</v>
      </c>
      <c r="N437" s="130" t="s">
        <v>72</v>
      </c>
      <c r="O437" s="145">
        <v>43830.0</v>
      </c>
      <c r="P437" s="145">
        <v>43830.0</v>
      </c>
      <c r="Q437" s="131"/>
      <c r="R437" s="132"/>
      <c r="S437" s="132"/>
      <c r="T437" s="118"/>
      <c r="U437" s="119"/>
      <c r="V437" s="119"/>
      <c r="W437" s="119"/>
      <c r="X437" s="119"/>
      <c r="Y437" s="134"/>
      <c r="Z437" s="119"/>
      <c r="AA437" s="119"/>
      <c r="AB437" s="119"/>
      <c r="AC437" s="119"/>
      <c r="AD437" s="119"/>
      <c r="AE437" s="119"/>
      <c r="AF437" s="548" t="s">
        <v>97</v>
      </c>
      <c r="AG437" s="119"/>
      <c r="AH437" s="121"/>
      <c r="AI437" s="121"/>
      <c r="AJ437" s="121"/>
      <c r="AK437" s="121"/>
      <c r="AL437" s="121"/>
      <c r="AM437" s="135"/>
      <c r="AN437" s="119"/>
      <c r="AO437" s="119"/>
      <c r="AP437" s="119"/>
      <c r="AQ437" s="119"/>
      <c r="AR437" s="119"/>
      <c r="AS437" s="119"/>
    </row>
    <row r="438">
      <c r="A438" s="137">
        <v>320.0</v>
      </c>
      <c r="B438" s="177"/>
      <c r="C438" s="104" t="s">
        <v>3105</v>
      </c>
      <c r="D438" s="105" t="s">
        <v>90</v>
      </c>
      <c r="E438" s="107" t="s">
        <v>90</v>
      </c>
      <c r="F438" s="178"/>
      <c r="G438" s="77" t="s">
        <v>3106</v>
      </c>
      <c r="H438" s="81" t="s">
        <v>3107</v>
      </c>
      <c r="I438" s="84" t="s">
        <v>3108</v>
      </c>
      <c r="J438" s="155"/>
      <c r="K438" s="37">
        <v>43964.0</v>
      </c>
      <c r="L438" s="37">
        <v>43967.0</v>
      </c>
      <c r="M438" s="85" t="s">
        <v>116</v>
      </c>
      <c r="N438" s="85" t="s">
        <v>46</v>
      </c>
      <c r="O438" s="113">
        <v>43708.0</v>
      </c>
      <c r="P438" s="37">
        <v>43862.0</v>
      </c>
      <c r="Q438" s="22"/>
      <c r="R438" s="22"/>
      <c r="S438" s="117"/>
      <c r="T438" s="181"/>
      <c r="U438" s="184"/>
      <c r="V438" s="184"/>
      <c r="W438" s="184"/>
      <c r="X438" s="184"/>
      <c r="Y438" s="184"/>
      <c r="Z438" s="184"/>
      <c r="AA438" s="184"/>
      <c r="AB438" s="184"/>
      <c r="AC438" s="184"/>
      <c r="AD438" s="186"/>
      <c r="AE438" s="187"/>
      <c r="AF438" s="184"/>
      <c r="AG438" s="187"/>
      <c r="AH438" s="189"/>
      <c r="AI438" s="189"/>
      <c r="AJ438" s="189"/>
      <c r="AK438" s="189"/>
      <c r="AL438" s="189"/>
      <c r="AM438" s="189"/>
      <c r="AN438" s="187"/>
      <c r="AO438" s="187"/>
      <c r="AP438" s="184"/>
      <c r="AQ438" s="187"/>
      <c r="AR438" s="676" t="s">
        <v>97</v>
      </c>
      <c r="AS438" s="119"/>
    </row>
    <row r="439">
      <c r="A439" s="137">
        <v>937.0</v>
      </c>
      <c r="B439" s="122">
        <v>11.0</v>
      </c>
      <c r="C439" s="123" t="s">
        <v>3109</v>
      </c>
      <c r="D439" s="124" t="s">
        <v>52</v>
      </c>
      <c r="E439" s="287" t="s">
        <v>52</v>
      </c>
      <c r="F439" s="127"/>
      <c r="G439" s="128" t="s">
        <v>1720</v>
      </c>
      <c r="H439" s="89" t="s">
        <v>3110</v>
      </c>
      <c r="I439" s="91" t="str">
        <f>HYPERLINK("https://filmfreeway.com/supershorts","https://filmfreeway.com/supershorts")</f>
        <v>https://filmfreeway.com/supershorts</v>
      </c>
      <c r="J439" s="155"/>
      <c r="K439" s="37">
        <v>44149.0</v>
      </c>
      <c r="L439" s="37">
        <v>44149.0</v>
      </c>
      <c r="M439" s="130" t="s">
        <v>3111</v>
      </c>
      <c r="N439" s="130" t="s">
        <v>80</v>
      </c>
      <c r="O439" s="37">
        <v>44075.0</v>
      </c>
      <c r="P439" s="37">
        <v>44075.0</v>
      </c>
      <c r="Q439" s="131"/>
      <c r="R439" s="132"/>
      <c r="S439" s="132"/>
      <c r="T439" s="118"/>
      <c r="U439" s="119"/>
      <c r="V439" s="119"/>
      <c r="W439" s="120" t="s">
        <v>97</v>
      </c>
      <c r="X439" s="119"/>
      <c r="Y439" s="134"/>
      <c r="Z439" s="119"/>
      <c r="AA439" s="119"/>
      <c r="AB439" s="119"/>
      <c r="AC439" s="119"/>
      <c r="AD439" s="119"/>
      <c r="AE439" s="119"/>
      <c r="AF439" s="119"/>
      <c r="AG439" s="119"/>
      <c r="AH439" s="121"/>
      <c r="AI439" s="121"/>
      <c r="AJ439" s="121"/>
      <c r="AK439" s="121"/>
      <c r="AL439" s="121"/>
      <c r="AM439" s="135"/>
      <c r="AN439" s="119"/>
      <c r="AO439" s="119"/>
      <c r="AP439" s="119"/>
      <c r="AQ439" s="119"/>
      <c r="AR439" s="119"/>
      <c r="AS439" s="119"/>
    </row>
    <row r="440">
      <c r="A440" s="137">
        <v>321.0</v>
      </c>
      <c r="B440" s="150"/>
      <c r="C440" s="104" t="s">
        <v>3112</v>
      </c>
      <c r="D440" s="105" t="s">
        <v>48</v>
      </c>
      <c r="E440" s="107" t="s">
        <v>48</v>
      </c>
      <c r="F440" s="101"/>
      <c r="G440" s="40" t="s">
        <v>3113</v>
      </c>
      <c r="H440" s="55" t="s">
        <v>3114</v>
      </c>
      <c r="I440" s="69" t="s">
        <v>3115</v>
      </c>
      <c r="J440" s="155"/>
      <c r="K440" s="37">
        <v>43966.0</v>
      </c>
      <c r="L440" s="37">
        <v>43970.0</v>
      </c>
      <c r="M440" s="73" t="s">
        <v>3116</v>
      </c>
      <c r="N440" s="73" t="s">
        <v>412</v>
      </c>
      <c r="O440" s="113">
        <v>43770.0</v>
      </c>
      <c r="P440" s="37">
        <v>43891.0</v>
      </c>
      <c r="Q440" s="22"/>
      <c r="R440" s="22"/>
      <c r="S440" s="117"/>
      <c r="T440" s="157"/>
      <c r="U440" s="176" t="s">
        <v>97</v>
      </c>
      <c r="V440" s="161"/>
      <c r="W440" s="161"/>
      <c r="X440" s="161"/>
      <c r="Y440" s="161"/>
      <c r="Z440" s="161"/>
      <c r="AA440" s="161"/>
      <c r="AB440" s="161"/>
      <c r="AC440" s="161"/>
      <c r="AD440" s="161"/>
      <c r="AE440" s="161"/>
      <c r="AF440" s="161"/>
      <c r="AG440" s="161"/>
      <c r="AH440" s="163"/>
      <c r="AI440" s="163"/>
      <c r="AJ440" s="163"/>
      <c r="AK440" s="163"/>
      <c r="AL440" s="163"/>
      <c r="AM440" s="163"/>
      <c r="AN440" s="161"/>
      <c r="AO440" s="161"/>
      <c r="AP440" s="161"/>
      <c r="AQ440" s="161"/>
      <c r="AR440" s="161"/>
      <c r="AS440" s="119"/>
    </row>
    <row r="441">
      <c r="A441" s="101">
        <v>322.0</v>
      </c>
      <c r="B441" s="150">
        <v>9.0</v>
      </c>
      <c r="C441" s="104" t="s">
        <v>3117</v>
      </c>
      <c r="D441" s="138" t="s">
        <v>71</v>
      </c>
      <c r="E441" s="107" t="s">
        <v>71</v>
      </c>
      <c r="F441" s="101"/>
      <c r="G441" s="40" t="s">
        <v>3118</v>
      </c>
      <c r="H441" s="55" t="s">
        <v>3119</v>
      </c>
      <c r="I441" s="69" t="s">
        <v>3120</v>
      </c>
      <c r="J441" s="155"/>
      <c r="K441" s="22" t="s">
        <v>27</v>
      </c>
      <c r="L441" s="22" t="s">
        <v>27</v>
      </c>
      <c r="M441" s="73" t="s">
        <v>116</v>
      </c>
      <c r="N441" s="73" t="s">
        <v>46</v>
      </c>
      <c r="O441" s="22" t="s">
        <v>27</v>
      </c>
      <c r="P441" s="22" t="s">
        <v>27</v>
      </c>
      <c r="Q441" s="22"/>
      <c r="R441" s="22"/>
      <c r="S441" s="117"/>
      <c r="T441" s="157"/>
      <c r="U441" s="161"/>
      <c r="V441" s="161"/>
      <c r="W441" s="161"/>
      <c r="X441" s="161"/>
      <c r="Y441" s="161"/>
      <c r="Z441" s="161"/>
      <c r="AA441" s="161"/>
      <c r="AB441" s="161"/>
      <c r="AC441" s="161"/>
      <c r="AD441" s="161"/>
      <c r="AE441" s="161"/>
      <c r="AF441" s="161"/>
      <c r="AG441" s="161"/>
      <c r="AH441" s="163"/>
      <c r="AI441" s="163"/>
      <c r="AJ441" s="163"/>
      <c r="AK441" s="163"/>
      <c r="AL441" s="163"/>
      <c r="AM441" s="165" t="s">
        <v>97</v>
      </c>
      <c r="AN441" s="161"/>
      <c r="AO441" s="161"/>
      <c r="AP441" s="161"/>
      <c r="AQ441" s="161"/>
      <c r="AR441" s="161"/>
      <c r="AS441" s="119"/>
    </row>
    <row r="442">
      <c r="A442" s="137">
        <v>323.0</v>
      </c>
      <c r="B442" s="177"/>
      <c r="C442" s="104" t="s">
        <v>3121</v>
      </c>
      <c r="D442" s="138" t="s">
        <v>63</v>
      </c>
      <c r="E442" s="107" t="s">
        <v>1297</v>
      </c>
      <c r="F442" s="178"/>
      <c r="G442" s="77" t="s">
        <v>631</v>
      </c>
      <c r="H442" s="81" t="s">
        <v>633</v>
      </c>
      <c r="I442" s="84" t="s">
        <v>637</v>
      </c>
      <c r="J442" s="20" t="s">
        <v>78</v>
      </c>
      <c r="K442" s="37">
        <v>43916.0</v>
      </c>
      <c r="L442" s="37">
        <v>43926.0</v>
      </c>
      <c r="M442" s="85" t="s">
        <v>556</v>
      </c>
      <c r="N442" s="85" t="s">
        <v>179</v>
      </c>
      <c r="O442" s="113">
        <v>43782.0</v>
      </c>
      <c r="P442" s="37">
        <v>43815.0</v>
      </c>
      <c r="Q442" s="22"/>
      <c r="R442" s="22"/>
      <c r="S442" s="117"/>
      <c r="T442" s="181"/>
      <c r="U442" s="184"/>
      <c r="V442" s="184"/>
      <c r="W442" s="184"/>
      <c r="X442" s="184"/>
      <c r="Y442" s="184"/>
      <c r="Z442" s="184"/>
      <c r="AA442" s="184"/>
      <c r="AB442" s="184"/>
      <c r="AC442" s="184"/>
      <c r="AD442" s="186"/>
      <c r="AE442" s="187"/>
      <c r="AF442" s="184"/>
      <c r="AG442" s="667" t="s">
        <v>97</v>
      </c>
      <c r="AH442" s="677"/>
      <c r="AI442" s="189"/>
      <c r="AJ442" s="189"/>
      <c r="AK442" s="189"/>
      <c r="AL442" s="189"/>
      <c r="AM442" s="189"/>
      <c r="AN442" s="187"/>
      <c r="AO442" s="187"/>
      <c r="AP442" s="184"/>
      <c r="AQ442" s="187"/>
      <c r="AR442" s="187"/>
      <c r="AS442" s="119"/>
    </row>
    <row r="443">
      <c r="A443" s="137">
        <v>324.0</v>
      </c>
      <c r="B443" s="150"/>
      <c r="C443" s="104" t="s">
        <v>3064</v>
      </c>
      <c r="D443" s="105" t="s">
        <v>64</v>
      </c>
      <c r="E443" s="107" t="s">
        <v>64</v>
      </c>
      <c r="F443" s="101"/>
      <c r="G443" s="40" t="s">
        <v>3122</v>
      </c>
      <c r="H443" s="55" t="s">
        <v>3123</v>
      </c>
      <c r="I443" s="69" t="s">
        <v>3124</v>
      </c>
      <c r="J443" s="155"/>
      <c r="K443" s="37">
        <v>43993.0</v>
      </c>
      <c r="L443" s="37">
        <v>43996.0</v>
      </c>
      <c r="M443" s="73" t="s">
        <v>1090</v>
      </c>
      <c r="N443" s="73" t="s">
        <v>622</v>
      </c>
      <c r="O443" s="113">
        <v>43799.0</v>
      </c>
      <c r="P443" s="37">
        <v>43898.0</v>
      </c>
      <c r="Q443" s="22"/>
      <c r="R443" s="22"/>
      <c r="S443" s="117"/>
      <c r="T443" s="157"/>
      <c r="U443" s="161"/>
      <c r="V443" s="161"/>
      <c r="W443" s="161"/>
      <c r="X443" s="161"/>
      <c r="Y443" s="161"/>
      <c r="Z443" s="161"/>
      <c r="AA443" s="161"/>
      <c r="AB443" s="161"/>
      <c r="AC443" s="161"/>
      <c r="AD443" s="161"/>
      <c r="AE443" s="161"/>
      <c r="AF443" s="161"/>
      <c r="AG443" s="161"/>
      <c r="AH443" s="246" t="s">
        <v>97</v>
      </c>
      <c r="AI443" s="163"/>
      <c r="AJ443" s="163"/>
      <c r="AK443" s="163"/>
      <c r="AL443" s="163"/>
      <c r="AM443" s="163"/>
      <c r="AN443" s="161"/>
      <c r="AO443" s="161"/>
      <c r="AP443" s="161"/>
      <c r="AQ443" s="161"/>
      <c r="AR443" s="161"/>
      <c r="AS443" s="119"/>
    </row>
    <row r="444">
      <c r="A444" s="101">
        <v>794.0</v>
      </c>
      <c r="B444" s="103"/>
      <c r="C444" s="104" t="s">
        <v>3125</v>
      </c>
      <c r="D444" s="138" t="s">
        <v>71</v>
      </c>
      <c r="E444" s="107" t="s">
        <v>71</v>
      </c>
      <c r="F444" s="109"/>
      <c r="G444" s="10" t="s">
        <v>3126</v>
      </c>
      <c r="H444" s="17" t="s">
        <v>3127</v>
      </c>
      <c r="I444" s="111" t="s">
        <v>3128</v>
      </c>
      <c r="J444" s="112"/>
      <c r="K444" s="113">
        <v>44099.0</v>
      </c>
      <c r="L444" s="113">
        <v>44101.0</v>
      </c>
      <c r="M444" s="24" t="s">
        <v>3129</v>
      </c>
      <c r="N444" s="24" t="s">
        <v>851</v>
      </c>
      <c r="O444" s="114">
        <v>43983.0</v>
      </c>
      <c r="P444" s="114">
        <v>44023.0</v>
      </c>
      <c r="Q444" s="115"/>
      <c r="R444" s="115"/>
      <c r="S444" s="117"/>
      <c r="T444" s="118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E444" s="119"/>
      <c r="AF444" s="119"/>
      <c r="AG444" s="119"/>
      <c r="AH444" s="121"/>
      <c r="AI444" s="121"/>
      <c r="AJ444" s="121"/>
      <c r="AK444" s="121"/>
      <c r="AL444" s="121"/>
      <c r="AM444" s="165" t="s">
        <v>97</v>
      </c>
      <c r="AN444" s="119"/>
      <c r="AO444" s="119"/>
      <c r="AP444" s="119"/>
      <c r="AQ444" s="119"/>
      <c r="AR444" s="119"/>
      <c r="AS444" s="119"/>
    </row>
    <row r="445">
      <c r="A445" s="137">
        <v>755.0</v>
      </c>
      <c r="B445" s="103"/>
      <c r="C445" s="104" t="s">
        <v>3130</v>
      </c>
      <c r="D445" s="138" t="s">
        <v>75</v>
      </c>
      <c r="E445" s="107" t="s">
        <v>345</v>
      </c>
      <c r="F445" s="109"/>
      <c r="G445" s="10" t="s">
        <v>1304</v>
      </c>
      <c r="H445" s="17" t="s">
        <v>1305</v>
      </c>
      <c r="I445" s="175" t="s">
        <v>1306</v>
      </c>
      <c r="J445" s="222" t="s">
        <v>78</v>
      </c>
      <c r="K445" s="113">
        <v>43902.0</v>
      </c>
      <c r="L445" s="113">
        <v>43905.0</v>
      </c>
      <c r="M445" s="24" t="s">
        <v>399</v>
      </c>
      <c r="N445" s="24" t="s">
        <v>72</v>
      </c>
      <c r="O445" s="114">
        <v>43739.0</v>
      </c>
      <c r="P445" s="114">
        <v>43799.0</v>
      </c>
      <c r="Q445" s="115"/>
      <c r="R445" s="115"/>
      <c r="S445" s="117"/>
      <c r="T445" s="141" t="s">
        <v>50</v>
      </c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E445" s="119"/>
      <c r="AF445" s="119"/>
      <c r="AG445" s="119"/>
      <c r="AH445" s="121"/>
      <c r="AI445" s="121"/>
      <c r="AJ445" s="121"/>
      <c r="AK445" s="121"/>
      <c r="AL445" s="121"/>
      <c r="AM445" s="121"/>
      <c r="AN445" s="143" t="s">
        <v>97</v>
      </c>
      <c r="AO445" s="119"/>
      <c r="AP445" s="119"/>
      <c r="AQ445" s="119"/>
      <c r="AR445" s="119"/>
      <c r="AS445" s="119"/>
    </row>
    <row r="446">
      <c r="A446" s="137">
        <v>804.0</v>
      </c>
      <c r="B446" s="103">
        <v>11.0</v>
      </c>
      <c r="C446" s="104" t="s">
        <v>3131</v>
      </c>
      <c r="D446" s="138" t="s">
        <v>62</v>
      </c>
      <c r="E446" s="107" t="s">
        <v>523</v>
      </c>
      <c r="F446" s="109"/>
      <c r="G446" s="10" t="s">
        <v>3132</v>
      </c>
      <c r="H446" s="17" t="s">
        <v>3133</v>
      </c>
      <c r="I446" s="111" t="s">
        <v>3134</v>
      </c>
      <c r="J446" s="155"/>
      <c r="K446" s="37">
        <v>44146.0</v>
      </c>
      <c r="L446" s="37">
        <v>44150.0</v>
      </c>
      <c r="M446" s="24" t="s">
        <v>28</v>
      </c>
      <c r="N446" s="24" t="s">
        <v>29</v>
      </c>
      <c r="O446" s="37">
        <v>43921.0</v>
      </c>
      <c r="P446" s="37">
        <v>44043.0</v>
      </c>
      <c r="Q446" s="115"/>
      <c r="R446" s="115"/>
      <c r="S446" s="117"/>
      <c r="T446" s="118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E446" s="119"/>
      <c r="AF446" s="548" t="s">
        <v>97</v>
      </c>
      <c r="AG446" s="119"/>
      <c r="AH446" s="121"/>
      <c r="AI446" s="121"/>
      <c r="AJ446" s="121"/>
      <c r="AK446" s="121"/>
      <c r="AL446" s="121"/>
      <c r="AM446" s="121"/>
      <c r="AN446" s="119"/>
      <c r="AO446" s="119"/>
      <c r="AP446" s="119"/>
      <c r="AQ446" s="119"/>
      <c r="AR446" s="119"/>
      <c r="AS446" s="119"/>
    </row>
    <row r="447">
      <c r="A447" s="137">
        <v>811.0</v>
      </c>
      <c r="B447" s="103">
        <v>12.0</v>
      </c>
      <c r="C447" s="104" t="s">
        <v>3135</v>
      </c>
      <c r="D447" s="105" t="s">
        <v>52</v>
      </c>
      <c r="E447" s="107" t="s">
        <v>52</v>
      </c>
      <c r="F447" s="109"/>
      <c r="G447" s="10" t="s">
        <v>3136</v>
      </c>
      <c r="H447" s="17" t="s">
        <v>3137</v>
      </c>
      <c r="I447" s="111" t="s">
        <v>3138</v>
      </c>
      <c r="J447" s="155"/>
      <c r="K447" s="22" t="s">
        <v>27</v>
      </c>
      <c r="L447" s="22" t="s">
        <v>27</v>
      </c>
      <c r="M447" s="24" t="s">
        <v>3139</v>
      </c>
      <c r="N447" s="24" t="s">
        <v>132</v>
      </c>
      <c r="O447" s="22" t="s">
        <v>27</v>
      </c>
      <c r="P447" s="22" t="s">
        <v>27</v>
      </c>
      <c r="Q447" s="115"/>
      <c r="R447" s="115"/>
      <c r="S447" s="117"/>
      <c r="T447" s="118"/>
      <c r="U447" s="119"/>
      <c r="V447" s="119"/>
      <c r="W447" s="120" t="s">
        <v>97</v>
      </c>
      <c r="X447" s="119"/>
      <c r="Y447" s="119"/>
      <c r="Z447" s="119"/>
      <c r="AA447" s="119"/>
      <c r="AB447" s="119"/>
      <c r="AC447" s="119"/>
      <c r="AD447" s="119"/>
      <c r="AE447" s="119"/>
      <c r="AF447" s="119"/>
      <c r="AG447" s="119"/>
      <c r="AH447" s="121"/>
      <c r="AI447" s="121"/>
      <c r="AJ447" s="121"/>
      <c r="AK447" s="121"/>
      <c r="AL447" s="121"/>
      <c r="AM447" s="121"/>
      <c r="AN447" s="119"/>
      <c r="AO447" s="119"/>
      <c r="AP447" s="119"/>
      <c r="AQ447" s="119"/>
      <c r="AR447" s="119"/>
      <c r="AS447" s="119"/>
    </row>
    <row r="448">
      <c r="A448" s="101">
        <v>325.0</v>
      </c>
      <c r="B448" s="177"/>
      <c r="C448" s="104" t="s">
        <v>3140</v>
      </c>
      <c r="D448" s="138" t="s">
        <v>75</v>
      </c>
      <c r="E448" s="107" t="s">
        <v>345</v>
      </c>
      <c r="F448" s="178"/>
      <c r="G448" s="77" t="s">
        <v>659</v>
      </c>
      <c r="H448" s="81" t="s">
        <v>661</v>
      </c>
      <c r="I448" s="84" t="s">
        <v>663</v>
      </c>
      <c r="J448" s="20" t="s">
        <v>668</v>
      </c>
      <c r="K448" s="37">
        <v>43939.0</v>
      </c>
      <c r="L448" s="37">
        <v>43946.0</v>
      </c>
      <c r="M448" s="85" t="s">
        <v>669</v>
      </c>
      <c r="N448" s="85" t="s">
        <v>670</v>
      </c>
      <c r="O448" s="113">
        <v>43805.0</v>
      </c>
      <c r="P448" s="37">
        <v>43862.0</v>
      </c>
      <c r="Q448" s="22"/>
      <c r="R448" s="22"/>
      <c r="S448" s="193" t="s">
        <v>97</v>
      </c>
      <c r="T448" s="181" t="s">
        <v>50</v>
      </c>
      <c r="U448" s="184"/>
      <c r="V448" s="184"/>
      <c r="W448" s="184"/>
      <c r="X448" s="184"/>
      <c r="Y448" s="184"/>
      <c r="Z448" s="184"/>
      <c r="AA448" s="184"/>
      <c r="AB448" s="184"/>
      <c r="AC448" s="184"/>
      <c r="AD448" s="186"/>
      <c r="AE448" s="187"/>
      <c r="AF448" s="184"/>
      <c r="AG448" s="187"/>
      <c r="AH448" s="189"/>
      <c r="AI448" s="189"/>
      <c r="AJ448" s="189"/>
      <c r="AK448" s="189"/>
      <c r="AL448" s="189"/>
      <c r="AM448" s="189"/>
      <c r="AN448" s="607" t="s">
        <v>97</v>
      </c>
      <c r="AO448" s="187"/>
      <c r="AP448" s="184"/>
      <c r="AQ448" s="187"/>
      <c r="AR448" s="187"/>
      <c r="AS448" s="119"/>
    </row>
    <row r="449">
      <c r="A449" s="137">
        <v>326.0</v>
      </c>
      <c r="B449" s="150"/>
      <c r="C449" s="104" t="s">
        <v>3141</v>
      </c>
      <c r="D449" s="105" t="s">
        <v>48</v>
      </c>
      <c r="E449" s="107" t="s">
        <v>48</v>
      </c>
      <c r="F449" s="101"/>
      <c r="G449" s="40" t="s">
        <v>3142</v>
      </c>
      <c r="H449" s="55" t="s">
        <v>3143</v>
      </c>
      <c r="I449" s="69" t="s">
        <v>3144</v>
      </c>
      <c r="J449" s="155"/>
      <c r="K449" s="37">
        <v>44008.0</v>
      </c>
      <c r="L449" s="37">
        <v>44010.0</v>
      </c>
      <c r="M449" s="73" t="s">
        <v>3145</v>
      </c>
      <c r="N449" s="73" t="s">
        <v>139</v>
      </c>
      <c r="O449" s="113">
        <v>43806.0</v>
      </c>
      <c r="P449" s="37">
        <v>43932.0</v>
      </c>
      <c r="Q449" s="22"/>
      <c r="R449" s="22"/>
      <c r="S449" s="117"/>
      <c r="T449" s="157"/>
      <c r="U449" s="176" t="s">
        <v>97</v>
      </c>
      <c r="V449" s="161"/>
      <c r="W449" s="161"/>
      <c r="X449" s="161"/>
      <c r="Y449" s="161"/>
      <c r="Z449" s="161"/>
      <c r="AA449" s="161"/>
      <c r="AB449" s="161"/>
      <c r="AC449" s="161"/>
      <c r="AD449" s="161"/>
      <c r="AE449" s="161"/>
      <c r="AF449" s="161"/>
      <c r="AG449" s="161"/>
      <c r="AH449" s="163"/>
      <c r="AI449" s="163"/>
      <c r="AJ449" s="163"/>
      <c r="AK449" s="163"/>
      <c r="AL449" s="163"/>
      <c r="AM449" s="163"/>
      <c r="AN449" s="161"/>
      <c r="AO449" s="161"/>
      <c r="AP449" s="161"/>
      <c r="AQ449" s="161"/>
      <c r="AR449" s="161"/>
      <c r="AS449" s="119"/>
    </row>
    <row r="450">
      <c r="A450" s="137">
        <v>327.0</v>
      </c>
      <c r="B450" s="150"/>
      <c r="C450" s="104" t="s">
        <v>3146</v>
      </c>
      <c r="D450" s="105" t="s">
        <v>51</v>
      </c>
      <c r="E450" s="107" t="s">
        <v>1010</v>
      </c>
      <c r="F450" s="101"/>
      <c r="G450" s="40" t="s">
        <v>3147</v>
      </c>
      <c r="H450" s="55" t="s">
        <v>3148</v>
      </c>
      <c r="I450" s="69" t="s">
        <v>3149</v>
      </c>
      <c r="J450" s="155"/>
      <c r="K450" s="37">
        <v>43951.0</v>
      </c>
      <c r="L450" s="37">
        <v>43953.0</v>
      </c>
      <c r="M450" s="73" t="s">
        <v>3150</v>
      </c>
      <c r="N450" s="73" t="s">
        <v>139</v>
      </c>
      <c r="O450" s="113">
        <v>43784.0</v>
      </c>
      <c r="P450" s="37">
        <v>43847.0</v>
      </c>
      <c r="Q450" s="22"/>
      <c r="R450" s="22"/>
      <c r="S450" s="117"/>
      <c r="T450" s="157"/>
      <c r="U450" s="161"/>
      <c r="V450" s="241" t="s">
        <v>97</v>
      </c>
      <c r="W450" s="120" t="s">
        <v>97</v>
      </c>
      <c r="X450" s="161"/>
      <c r="Y450" s="161"/>
      <c r="Z450" s="161"/>
      <c r="AA450" s="161"/>
      <c r="AB450" s="161"/>
      <c r="AC450" s="161"/>
      <c r="AD450" s="161"/>
      <c r="AE450" s="161"/>
      <c r="AF450" s="161"/>
      <c r="AG450" s="161"/>
      <c r="AH450" s="163"/>
      <c r="AI450" s="163"/>
      <c r="AJ450" s="163"/>
      <c r="AK450" s="163"/>
      <c r="AL450" s="163"/>
      <c r="AM450" s="163"/>
      <c r="AN450" s="161"/>
      <c r="AO450" s="161"/>
      <c r="AP450" s="161"/>
      <c r="AQ450" s="161"/>
      <c r="AR450" s="161"/>
      <c r="AS450" s="119"/>
    </row>
    <row r="451">
      <c r="A451" s="101">
        <v>328.0</v>
      </c>
      <c r="B451" s="150"/>
      <c r="C451" s="104" t="s">
        <v>3151</v>
      </c>
      <c r="D451" s="138" t="s">
        <v>62</v>
      </c>
      <c r="E451" s="107" t="s">
        <v>523</v>
      </c>
      <c r="F451" s="101"/>
      <c r="G451" s="40" t="s">
        <v>3152</v>
      </c>
      <c r="H451" s="55" t="s">
        <v>3153</v>
      </c>
      <c r="I451" s="69" t="s">
        <v>3154</v>
      </c>
      <c r="J451" s="155"/>
      <c r="K451" s="37">
        <v>44093.0</v>
      </c>
      <c r="L451" s="37">
        <v>44094.0</v>
      </c>
      <c r="M451" s="73" t="s">
        <v>310</v>
      </c>
      <c r="N451" s="73" t="s">
        <v>72</v>
      </c>
      <c r="O451" s="113">
        <v>44044.0</v>
      </c>
      <c r="P451" s="37">
        <v>44044.0</v>
      </c>
      <c r="Q451" s="22"/>
      <c r="R451" s="22"/>
      <c r="S451" s="117"/>
      <c r="T451" s="157"/>
      <c r="U451" s="161"/>
      <c r="V451" s="161"/>
      <c r="W451" s="161"/>
      <c r="X451" s="161"/>
      <c r="Y451" s="161"/>
      <c r="Z451" s="161"/>
      <c r="AA451" s="161"/>
      <c r="AB451" s="161"/>
      <c r="AC451" s="161"/>
      <c r="AD451" s="161"/>
      <c r="AE451" s="161"/>
      <c r="AF451" s="548" t="s">
        <v>97</v>
      </c>
      <c r="AG451" s="161"/>
      <c r="AH451" s="163"/>
      <c r="AI451" s="163"/>
      <c r="AJ451" s="163"/>
      <c r="AK451" s="163"/>
      <c r="AL451" s="163"/>
      <c r="AM451" s="163"/>
      <c r="AN451" s="161"/>
      <c r="AO451" s="161"/>
      <c r="AP451" s="161"/>
      <c r="AQ451" s="161"/>
      <c r="AR451" s="161"/>
      <c r="AS451" s="119"/>
    </row>
    <row r="452">
      <c r="A452" s="137">
        <v>795.0</v>
      </c>
      <c r="B452" s="103">
        <v>9.0</v>
      </c>
      <c r="C452" s="104" t="s">
        <v>3155</v>
      </c>
      <c r="D452" s="138" t="s">
        <v>62</v>
      </c>
      <c r="E452" s="107" t="s">
        <v>523</v>
      </c>
      <c r="F452" s="109"/>
      <c r="G452" s="10" t="s">
        <v>1721</v>
      </c>
      <c r="H452" s="17" t="s">
        <v>3156</v>
      </c>
      <c r="I452" s="111" t="s">
        <v>3157</v>
      </c>
      <c r="J452" s="155"/>
      <c r="K452" s="37">
        <v>44099.0</v>
      </c>
      <c r="L452" s="37">
        <v>44101.0</v>
      </c>
      <c r="M452" s="24" t="s">
        <v>230</v>
      </c>
      <c r="N452" s="24" t="s">
        <v>231</v>
      </c>
      <c r="O452" s="37">
        <v>43936.0</v>
      </c>
      <c r="P452" s="37">
        <v>44025.0</v>
      </c>
      <c r="Q452" s="115"/>
      <c r="R452" s="115"/>
      <c r="S452" s="117"/>
      <c r="T452" s="118"/>
      <c r="U452" s="119"/>
      <c r="V452" s="119"/>
      <c r="W452" s="119"/>
      <c r="X452" s="119"/>
      <c r="Y452" s="119"/>
      <c r="Z452" s="119"/>
      <c r="AA452" s="119"/>
      <c r="AB452" s="119"/>
      <c r="AC452" s="119"/>
      <c r="AD452" s="119"/>
      <c r="AE452" s="119"/>
      <c r="AF452" s="548" t="s">
        <v>97</v>
      </c>
      <c r="AG452" s="119"/>
      <c r="AH452" s="121"/>
      <c r="AI452" s="121"/>
      <c r="AJ452" s="121"/>
      <c r="AK452" s="121"/>
      <c r="AL452" s="121"/>
      <c r="AM452" s="121"/>
      <c r="AN452" s="119"/>
      <c r="AO452" s="119"/>
      <c r="AP452" s="119"/>
      <c r="AQ452" s="119"/>
      <c r="AR452" s="119"/>
      <c r="AS452" s="119"/>
    </row>
    <row r="453">
      <c r="A453" s="137">
        <v>329.0</v>
      </c>
      <c r="B453" s="177"/>
      <c r="C453" s="104" t="s">
        <v>3158</v>
      </c>
      <c r="D453" s="138" t="s">
        <v>62</v>
      </c>
      <c r="E453" s="107" t="s">
        <v>523</v>
      </c>
      <c r="F453" s="178"/>
      <c r="G453" s="77" t="s">
        <v>1243</v>
      </c>
      <c r="H453" s="250" t="s">
        <v>1244</v>
      </c>
      <c r="I453" s="175" t="s">
        <v>1245</v>
      </c>
      <c r="J453" s="222" t="s">
        <v>1246</v>
      </c>
      <c r="K453" s="113">
        <v>43909.0</v>
      </c>
      <c r="L453" s="113">
        <v>43912.0</v>
      </c>
      <c r="M453" s="85" t="s">
        <v>447</v>
      </c>
      <c r="N453" s="85" t="s">
        <v>80</v>
      </c>
      <c r="O453" s="113">
        <v>43678.0</v>
      </c>
      <c r="P453" s="113">
        <v>43769.0</v>
      </c>
      <c r="Q453" s="373"/>
      <c r="R453" s="373"/>
      <c r="S453" s="224"/>
      <c r="T453" s="181"/>
      <c r="U453" s="184"/>
      <c r="V453" s="184"/>
      <c r="W453" s="184"/>
      <c r="X453" s="184"/>
      <c r="Y453" s="184"/>
      <c r="Z453" s="184"/>
      <c r="AA453" s="184"/>
      <c r="AB453" s="184"/>
      <c r="AC453" s="184"/>
      <c r="AD453" s="186"/>
      <c r="AE453" s="187"/>
      <c r="AF453" s="415" t="s">
        <v>97</v>
      </c>
      <c r="AG453" s="187"/>
      <c r="AH453" s="189"/>
      <c r="AI453" s="189"/>
      <c r="AJ453" s="189"/>
      <c r="AK453" s="189"/>
      <c r="AL453" s="189"/>
      <c r="AM453" s="189"/>
      <c r="AN453" s="187"/>
      <c r="AO453" s="187"/>
      <c r="AP453" s="184"/>
      <c r="AQ453" s="187"/>
      <c r="AR453" s="187"/>
      <c r="AS453" s="119"/>
    </row>
    <row r="454">
      <c r="A454" s="137">
        <v>330.0</v>
      </c>
      <c r="B454" s="150"/>
      <c r="C454" s="104" t="s">
        <v>3159</v>
      </c>
      <c r="D454" s="105" t="s">
        <v>48</v>
      </c>
      <c r="E454" s="107" t="s">
        <v>48</v>
      </c>
      <c r="F454" s="101"/>
      <c r="G454" s="40" t="s">
        <v>3160</v>
      </c>
      <c r="H454" s="55" t="s">
        <v>3161</v>
      </c>
      <c r="I454" s="69" t="s">
        <v>3162</v>
      </c>
      <c r="J454" s="155"/>
      <c r="K454" s="37">
        <v>43897.0</v>
      </c>
      <c r="L454" s="37">
        <v>43897.0</v>
      </c>
      <c r="M454" s="73" t="s">
        <v>3163</v>
      </c>
      <c r="N454" s="73" t="s">
        <v>72</v>
      </c>
      <c r="O454" s="113">
        <v>43646.0</v>
      </c>
      <c r="P454" s="37">
        <v>43799.0</v>
      </c>
      <c r="Q454" s="22"/>
      <c r="R454" s="22"/>
      <c r="S454" s="117"/>
      <c r="T454" s="157"/>
      <c r="U454" s="176" t="s">
        <v>97</v>
      </c>
      <c r="V454" s="161"/>
      <c r="W454" s="161"/>
      <c r="X454" s="161"/>
      <c r="Y454" s="161"/>
      <c r="Z454" s="161"/>
      <c r="AA454" s="161"/>
      <c r="AB454" s="161"/>
      <c r="AC454" s="161"/>
      <c r="AD454" s="161"/>
      <c r="AE454" s="161"/>
      <c r="AF454" s="161"/>
      <c r="AG454" s="161"/>
      <c r="AH454" s="163"/>
      <c r="AI454" s="163"/>
      <c r="AJ454" s="163"/>
      <c r="AK454" s="163"/>
      <c r="AL454" s="163"/>
      <c r="AM454" s="163"/>
      <c r="AN454" s="161"/>
      <c r="AO454" s="161"/>
      <c r="AP454" s="161"/>
      <c r="AQ454" s="161"/>
      <c r="AR454" s="161"/>
      <c r="AS454" s="119"/>
    </row>
    <row r="455">
      <c r="A455" s="137">
        <v>331.0</v>
      </c>
      <c r="B455" s="315">
        <v>11.0</v>
      </c>
      <c r="C455" s="104" t="s">
        <v>3164</v>
      </c>
      <c r="D455" s="138" t="s">
        <v>62</v>
      </c>
      <c r="E455" s="107" t="s">
        <v>523</v>
      </c>
      <c r="F455" s="178"/>
      <c r="G455" s="77" t="s">
        <v>3165</v>
      </c>
      <c r="H455" s="81" t="s">
        <v>3166</v>
      </c>
      <c r="I455" s="316" t="s">
        <v>24</v>
      </c>
      <c r="J455" s="155"/>
      <c r="K455" s="22" t="s">
        <v>27</v>
      </c>
      <c r="L455" s="22" t="s">
        <v>27</v>
      </c>
      <c r="M455" s="85" t="s">
        <v>221</v>
      </c>
      <c r="N455" s="85" t="s">
        <v>72</v>
      </c>
      <c r="O455" s="22" t="s">
        <v>27</v>
      </c>
      <c r="P455" s="22" t="s">
        <v>27</v>
      </c>
      <c r="Q455" s="201"/>
      <c r="R455" s="201"/>
      <c r="S455" s="224"/>
      <c r="T455" s="181"/>
      <c r="U455" s="184"/>
      <c r="V455" s="184"/>
      <c r="W455" s="184"/>
      <c r="X455" s="184"/>
      <c r="Y455" s="184"/>
      <c r="Z455" s="184"/>
      <c r="AA455" s="184"/>
      <c r="AB455" s="184"/>
      <c r="AC455" s="184"/>
      <c r="AD455" s="186"/>
      <c r="AE455" s="187"/>
      <c r="AF455" s="415" t="s">
        <v>97</v>
      </c>
      <c r="AG455" s="187"/>
      <c r="AH455" s="189"/>
      <c r="AI455" s="189"/>
      <c r="AJ455" s="189"/>
      <c r="AK455" s="189"/>
      <c r="AL455" s="189"/>
      <c r="AM455" s="189"/>
      <c r="AN455" s="187"/>
      <c r="AO455" s="187"/>
      <c r="AP455" s="184"/>
      <c r="AQ455" s="187"/>
      <c r="AR455" s="187"/>
      <c r="AS455" s="119"/>
    </row>
    <row r="456">
      <c r="A456" s="137">
        <v>918.0</v>
      </c>
      <c r="B456" s="284"/>
      <c r="C456" s="123" t="s">
        <v>3167</v>
      </c>
      <c r="D456" s="138" t="s">
        <v>62</v>
      </c>
      <c r="E456" s="126" t="s">
        <v>3168</v>
      </c>
      <c r="F456" s="312"/>
      <c r="G456" s="216" t="s">
        <v>252</v>
      </c>
      <c r="H456" s="89" t="s">
        <v>253</v>
      </c>
      <c r="I456" s="91" t="str">
        <f>HYPERLINK("https://filmfreeway.com/ItalianFilmFestivalUSA","https://filmfreeway.com/ItalianFilmFestivalUSA")</f>
        <v>https://filmfreeway.com/ItalianFilmFestivalUSA</v>
      </c>
      <c r="J456" s="93" t="s">
        <v>78</v>
      </c>
      <c r="K456" s="145">
        <v>43922.0</v>
      </c>
      <c r="L456" s="145">
        <v>43951.0</v>
      </c>
      <c r="M456" s="130" t="s">
        <v>255</v>
      </c>
      <c r="N456" s="130" t="s">
        <v>256</v>
      </c>
      <c r="O456" s="145">
        <v>43830.0</v>
      </c>
      <c r="P456" s="145">
        <v>43830.0</v>
      </c>
      <c r="Q456" s="131"/>
      <c r="R456" s="132"/>
      <c r="S456" s="132"/>
      <c r="T456" s="118"/>
      <c r="U456" s="119"/>
      <c r="V456" s="119"/>
      <c r="W456" s="120" t="s">
        <v>97</v>
      </c>
      <c r="X456" s="119"/>
      <c r="Y456" s="134"/>
      <c r="Z456" s="119"/>
      <c r="AA456" s="119"/>
      <c r="AB456" s="119"/>
      <c r="AC456" s="119"/>
      <c r="AD456" s="119"/>
      <c r="AE456" s="119"/>
      <c r="AF456" s="548" t="s">
        <v>97</v>
      </c>
      <c r="AG456" s="119"/>
      <c r="AH456" s="121"/>
      <c r="AI456" s="121"/>
      <c r="AJ456" s="121"/>
      <c r="AK456" s="121"/>
      <c r="AL456" s="121"/>
      <c r="AM456" s="135"/>
      <c r="AN456" s="119"/>
      <c r="AO456" s="119"/>
      <c r="AP456" s="119"/>
      <c r="AQ456" s="119"/>
      <c r="AR456" s="119"/>
      <c r="AS456" s="119"/>
    </row>
    <row r="457">
      <c r="A457" s="101">
        <v>332.0</v>
      </c>
      <c r="B457" s="150"/>
      <c r="C457" s="104" t="s">
        <v>3169</v>
      </c>
      <c r="D457" s="105" t="s">
        <v>70</v>
      </c>
      <c r="E457" s="107" t="s">
        <v>70</v>
      </c>
      <c r="F457" s="101"/>
      <c r="G457" s="40" t="s">
        <v>694</v>
      </c>
      <c r="H457" s="55" t="s">
        <v>695</v>
      </c>
      <c r="I457" s="69" t="s">
        <v>696</v>
      </c>
      <c r="J457" s="20" t="s">
        <v>699</v>
      </c>
      <c r="K457" s="37">
        <v>43934.0</v>
      </c>
      <c r="L457" s="37">
        <v>43940.0</v>
      </c>
      <c r="M457" s="73" t="s">
        <v>700</v>
      </c>
      <c r="N457" s="73" t="s">
        <v>701</v>
      </c>
      <c r="O457" s="113">
        <v>43770.0</v>
      </c>
      <c r="P457" s="37">
        <v>43891.0</v>
      </c>
      <c r="Q457" s="22"/>
      <c r="R457" s="22"/>
      <c r="S457" s="117"/>
      <c r="T457" s="157"/>
      <c r="U457" s="161"/>
      <c r="V457" s="161"/>
      <c r="W457" s="161"/>
      <c r="X457" s="161"/>
      <c r="Y457" s="161"/>
      <c r="Z457" s="161"/>
      <c r="AA457" s="161"/>
      <c r="AB457" s="161"/>
      <c r="AC457" s="161"/>
      <c r="AD457" s="161"/>
      <c r="AE457" s="161"/>
      <c r="AF457" s="161"/>
      <c r="AG457" s="161"/>
      <c r="AH457" s="163"/>
      <c r="AI457" s="163"/>
      <c r="AJ457" s="163"/>
      <c r="AK457" s="163"/>
      <c r="AL457" s="149" t="s">
        <v>97</v>
      </c>
      <c r="AM457" s="163"/>
      <c r="AN457" s="161"/>
      <c r="AO457" s="161"/>
      <c r="AP457" s="161"/>
      <c r="AQ457" s="161"/>
      <c r="AR457" s="161"/>
      <c r="AS457" s="119"/>
    </row>
    <row r="458">
      <c r="A458" s="101">
        <v>894.0</v>
      </c>
      <c r="B458" s="122">
        <v>11.0</v>
      </c>
      <c r="C458" s="123" t="s">
        <v>3170</v>
      </c>
      <c r="D458" s="285" t="s">
        <v>48</v>
      </c>
      <c r="E458" s="287" t="s">
        <v>48</v>
      </c>
      <c r="F458" s="127"/>
      <c r="G458" s="128" t="s">
        <v>3171</v>
      </c>
      <c r="H458" s="89" t="s">
        <v>3172</v>
      </c>
      <c r="I458" s="91" t="str">
        <f>HYPERLINK("https://filmfreeway.com/JacksonvilleFilmFestival","https://filmfreeway.com/JacksonvilleFilmFestival")</f>
        <v>https://filmfreeway.com/JacksonvilleFilmFestival</v>
      </c>
      <c r="J458" s="155"/>
      <c r="K458" s="22" t="s">
        <v>27</v>
      </c>
      <c r="L458" s="22" t="s">
        <v>27</v>
      </c>
      <c r="M458" s="130" t="s">
        <v>3173</v>
      </c>
      <c r="N458" s="130" t="s">
        <v>46</v>
      </c>
      <c r="O458" s="22" t="s">
        <v>27</v>
      </c>
      <c r="P458" s="22" t="s">
        <v>27</v>
      </c>
      <c r="Q458" s="131"/>
      <c r="R458" s="132"/>
      <c r="S458" s="132"/>
      <c r="T458" s="118"/>
      <c r="U458" s="176" t="s">
        <v>97</v>
      </c>
      <c r="V458" s="119"/>
      <c r="W458" s="119"/>
      <c r="X458" s="119"/>
      <c r="Y458" s="134"/>
      <c r="Z458" s="119"/>
      <c r="AA458" s="119"/>
      <c r="AB458" s="119"/>
      <c r="AC458" s="119"/>
      <c r="AD458" s="119"/>
      <c r="AE458" s="119"/>
      <c r="AF458" s="119"/>
      <c r="AG458" s="119"/>
      <c r="AH458" s="121"/>
      <c r="AI458" s="121"/>
      <c r="AJ458" s="121"/>
      <c r="AK458" s="121"/>
      <c r="AL458" s="121"/>
      <c r="AM458" s="135"/>
      <c r="AN458" s="119"/>
      <c r="AO458" s="119"/>
      <c r="AP458" s="119"/>
      <c r="AQ458" s="119"/>
      <c r="AR458" s="119"/>
      <c r="AS458" s="119"/>
    </row>
    <row r="459">
      <c r="A459" s="137">
        <v>333.0</v>
      </c>
      <c r="B459" s="177">
        <v>11.0</v>
      </c>
      <c r="C459" s="104" t="s">
        <v>3174</v>
      </c>
      <c r="D459" s="105" t="s">
        <v>52</v>
      </c>
      <c r="E459" s="107" t="s">
        <v>52</v>
      </c>
      <c r="F459" s="178"/>
      <c r="G459" s="77" t="s">
        <v>3175</v>
      </c>
      <c r="H459" s="81" t="s">
        <v>3176</v>
      </c>
      <c r="I459" s="84" t="s">
        <v>3177</v>
      </c>
      <c r="J459" s="155"/>
      <c r="K459" s="22" t="s">
        <v>27</v>
      </c>
      <c r="L459" s="22" t="s">
        <v>27</v>
      </c>
      <c r="M459" s="85" t="s">
        <v>658</v>
      </c>
      <c r="N459" s="85" t="s">
        <v>291</v>
      </c>
      <c r="O459" s="22" t="s">
        <v>27</v>
      </c>
      <c r="P459" s="22" t="s">
        <v>27</v>
      </c>
      <c r="Q459" s="373"/>
      <c r="R459" s="373"/>
      <c r="S459" s="224"/>
      <c r="T459" s="181"/>
      <c r="U459" s="184"/>
      <c r="V459" s="184"/>
      <c r="W459" s="319" t="s">
        <v>97</v>
      </c>
      <c r="X459" s="184"/>
      <c r="Y459" s="184"/>
      <c r="Z459" s="184"/>
      <c r="AA459" s="184"/>
      <c r="AB459" s="184"/>
      <c r="AC459" s="184"/>
      <c r="AD459" s="186"/>
      <c r="AE459" s="187"/>
      <c r="AF459" s="184"/>
      <c r="AG459" s="187"/>
      <c r="AH459" s="189"/>
      <c r="AI459" s="189"/>
      <c r="AJ459" s="189"/>
      <c r="AK459" s="189"/>
      <c r="AL459" s="189"/>
      <c r="AM459" s="189"/>
      <c r="AN459" s="187"/>
      <c r="AO459" s="187"/>
      <c r="AP459" s="184"/>
      <c r="AQ459" s="187"/>
      <c r="AR459" s="187"/>
      <c r="AS459" s="119"/>
    </row>
    <row r="460">
      <c r="A460" s="101">
        <v>960.0</v>
      </c>
      <c r="B460" s="122">
        <v>8.0</v>
      </c>
      <c r="C460" s="123" t="s">
        <v>3178</v>
      </c>
      <c r="D460" s="309" t="s">
        <v>57</v>
      </c>
      <c r="E460" s="311" t="s">
        <v>57</v>
      </c>
      <c r="F460" s="127"/>
      <c r="G460" s="128" t="s">
        <v>3179</v>
      </c>
      <c r="H460" s="89" t="s">
        <v>3180</v>
      </c>
      <c r="I460" s="91" t="str">
        <f>HYPERLINK("https://filmfreeway.com/JapanFilmFestivalLosAngeles","https://filmfreeway.com/JapanFilmFestivalLosAngeles")</f>
        <v>https://filmfreeway.com/JapanFilmFestivalLosAngeles</v>
      </c>
      <c r="J460" s="155"/>
      <c r="K460" s="22" t="s">
        <v>27</v>
      </c>
      <c r="L460" s="22" t="s">
        <v>27</v>
      </c>
      <c r="M460" s="130" t="s">
        <v>221</v>
      </c>
      <c r="N460" s="130" t="s">
        <v>72</v>
      </c>
      <c r="O460" s="22" t="s">
        <v>27</v>
      </c>
      <c r="P460" s="22" t="s">
        <v>27</v>
      </c>
      <c r="Q460" s="131"/>
      <c r="R460" s="132"/>
      <c r="S460" s="132"/>
      <c r="T460" s="118"/>
      <c r="U460" s="119"/>
      <c r="V460" s="119"/>
      <c r="W460" s="119"/>
      <c r="X460" s="119"/>
      <c r="Y460" s="134"/>
      <c r="Z460" s="119"/>
      <c r="AA460" s="119"/>
      <c r="AB460" s="307" t="s">
        <v>97</v>
      </c>
      <c r="AC460" s="119"/>
      <c r="AD460" s="119"/>
      <c r="AE460" s="119"/>
      <c r="AF460" s="119"/>
      <c r="AG460" s="119"/>
      <c r="AH460" s="121"/>
      <c r="AI460" s="121"/>
      <c r="AJ460" s="121"/>
      <c r="AK460" s="121"/>
      <c r="AL460" s="121"/>
      <c r="AM460" s="135"/>
      <c r="AN460" s="119"/>
      <c r="AO460" s="119"/>
      <c r="AP460" s="119"/>
      <c r="AQ460" s="119"/>
      <c r="AR460" s="119"/>
      <c r="AS460" s="119"/>
    </row>
    <row r="461">
      <c r="A461" s="137">
        <v>334.0</v>
      </c>
      <c r="B461" s="150">
        <v>6.0</v>
      </c>
      <c r="C461" s="104" t="s">
        <v>3181</v>
      </c>
      <c r="D461" s="105" t="s">
        <v>48</v>
      </c>
      <c r="E461" s="107" t="s">
        <v>48</v>
      </c>
      <c r="F461" s="101"/>
      <c r="G461" s="40" t="s">
        <v>3182</v>
      </c>
      <c r="H461" s="55" t="s">
        <v>3183</v>
      </c>
      <c r="I461" s="235" t="s">
        <v>3184</v>
      </c>
      <c r="J461" s="112"/>
      <c r="K461" s="113">
        <v>44005.0</v>
      </c>
      <c r="L461" s="113">
        <v>44012.0</v>
      </c>
      <c r="M461" s="73" t="s">
        <v>3185</v>
      </c>
      <c r="N461" s="73" t="s">
        <v>412</v>
      </c>
      <c r="O461" s="113">
        <v>43849.0</v>
      </c>
      <c r="P461" s="113">
        <v>43954.0</v>
      </c>
      <c r="Q461" s="22"/>
      <c r="R461" s="22"/>
      <c r="S461" s="117"/>
      <c r="T461" s="157"/>
      <c r="U461" s="176" t="s">
        <v>97</v>
      </c>
      <c r="V461" s="161"/>
      <c r="W461" s="161"/>
      <c r="X461" s="161"/>
      <c r="Y461" s="161"/>
      <c r="Z461" s="161"/>
      <c r="AA461" s="161"/>
      <c r="AB461" s="161"/>
      <c r="AC461" s="161"/>
      <c r="AD461" s="161"/>
      <c r="AE461" s="161"/>
      <c r="AF461" s="161"/>
      <c r="AG461" s="161"/>
      <c r="AH461" s="163"/>
      <c r="AI461" s="163"/>
      <c r="AJ461" s="163"/>
      <c r="AK461" s="163"/>
      <c r="AL461" s="163"/>
      <c r="AM461" s="163"/>
      <c r="AN461" s="161"/>
      <c r="AO461" s="161"/>
      <c r="AP461" s="161"/>
      <c r="AQ461" s="161"/>
      <c r="AR461" s="161"/>
      <c r="AS461" s="119"/>
    </row>
    <row r="462">
      <c r="A462" s="101">
        <v>335.0</v>
      </c>
      <c r="B462" s="150"/>
      <c r="C462" s="104" t="s">
        <v>3186</v>
      </c>
      <c r="D462" s="296" t="s">
        <v>55</v>
      </c>
      <c r="E462" s="297" t="s">
        <v>55</v>
      </c>
      <c r="F462" s="101"/>
      <c r="G462" s="40" t="s">
        <v>207</v>
      </c>
      <c r="H462" s="55" t="s">
        <v>208</v>
      </c>
      <c r="I462" s="678" t="s">
        <v>210</v>
      </c>
      <c r="J462" s="245" t="s">
        <v>26</v>
      </c>
      <c r="K462" s="37">
        <v>43944.0</v>
      </c>
      <c r="L462" s="37">
        <v>43954.0</v>
      </c>
      <c r="M462" s="73" t="s">
        <v>211</v>
      </c>
      <c r="N462" s="73" t="s">
        <v>212</v>
      </c>
      <c r="O462" s="113">
        <v>43708.0</v>
      </c>
      <c r="P462" s="37">
        <v>43769.0</v>
      </c>
      <c r="Q462" s="22"/>
      <c r="R462" s="22"/>
      <c r="S462" s="117"/>
      <c r="T462" s="157"/>
      <c r="U462" s="161"/>
      <c r="V462" s="161"/>
      <c r="W462" s="161"/>
      <c r="X462" s="161"/>
      <c r="Y462" s="161"/>
      <c r="Z462" s="299" t="s">
        <v>97</v>
      </c>
      <c r="AA462" s="161"/>
      <c r="AB462" s="161"/>
      <c r="AC462" s="161"/>
      <c r="AD462" s="161"/>
      <c r="AE462" s="161"/>
      <c r="AF462" s="161"/>
      <c r="AG462" s="161"/>
      <c r="AH462" s="163"/>
      <c r="AI462" s="163"/>
      <c r="AJ462" s="163"/>
      <c r="AK462" s="163"/>
      <c r="AL462" s="163"/>
      <c r="AM462" s="163"/>
      <c r="AN462" s="161"/>
      <c r="AO462" s="161"/>
      <c r="AP462" s="161"/>
      <c r="AQ462" s="161"/>
      <c r="AR462" s="161"/>
      <c r="AS462" s="119"/>
    </row>
    <row r="463">
      <c r="A463" s="137">
        <v>336.0</v>
      </c>
      <c r="B463" s="177">
        <v>10.0</v>
      </c>
      <c r="C463" s="104" t="s">
        <v>3187</v>
      </c>
      <c r="D463" s="105" t="s">
        <v>70</v>
      </c>
      <c r="E463" s="107" t="s">
        <v>70</v>
      </c>
      <c r="F463" s="178"/>
      <c r="G463" s="77" t="s">
        <v>3188</v>
      </c>
      <c r="H463" s="81" t="s">
        <v>3189</v>
      </c>
      <c r="I463" s="84" t="s">
        <v>3190</v>
      </c>
      <c r="J463" s="155"/>
      <c r="K463" s="37">
        <v>44119.0</v>
      </c>
      <c r="L463" s="37">
        <v>44121.0</v>
      </c>
      <c r="M463" s="85" t="s">
        <v>3191</v>
      </c>
      <c r="N463" s="85" t="s">
        <v>102</v>
      </c>
      <c r="O463" s="37">
        <v>43983.0</v>
      </c>
      <c r="P463" s="37">
        <v>43983.0</v>
      </c>
      <c r="Q463" s="373"/>
      <c r="R463" s="373"/>
      <c r="S463" s="224"/>
      <c r="T463" s="181"/>
      <c r="U463" s="184"/>
      <c r="V463" s="184"/>
      <c r="W463" s="184"/>
      <c r="X463" s="184"/>
      <c r="Y463" s="184"/>
      <c r="Z463" s="184"/>
      <c r="AA463" s="184"/>
      <c r="AB463" s="184"/>
      <c r="AC463" s="184"/>
      <c r="AD463" s="186"/>
      <c r="AE463" s="187"/>
      <c r="AF463" s="184"/>
      <c r="AG463" s="187"/>
      <c r="AH463" s="189"/>
      <c r="AI463" s="189"/>
      <c r="AJ463" s="189"/>
      <c r="AK463" s="189"/>
      <c r="AL463" s="149" t="s">
        <v>97</v>
      </c>
      <c r="AM463" s="189"/>
      <c r="AN463" s="187"/>
      <c r="AO463" s="187"/>
      <c r="AP463" s="184"/>
      <c r="AQ463" s="187"/>
      <c r="AR463" s="187"/>
      <c r="AS463" s="119"/>
    </row>
    <row r="464">
      <c r="A464" s="137">
        <v>337.0</v>
      </c>
      <c r="B464" s="177">
        <v>9.0</v>
      </c>
      <c r="C464" s="104" t="s">
        <v>3192</v>
      </c>
      <c r="D464" s="138" t="s">
        <v>63</v>
      </c>
      <c r="E464" s="107" t="s">
        <v>550</v>
      </c>
      <c r="F464" s="178"/>
      <c r="G464" s="77" t="s">
        <v>3193</v>
      </c>
      <c r="H464" s="81" t="s">
        <v>3194</v>
      </c>
      <c r="I464" s="84" t="s">
        <v>3195</v>
      </c>
      <c r="J464" s="155"/>
      <c r="K464" s="22" t="s">
        <v>27</v>
      </c>
      <c r="L464" s="22" t="s">
        <v>27</v>
      </c>
      <c r="M464" s="85" t="s">
        <v>230</v>
      </c>
      <c r="N464" s="85" t="s">
        <v>231</v>
      </c>
      <c r="O464" s="22" t="s">
        <v>27</v>
      </c>
      <c r="P464" s="22" t="s">
        <v>27</v>
      </c>
      <c r="Q464" s="22"/>
      <c r="R464" s="22"/>
      <c r="S464" s="117"/>
      <c r="T464" s="181"/>
      <c r="U464" s="184"/>
      <c r="V464" s="184"/>
      <c r="W464" s="319" t="s">
        <v>97</v>
      </c>
      <c r="X464" s="184"/>
      <c r="Y464" s="184"/>
      <c r="Z464" s="184"/>
      <c r="AA464" s="184"/>
      <c r="AB464" s="184"/>
      <c r="AC464" s="184"/>
      <c r="AD464" s="186"/>
      <c r="AE464" s="187"/>
      <c r="AF464" s="184"/>
      <c r="AG464" s="275" t="s">
        <v>97</v>
      </c>
      <c r="AH464" s="189"/>
      <c r="AI464" s="189"/>
      <c r="AJ464" s="189"/>
      <c r="AK464" s="189"/>
      <c r="AL464" s="189"/>
      <c r="AM464" s="189"/>
      <c r="AN464" s="187"/>
      <c r="AO464" s="187"/>
      <c r="AP464" s="184"/>
      <c r="AQ464" s="187"/>
      <c r="AR464" s="187"/>
      <c r="AS464" s="119"/>
    </row>
    <row r="465">
      <c r="A465" s="101">
        <v>338.0</v>
      </c>
      <c r="B465" s="292"/>
      <c r="C465" s="104" t="s">
        <v>3196</v>
      </c>
      <c r="D465" s="105" t="s">
        <v>48</v>
      </c>
      <c r="E465" s="107" t="s">
        <v>48</v>
      </c>
      <c r="F465" s="518"/>
      <c r="G465" s="153" t="s">
        <v>133</v>
      </c>
      <c r="H465" s="81" t="s">
        <v>134</v>
      </c>
      <c r="I465" s="158" t="s">
        <v>135</v>
      </c>
      <c r="J465" s="20" t="s">
        <v>137</v>
      </c>
      <c r="K465" s="37">
        <v>43943.0</v>
      </c>
      <c r="L465" s="37">
        <v>43947.0</v>
      </c>
      <c r="M465" s="73" t="s">
        <v>138</v>
      </c>
      <c r="N465" s="73" t="s">
        <v>139</v>
      </c>
      <c r="O465" s="113">
        <v>43745.0</v>
      </c>
      <c r="P465" s="37">
        <v>43877.0</v>
      </c>
      <c r="Q465" s="22"/>
      <c r="R465" s="22"/>
      <c r="S465" s="117"/>
      <c r="T465" s="157"/>
      <c r="U465" s="293" t="s">
        <v>97</v>
      </c>
      <c r="V465" s="194"/>
      <c r="W465" s="194"/>
      <c r="X465" s="194"/>
      <c r="Y465" s="194"/>
      <c r="Z465" s="194"/>
      <c r="AA465" s="194"/>
      <c r="AB465" s="194"/>
      <c r="AC465" s="194"/>
      <c r="AD465" s="186"/>
      <c r="AE465" s="187"/>
      <c r="AF465" s="194"/>
      <c r="AG465" s="187"/>
      <c r="AH465" s="189"/>
      <c r="AI465" s="189"/>
      <c r="AJ465" s="189"/>
      <c r="AK465" s="189"/>
      <c r="AL465" s="189"/>
      <c r="AM465" s="189"/>
      <c r="AN465" s="187"/>
      <c r="AO465" s="187"/>
      <c r="AP465" s="194"/>
      <c r="AQ465" s="187"/>
      <c r="AR465" s="187"/>
      <c r="AS465" s="119"/>
    </row>
    <row r="466">
      <c r="A466" s="137">
        <v>842.0</v>
      </c>
      <c r="B466" s="103">
        <v>10.0</v>
      </c>
      <c r="C466" s="104" t="s">
        <v>3197</v>
      </c>
      <c r="D466" s="138" t="s">
        <v>57</v>
      </c>
      <c r="E466" s="107" t="s">
        <v>306</v>
      </c>
      <c r="F466" s="109"/>
      <c r="G466" s="10" t="s">
        <v>1753</v>
      </c>
      <c r="H466" s="17" t="s">
        <v>3198</v>
      </c>
      <c r="I466" s="111" t="s">
        <v>3199</v>
      </c>
      <c r="J466" s="155"/>
      <c r="K466" s="37">
        <v>44126.0</v>
      </c>
      <c r="L466" s="37">
        <v>44129.0</v>
      </c>
      <c r="M466" s="24" t="s">
        <v>196</v>
      </c>
      <c r="N466" s="24" t="s">
        <v>29</v>
      </c>
      <c r="O466" s="37">
        <v>43938.0</v>
      </c>
      <c r="P466" s="37">
        <v>43994.0</v>
      </c>
      <c r="Q466" s="223"/>
      <c r="R466" s="223"/>
      <c r="S466" s="224"/>
      <c r="T466" s="118"/>
      <c r="U466" s="119"/>
      <c r="V466" s="119"/>
      <c r="W466" s="119"/>
      <c r="X466" s="119"/>
      <c r="Y466" s="119"/>
      <c r="Z466" s="119"/>
      <c r="AA466" s="119"/>
      <c r="AB466" s="307" t="s">
        <v>97</v>
      </c>
      <c r="AC466" s="119"/>
      <c r="AD466" s="119"/>
      <c r="AE466" s="119"/>
      <c r="AF466" s="119"/>
      <c r="AG466" s="119"/>
      <c r="AH466" s="121"/>
      <c r="AI466" s="121"/>
      <c r="AJ466" s="121"/>
      <c r="AK466" s="121"/>
      <c r="AL466" s="121"/>
      <c r="AM466" s="121"/>
      <c r="AN466" s="119"/>
      <c r="AO466" s="119"/>
      <c r="AP466" s="119"/>
      <c r="AQ466" s="119"/>
      <c r="AR466" s="119"/>
      <c r="AS466" s="119"/>
    </row>
    <row r="467">
      <c r="A467" s="137">
        <v>339.0</v>
      </c>
      <c r="B467" s="177"/>
      <c r="C467" s="104" t="s">
        <v>3200</v>
      </c>
      <c r="D467" s="105" t="s">
        <v>48</v>
      </c>
      <c r="E467" s="107" t="s">
        <v>48</v>
      </c>
      <c r="F467" s="178"/>
      <c r="G467" s="77" t="s">
        <v>712</v>
      </c>
      <c r="H467" s="81" t="s">
        <v>716</v>
      </c>
      <c r="I467" s="84" t="s">
        <v>717</v>
      </c>
      <c r="J467" s="20" t="s">
        <v>719</v>
      </c>
      <c r="K467" s="37">
        <v>43936.0</v>
      </c>
      <c r="L467" s="37">
        <v>43940.0</v>
      </c>
      <c r="M467" s="85" t="s">
        <v>721</v>
      </c>
      <c r="N467" s="85" t="s">
        <v>256</v>
      </c>
      <c r="O467" s="113">
        <v>43770.0</v>
      </c>
      <c r="P467" s="37">
        <v>43838.0</v>
      </c>
      <c r="Q467" s="22"/>
      <c r="R467" s="22"/>
      <c r="S467" s="117"/>
      <c r="T467" s="181"/>
      <c r="U467" s="182" t="s">
        <v>97</v>
      </c>
      <c r="V467" s="184"/>
      <c r="W467" s="184"/>
      <c r="X467" s="184"/>
      <c r="Y467" s="184"/>
      <c r="Z467" s="184"/>
      <c r="AA467" s="184"/>
      <c r="AB467" s="184"/>
      <c r="AC467" s="184"/>
      <c r="AD467" s="186"/>
      <c r="AE467" s="187"/>
      <c r="AF467" s="184"/>
      <c r="AG467" s="187"/>
      <c r="AH467" s="189"/>
      <c r="AI467" s="189"/>
      <c r="AJ467" s="189"/>
      <c r="AK467" s="189"/>
      <c r="AL467" s="189"/>
      <c r="AM467" s="189"/>
      <c r="AN467" s="187"/>
      <c r="AO467" s="187"/>
      <c r="AP467" s="184"/>
      <c r="AQ467" s="187"/>
      <c r="AR467" s="187"/>
      <c r="AS467" s="119"/>
    </row>
    <row r="468">
      <c r="A468" s="137">
        <v>340.0</v>
      </c>
      <c r="B468" s="177">
        <v>11.0</v>
      </c>
      <c r="C468" s="104" t="s">
        <v>3201</v>
      </c>
      <c r="D468" s="105" t="s">
        <v>48</v>
      </c>
      <c r="E468" s="107" t="s">
        <v>48</v>
      </c>
      <c r="F468" s="178"/>
      <c r="G468" s="77" t="s">
        <v>3202</v>
      </c>
      <c r="H468" s="81" t="s">
        <v>3203</v>
      </c>
      <c r="I468" s="84" t="s">
        <v>3204</v>
      </c>
      <c r="J468" s="155"/>
      <c r="K468" s="37">
        <v>44141.0</v>
      </c>
      <c r="L468" s="37">
        <v>44147.0</v>
      </c>
      <c r="M468" s="85" t="s">
        <v>3205</v>
      </c>
      <c r="N468" s="85" t="s">
        <v>2464</v>
      </c>
      <c r="O468" s="37">
        <v>43921.0</v>
      </c>
      <c r="P468" s="37">
        <v>44001.0</v>
      </c>
      <c r="Q468" s="535"/>
      <c r="R468" s="535"/>
      <c r="S468" s="117"/>
      <c r="T468" s="181"/>
      <c r="U468" s="182" t="s">
        <v>97</v>
      </c>
      <c r="V468" s="184"/>
      <c r="W468" s="184"/>
      <c r="X468" s="184"/>
      <c r="Y468" s="184"/>
      <c r="Z468" s="184"/>
      <c r="AA468" s="184"/>
      <c r="AB468" s="184"/>
      <c r="AC468" s="184"/>
      <c r="AD468" s="186"/>
      <c r="AE468" s="187"/>
      <c r="AF468" s="184"/>
      <c r="AG468" s="187"/>
      <c r="AH468" s="189"/>
      <c r="AI468" s="189"/>
      <c r="AJ468" s="189"/>
      <c r="AK468" s="189"/>
      <c r="AL468" s="189"/>
      <c r="AM468" s="189"/>
      <c r="AN468" s="187"/>
      <c r="AO468" s="187"/>
      <c r="AP468" s="184"/>
      <c r="AQ468" s="187"/>
      <c r="AR468" s="187"/>
      <c r="AS468" s="119"/>
    </row>
    <row r="469">
      <c r="A469" s="101">
        <v>907.0</v>
      </c>
      <c r="B469" s="284"/>
      <c r="C469" s="123" t="s">
        <v>3206</v>
      </c>
      <c r="D469" s="285" t="s">
        <v>48</v>
      </c>
      <c r="E469" s="287" t="s">
        <v>48</v>
      </c>
      <c r="F469" s="144"/>
      <c r="G469" s="87" t="s">
        <v>3207</v>
      </c>
      <c r="H469" s="89" t="s">
        <v>3208</v>
      </c>
      <c r="I469" s="91" t="str">
        <f>HYPERLINK("https://filmfreeway.com/FestivalofCinemaNYC","https://filmfreeway.com/FestivalofCinemaNYC")</f>
        <v>https://filmfreeway.com/FestivalofCinemaNYC</v>
      </c>
      <c r="J469" s="288"/>
      <c r="K469" s="145">
        <v>44050.0</v>
      </c>
      <c r="L469" s="145">
        <v>44059.0</v>
      </c>
      <c r="M469" s="130" t="s">
        <v>3209</v>
      </c>
      <c r="N469" s="130" t="s">
        <v>29</v>
      </c>
      <c r="O469" s="145">
        <v>43780.0</v>
      </c>
      <c r="P469" s="145">
        <v>43934.0</v>
      </c>
      <c r="Q469" s="131"/>
      <c r="R469" s="132"/>
      <c r="S469" s="148" t="s">
        <v>97</v>
      </c>
      <c r="T469" s="118"/>
      <c r="U469" s="176" t="s">
        <v>97</v>
      </c>
      <c r="V469" s="119"/>
      <c r="W469" s="119"/>
      <c r="X469" s="119"/>
      <c r="Y469" s="134"/>
      <c r="Z469" s="119"/>
      <c r="AA469" s="119"/>
      <c r="AB469" s="119"/>
      <c r="AC469" s="119"/>
      <c r="AD469" s="119"/>
      <c r="AE469" s="119"/>
      <c r="AF469" s="119"/>
      <c r="AG469" s="119"/>
      <c r="AH469" s="121"/>
      <c r="AI469" s="121"/>
      <c r="AJ469" s="121"/>
      <c r="AK469" s="121"/>
      <c r="AL469" s="121"/>
      <c r="AM469" s="135"/>
      <c r="AN469" s="119"/>
      <c r="AO469" s="119"/>
      <c r="AP469" s="119"/>
      <c r="AQ469" s="119"/>
      <c r="AR469" s="119"/>
      <c r="AS469" s="119"/>
    </row>
    <row r="470">
      <c r="A470" s="101">
        <v>341.0</v>
      </c>
      <c r="B470" s="150">
        <v>11.0</v>
      </c>
      <c r="C470" s="104" t="s">
        <v>3210</v>
      </c>
      <c r="D470" s="105" t="s">
        <v>48</v>
      </c>
      <c r="E470" s="107" t="s">
        <v>48</v>
      </c>
      <c r="F470" s="101"/>
      <c r="G470" s="40" t="s">
        <v>3211</v>
      </c>
      <c r="H470" s="55" t="s">
        <v>3212</v>
      </c>
      <c r="I470" s="69" t="s">
        <v>3213</v>
      </c>
      <c r="J470" s="155"/>
      <c r="K470" s="37">
        <v>44153.0</v>
      </c>
      <c r="L470" s="37">
        <v>44157.0</v>
      </c>
      <c r="M470" s="73" t="s">
        <v>3214</v>
      </c>
      <c r="N470" s="73" t="s">
        <v>46</v>
      </c>
      <c r="O470" s="37">
        <v>43921.0</v>
      </c>
      <c r="P470" s="37">
        <v>44043.0</v>
      </c>
      <c r="Q470" s="22"/>
      <c r="R470" s="22"/>
      <c r="S470" s="193" t="s">
        <v>97</v>
      </c>
      <c r="T470" s="157"/>
      <c r="U470" s="176" t="s">
        <v>97</v>
      </c>
      <c r="V470" s="161"/>
      <c r="W470" s="161"/>
      <c r="X470" s="161"/>
      <c r="Y470" s="161"/>
      <c r="Z470" s="161"/>
      <c r="AA470" s="161"/>
      <c r="AB470" s="161"/>
      <c r="AC470" s="161"/>
      <c r="AD470" s="161"/>
      <c r="AE470" s="161"/>
      <c r="AF470" s="161"/>
      <c r="AG470" s="161"/>
      <c r="AH470" s="163"/>
      <c r="AI470" s="163"/>
      <c r="AJ470" s="163"/>
      <c r="AK470" s="163"/>
      <c r="AL470" s="163"/>
      <c r="AM470" s="163"/>
      <c r="AN470" s="161"/>
      <c r="AO470" s="161"/>
      <c r="AP470" s="161"/>
      <c r="AQ470" s="161"/>
      <c r="AR470" s="161"/>
      <c r="AS470" s="119"/>
    </row>
    <row r="471">
      <c r="A471" s="137">
        <v>342.0</v>
      </c>
      <c r="B471" s="150"/>
      <c r="C471" s="104" t="s">
        <v>3215</v>
      </c>
      <c r="D471" s="138" t="s">
        <v>71</v>
      </c>
      <c r="E471" s="107" t="s">
        <v>71</v>
      </c>
      <c r="F471" s="101"/>
      <c r="G471" s="40" t="s">
        <v>3216</v>
      </c>
      <c r="H471" s="55" t="s">
        <v>3217</v>
      </c>
      <c r="I471" s="69" t="s">
        <v>3218</v>
      </c>
      <c r="J471" s="155"/>
      <c r="K471" s="37">
        <v>43991.0</v>
      </c>
      <c r="L471" s="37">
        <v>43994.0</v>
      </c>
      <c r="M471" s="156" t="s">
        <v>196</v>
      </c>
      <c r="N471" s="73" t="s">
        <v>29</v>
      </c>
      <c r="O471" s="113">
        <v>43891.0</v>
      </c>
      <c r="P471" s="37">
        <v>43925.0</v>
      </c>
      <c r="Q471" s="22"/>
      <c r="R471" s="22"/>
      <c r="S471" s="117"/>
      <c r="T471" s="157"/>
      <c r="U471" s="161"/>
      <c r="V471" s="161"/>
      <c r="W471" s="161"/>
      <c r="X471" s="161"/>
      <c r="Y471" s="161"/>
      <c r="Z471" s="161"/>
      <c r="AA471" s="161"/>
      <c r="AB471" s="161"/>
      <c r="AC471" s="161"/>
      <c r="AD471" s="161"/>
      <c r="AE471" s="161"/>
      <c r="AF471" s="161"/>
      <c r="AG471" s="161"/>
      <c r="AH471" s="163"/>
      <c r="AI471" s="163"/>
      <c r="AJ471" s="163"/>
      <c r="AK471" s="163"/>
      <c r="AL471" s="163"/>
      <c r="AM471" s="165" t="s">
        <v>97</v>
      </c>
      <c r="AN471" s="161"/>
      <c r="AO471" s="161"/>
      <c r="AP471" s="161"/>
      <c r="AQ471" s="161"/>
      <c r="AR471" s="161"/>
      <c r="AS471" s="119"/>
    </row>
    <row r="472">
      <c r="A472" s="137">
        <v>757.0</v>
      </c>
      <c r="B472" s="103"/>
      <c r="C472" s="104" t="s">
        <v>3219</v>
      </c>
      <c r="D472" s="105" t="s">
        <v>88</v>
      </c>
      <c r="E472" s="107" t="s">
        <v>88</v>
      </c>
      <c r="F472" s="109"/>
      <c r="G472" s="10" t="s">
        <v>3220</v>
      </c>
      <c r="H472" s="17" t="s">
        <v>3221</v>
      </c>
      <c r="I472" s="111" t="s">
        <v>3222</v>
      </c>
      <c r="J472" s="112"/>
      <c r="K472" s="113">
        <v>43855.0</v>
      </c>
      <c r="L472" s="113">
        <v>43856.0</v>
      </c>
      <c r="M472" s="24" t="s">
        <v>268</v>
      </c>
      <c r="N472" s="24" t="s">
        <v>102</v>
      </c>
      <c r="O472" s="114">
        <v>43784.0</v>
      </c>
      <c r="P472" s="114">
        <v>43814.0</v>
      </c>
      <c r="Q472" s="115"/>
      <c r="R472" s="115"/>
      <c r="S472" s="117"/>
      <c r="T472" s="118"/>
      <c r="U472" s="119"/>
      <c r="V472" s="119"/>
      <c r="W472" s="119"/>
      <c r="X472" s="119"/>
      <c r="Y472" s="119"/>
      <c r="Z472" s="119"/>
      <c r="AA472" s="119"/>
      <c r="AB472" s="119"/>
      <c r="AC472" s="119"/>
      <c r="AD472" s="119"/>
      <c r="AE472" s="119"/>
      <c r="AF472" s="119"/>
      <c r="AG472" s="119"/>
      <c r="AH472" s="121"/>
      <c r="AI472" s="121"/>
      <c r="AJ472" s="121"/>
      <c r="AK472" s="121"/>
      <c r="AL472" s="121"/>
      <c r="AM472" s="121"/>
      <c r="AN472" s="119"/>
      <c r="AO472" s="119"/>
      <c r="AP472" s="368" t="s">
        <v>97</v>
      </c>
      <c r="AQ472" s="119"/>
      <c r="AR472" s="119"/>
      <c r="AS472" s="119"/>
    </row>
    <row r="473">
      <c r="A473" s="137">
        <v>343.0</v>
      </c>
      <c r="B473" s="150"/>
      <c r="C473" s="104" t="s">
        <v>3223</v>
      </c>
      <c r="D473" s="105" t="s">
        <v>88</v>
      </c>
      <c r="E473" s="107" t="s">
        <v>88</v>
      </c>
      <c r="F473" s="101"/>
      <c r="G473" s="40" t="s">
        <v>3224</v>
      </c>
      <c r="H473" s="55" t="s">
        <v>3225</v>
      </c>
      <c r="I473" s="69" t="s">
        <v>3226</v>
      </c>
      <c r="J473" s="155"/>
      <c r="K473" s="37">
        <v>43993.0</v>
      </c>
      <c r="L473" s="37">
        <v>44009.0</v>
      </c>
      <c r="M473" s="73" t="s">
        <v>3227</v>
      </c>
      <c r="N473" s="73" t="s">
        <v>19</v>
      </c>
      <c r="O473" s="113">
        <v>43829.0</v>
      </c>
      <c r="P473" s="37">
        <v>43892.0</v>
      </c>
      <c r="Q473" s="22"/>
      <c r="R473" s="22"/>
      <c r="S473" s="117"/>
      <c r="T473" s="157"/>
      <c r="U473" s="161"/>
      <c r="V473" s="161"/>
      <c r="W473" s="161"/>
      <c r="X473" s="161"/>
      <c r="Y473" s="161"/>
      <c r="Z473" s="161"/>
      <c r="AA473" s="161"/>
      <c r="AB473" s="161"/>
      <c r="AC473" s="161"/>
      <c r="AD473" s="161"/>
      <c r="AE473" s="161"/>
      <c r="AF473" s="161"/>
      <c r="AG473" s="161"/>
      <c r="AH473" s="163"/>
      <c r="AI473" s="163"/>
      <c r="AJ473" s="163"/>
      <c r="AK473" s="163"/>
      <c r="AL473" s="163"/>
      <c r="AM473" s="163"/>
      <c r="AN473" s="161"/>
      <c r="AO473" s="161"/>
      <c r="AP473" s="368" t="s">
        <v>97</v>
      </c>
      <c r="AQ473" s="161"/>
      <c r="AR473" s="161"/>
      <c r="AS473" s="119"/>
    </row>
    <row r="474">
      <c r="A474" s="101">
        <v>344.0</v>
      </c>
      <c r="B474" s="150"/>
      <c r="C474" s="104" t="s">
        <v>3228</v>
      </c>
      <c r="D474" s="105" t="s">
        <v>88</v>
      </c>
      <c r="E474" s="107" t="s">
        <v>3229</v>
      </c>
      <c r="F474" s="101"/>
      <c r="G474" s="40" t="s">
        <v>3230</v>
      </c>
      <c r="H474" s="55" t="s">
        <v>3231</v>
      </c>
      <c r="I474" s="69" t="s">
        <v>3232</v>
      </c>
      <c r="J474" s="155"/>
      <c r="K474" s="37">
        <v>43981.0</v>
      </c>
      <c r="L474" s="37">
        <v>43981.0</v>
      </c>
      <c r="M474" s="73" t="s">
        <v>28</v>
      </c>
      <c r="N474" s="73" t="s">
        <v>29</v>
      </c>
      <c r="O474" s="113">
        <v>43951.0</v>
      </c>
      <c r="P474" s="37">
        <v>43951.0</v>
      </c>
      <c r="Q474" s="22"/>
      <c r="R474" s="22"/>
      <c r="S474" s="117"/>
      <c r="T474" s="157"/>
      <c r="U474" s="161"/>
      <c r="V474" s="161"/>
      <c r="W474" s="120" t="s">
        <v>97</v>
      </c>
      <c r="X474" s="161"/>
      <c r="Y474" s="161"/>
      <c r="Z474" s="161"/>
      <c r="AA474" s="161"/>
      <c r="AB474" s="161"/>
      <c r="AC474" s="161"/>
      <c r="AD474" s="161"/>
      <c r="AE474" s="161"/>
      <c r="AF474" s="161"/>
      <c r="AG474" s="161"/>
      <c r="AH474" s="163"/>
      <c r="AI474" s="163"/>
      <c r="AJ474" s="163"/>
      <c r="AK474" s="163"/>
      <c r="AL474" s="163"/>
      <c r="AM474" s="163"/>
      <c r="AN474" s="161"/>
      <c r="AO474" s="161"/>
      <c r="AP474" s="368" t="s">
        <v>97</v>
      </c>
      <c r="AQ474" s="161"/>
      <c r="AR474" s="161"/>
      <c r="AS474" s="119"/>
    </row>
    <row r="475">
      <c r="A475" s="137">
        <v>345.0</v>
      </c>
      <c r="B475" s="150"/>
      <c r="C475" s="104" t="s">
        <v>3233</v>
      </c>
      <c r="D475" s="105" t="s">
        <v>89</v>
      </c>
      <c r="E475" s="107" t="s">
        <v>89</v>
      </c>
      <c r="F475" s="679"/>
      <c r="G475" s="680" t="s">
        <v>3234</v>
      </c>
      <c r="H475" s="55" t="s">
        <v>3235</v>
      </c>
      <c r="I475" s="69" t="s">
        <v>3236</v>
      </c>
      <c r="J475" s="155"/>
      <c r="K475" s="37">
        <v>43841.0</v>
      </c>
      <c r="L475" s="37">
        <v>43842.0</v>
      </c>
      <c r="M475" s="73" t="s">
        <v>669</v>
      </c>
      <c r="N475" s="73" t="s">
        <v>670</v>
      </c>
      <c r="O475" s="113">
        <v>43678.0</v>
      </c>
      <c r="P475" s="37">
        <v>43753.0</v>
      </c>
      <c r="Q475" s="22"/>
      <c r="R475" s="22"/>
      <c r="S475" s="117"/>
      <c r="T475" s="157"/>
      <c r="U475" s="681"/>
      <c r="V475" s="681"/>
      <c r="W475" s="681"/>
      <c r="X475" s="681"/>
      <c r="Y475" s="681"/>
      <c r="Z475" s="681"/>
      <c r="AA475" s="681"/>
      <c r="AB475" s="681"/>
      <c r="AC475" s="681"/>
      <c r="AD475" s="681"/>
      <c r="AE475" s="681"/>
      <c r="AF475" s="681"/>
      <c r="AG475" s="681"/>
      <c r="AH475" s="677"/>
      <c r="AI475" s="677"/>
      <c r="AJ475" s="677"/>
      <c r="AK475" s="677"/>
      <c r="AL475" s="677"/>
      <c r="AM475" s="677"/>
      <c r="AN475" s="681"/>
      <c r="AO475" s="681"/>
      <c r="AP475" s="681"/>
      <c r="AQ475" s="172" t="s">
        <v>97</v>
      </c>
      <c r="AR475" s="681"/>
      <c r="AS475" s="119"/>
    </row>
    <row r="476">
      <c r="A476" s="137">
        <v>346.0</v>
      </c>
      <c r="B476" s="150"/>
      <c r="C476" s="104" t="s">
        <v>3237</v>
      </c>
      <c r="D476" s="105" t="s">
        <v>89</v>
      </c>
      <c r="E476" s="107" t="s">
        <v>89</v>
      </c>
      <c r="F476" s="101"/>
      <c r="G476" s="40" t="s">
        <v>3238</v>
      </c>
      <c r="H476" s="55" t="s">
        <v>3239</v>
      </c>
      <c r="I476" s="69" t="s">
        <v>3240</v>
      </c>
      <c r="J476" s="155"/>
      <c r="K476" s="37">
        <v>43869.0</v>
      </c>
      <c r="L476" s="37">
        <v>43869.0</v>
      </c>
      <c r="M476" s="73" t="s">
        <v>221</v>
      </c>
      <c r="N476" s="73" t="s">
        <v>72</v>
      </c>
      <c r="O476" s="152">
        <v>43708.0</v>
      </c>
      <c r="P476" s="37">
        <v>43786.0</v>
      </c>
      <c r="Q476" s="22"/>
      <c r="R476" s="22"/>
      <c r="S476" s="117"/>
      <c r="T476" s="157"/>
      <c r="U476" s="161"/>
      <c r="V476" s="161"/>
      <c r="W476" s="161"/>
      <c r="X476" s="161"/>
      <c r="Y476" s="161"/>
      <c r="Z476" s="161"/>
      <c r="AA476" s="161"/>
      <c r="AB476" s="161"/>
      <c r="AC476" s="161"/>
      <c r="AD476" s="161"/>
      <c r="AE476" s="161"/>
      <c r="AF476" s="161"/>
      <c r="AG476" s="161"/>
      <c r="AH476" s="163"/>
      <c r="AI476" s="163"/>
      <c r="AJ476" s="163"/>
      <c r="AK476" s="163"/>
      <c r="AL476" s="163"/>
      <c r="AM476" s="163"/>
      <c r="AN476" s="161"/>
      <c r="AO476" s="161"/>
      <c r="AP476" s="161"/>
      <c r="AQ476" s="172" t="s">
        <v>97</v>
      </c>
      <c r="AR476" s="161"/>
      <c r="AS476" s="119"/>
    </row>
    <row r="477">
      <c r="A477" s="101">
        <v>347.0</v>
      </c>
      <c r="B477" s="177">
        <v>10.0</v>
      </c>
      <c r="C477" s="104" t="s">
        <v>3241</v>
      </c>
      <c r="D477" s="105" t="s">
        <v>53</v>
      </c>
      <c r="E477" s="107" t="s">
        <v>53</v>
      </c>
      <c r="F477" s="178"/>
      <c r="G477" s="77" t="s">
        <v>3242</v>
      </c>
      <c r="H477" s="81" t="s">
        <v>3243</v>
      </c>
      <c r="I477" s="84" t="s">
        <v>3244</v>
      </c>
      <c r="J477" s="155"/>
      <c r="K477" s="37">
        <v>44119.0</v>
      </c>
      <c r="L477" s="37">
        <v>44122.0</v>
      </c>
      <c r="M477" s="85" t="s">
        <v>1022</v>
      </c>
      <c r="N477" s="85" t="s">
        <v>72</v>
      </c>
      <c r="O477" s="37">
        <v>43923.0</v>
      </c>
      <c r="P477" s="37">
        <v>44062.0</v>
      </c>
      <c r="Q477" s="22"/>
      <c r="R477" s="22"/>
      <c r="S477" s="117"/>
      <c r="T477" s="181"/>
      <c r="U477" s="184"/>
      <c r="V477" s="184"/>
      <c r="W477" s="184"/>
      <c r="X477" s="671" t="s">
        <v>97</v>
      </c>
      <c r="Y477" s="184"/>
      <c r="Z477" s="184"/>
      <c r="AA477" s="184"/>
      <c r="AB477" s="184"/>
      <c r="AC477" s="184"/>
      <c r="AD477" s="186"/>
      <c r="AE477" s="187"/>
      <c r="AF477" s="184"/>
      <c r="AG477" s="187"/>
      <c r="AH477" s="189"/>
      <c r="AI477" s="189"/>
      <c r="AJ477" s="189"/>
      <c r="AK477" s="189"/>
      <c r="AL477" s="189"/>
      <c r="AM477" s="189"/>
      <c r="AN477" s="187"/>
      <c r="AO477" s="187"/>
      <c r="AP477" s="184"/>
      <c r="AQ477" s="187"/>
      <c r="AR477" s="187"/>
      <c r="AS477" s="119"/>
    </row>
    <row r="478">
      <c r="A478" s="137">
        <v>348.0</v>
      </c>
      <c r="B478" s="150"/>
      <c r="C478" s="104" t="s">
        <v>3245</v>
      </c>
      <c r="D478" s="105" t="s">
        <v>48</v>
      </c>
      <c r="E478" s="107" t="s">
        <v>48</v>
      </c>
      <c r="F478" s="101"/>
      <c r="G478" s="40" t="s">
        <v>3246</v>
      </c>
      <c r="H478" s="55" t="s">
        <v>3247</v>
      </c>
      <c r="I478" s="69" t="s">
        <v>3248</v>
      </c>
      <c r="J478" s="155"/>
      <c r="K478" s="37">
        <v>43874.0</v>
      </c>
      <c r="L478" s="37">
        <v>43883.0</v>
      </c>
      <c r="M478" s="73" t="s">
        <v>221</v>
      </c>
      <c r="N478" s="73" t="s">
        <v>72</v>
      </c>
      <c r="O478" s="113">
        <v>43714.0</v>
      </c>
      <c r="P478" s="37">
        <v>43826.0</v>
      </c>
      <c r="Q478" s="22"/>
      <c r="R478" s="22"/>
      <c r="S478" s="117"/>
      <c r="T478" s="157"/>
      <c r="U478" s="176" t="s">
        <v>97</v>
      </c>
      <c r="V478" s="161"/>
      <c r="W478" s="161"/>
      <c r="X478" s="161"/>
      <c r="Y478" s="161"/>
      <c r="Z478" s="161"/>
      <c r="AA478" s="161"/>
      <c r="AB478" s="161"/>
      <c r="AC478" s="161"/>
      <c r="AD478" s="161"/>
      <c r="AE478" s="161"/>
      <c r="AF478" s="161"/>
      <c r="AG478" s="161"/>
      <c r="AH478" s="163"/>
      <c r="AI478" s="163"/>
      <c r="AJ478" s="163"/>
      <c r="AK478" s="163"/>
      <c r="AL478" s="163"/>
      <c r="AM478" s="163"/>
      <c r="AN478" s="161"/>
      <c r="AO478" s="161"/>
      <c r="AP478" s="161"/>
      <c r="AQ478" s="161"/>
      <c r="AR478" s="161"/>
      <c r="AS478" s="119"/>
    </row>
    <row r="479">
      <c r="A479" s="137">
        <v>349.0</v>
      </c>
      <c r="B479" s="150"/>
      <c r="C479" s="104" t="s">
        <v>3249</v>
      </c>
      <c r="D479" s="138" t="s">
        <v>71</v>
      </c>
      <c r="E479" s="107" t="s">
        <v>71</v>
      </c>
      <c r="F479" s="101"/>
      <c r="G479" s="40" t="s">
        <v>3250</v>
      </c>
      <c r="H479" s="55" t="s">
        <v>3251</v>
      </c>
      <c r="I479" s="69" t="s">
        <v>3252</v>
      </c>
      <c r="J479" s="155"/>
      <c r="K479" s="37">
        <v>44036.0</v>
      </c>
      <c r="L479" s="37">
        <v>44037.0</v>
      </c>
      <c r="M479" s="73" t="s">
        <v>684</v>
      </c>
      <c r="N479" s="73" t="s">
        <v>72</v>
      </c>
      <c r="O479" s="113">
        <v>43980.0</v>
      </c>
      <c r="P479" s="37">
        <v>43980.0</v>
      </c>
      <c r="Q479" s="22"/>
      <c r="R479" s="22"/>
      <c r="S479" s="117"/>
      <c r="T479" s="157"/>
      <c r="U479" s="161"/>
      <c r="V479" s="161"/>
      <c r="W479" s="161"/>
      <c r="X479" s="161"/>
      <c r="Y479" s="161"/>
      <c r="Z479" s="161"/>
      <c r="AA479" s="161"/>
      <c r="AB479" s="161"/>
      <c r="AC479" s="161"/>
      <c r="AD479" s="161"/>
      <c r="AE479" s="161"/>
      <c r="AF479" s="161"/>
      <c r="AG479" s="161"/>
      <c r="AH479" s="163"/>
      <c r="AI479" s="163"/>
      <c r="AJ479" s="163"/>
      <c r="AK479" s="163"/>
      <c r="AL479" s="163"/>
      <c r="AM479" s="165" t="s">
        <v>97</v>
      </c>
      <c r="AN479" s="161"/>
      <c r="AO479" s="161"/>
      <c r="AP479" s="161"/>
      <c r="AQ479" s="161"/>
      <c r="AR479" s="161"/>
      <c r="AS479" s="119"/>
    </row>
    <row r="480">
      <c r="A480" s="101">
        <v>350.0</v>
      </c>
      <c r="B480" s="150">
        <v>7.0</v>
      </c>
      <c r="C480" s="104" t="s">
        <v>3253</v>
      </c>
      <c r="D480" s="105" t="s">
        <v>52</v>
      </c>
      <c r="E480" s="107" t="s">
        <v>52</v>
      </c>
      <c r="F480" s="101"/>
      <c r="G480" s="40" t="s">
        <v>3254</v>
      </c>
      <c r="H480" s="55" t="s">
        <v>3255</v>
      </c>
      <c r="I480" s="69" t="s">
        <v>3256</v>
      </c>
      <c r="J480" s="112"/>
      <c r="K480" s="113">
        <v>44027.0</v>
      </c>
      <c r="L480" s="113">
        <v>44035.0</v>
      </c>
      <c r="M480" s="73" t="s">
        <v>221</v>
      </c>
      <c r="N480" s="73" t="s">
        <v>72</v>
      </c>
      <c r="O480" s="113">
        <v>43896.0</v>
      </c>
      <c r="P480" s="113">
        <v>43987.0</v>
      </c>
      <c r="Q480" s="200" t="s">
        <v>222</v>
      </c>
      <c r="R480" s="200" t="s">
        <v>222</v>
      </c>
      <c r="S480" s="224"/>
      <c r="T480" s="157"/>
      <c r="U480" s="161"/>
      <c r="V480" s="161"/>
      <c r="W480" s="120" t="s">
        <v>97</v>
      </c>
      <c r="X480" s="161"/>
      <c r="Y480" s="161"/>
      <c r="Z480" s="161"/>
      <c r="AA480" s="161"/>
      <c r="AB480" s="161"/>
      <c r="AC480" s="161"/>
      <c r="AD480" s="161"/>
      <c r="AE480" s="161"/>
      <c r="AF480" s="161"/>
      <c r="AG480" s="161"/>
      <c r="AH480" s="163"/>
      <c r="AI480" s="163"/>
      <c r="AJ480" s="163"/>
      <c r="AK480" s="163"/>
      <c r="AL480" s="163"/>
      <c r="AM480" s="163"/>
      <c r="AN480" s="161"/>
      <c r="AO480" s="161"/>
      <c r="AP480" s="161"/>
      <c r="AQ480" s="161"/>
      <c r="AR480" s="161"/>
      <c r="AS480" s="119"/>
    </row>
    <row r="481">
      <c r="A481" s="137">
        <v>351.0</v>
      </c>
      <c r="B481" s="150"/>
      <c r="C481" s="104" t="s">
        <v>3257</v>
      </c>
      <c r="D481" s="105" t="s">
        <v>53</v>
      </c>
      <c r="E481" s="107" t="s">
        <v>53</v>
      </c>
      <c r="F481" s="101"/>
      <c r="G481" s="40" t="s">
        <v>3258</v>
      </c>
      <c r="H481" s="55" t="s">
        <v>3259</v>
      </c>
      <c r="I481" s="69" t="s">
        <v>3260</v>
      </c>
      <c r="J481" s="155"/>
      <c r="K481" s="37">
        <v>44097.0</v>
      </c>
      <c r="L481" s="37">
        <v>44101.0</v>
      </c>
      <c r="M481" s="73" t="s">
        <v>1022</v>
      </c>
      <c r="N481" s="73" t="s">
        <v>72</v>
      </c>
      <c r="O481" s="113">
        <v>43857.0</v>
      </c>
      <c r="P481" s="37">
        <v>44025.0</v>
      </c>
      <c r="Q481" s="22"/>
      <c r="R481" s="22"/>
      <c r="S481" s="117"/>
      <c r="T481" s="157"/>
      <c r="U481" s="161"/>
      <c r="V481" s="161"/>
      <c r="W481" s="161"/>
      <c r="X481" s="401" t="s">
        <v>97</v>
      </c>
      <c r="Y481" s="161"/>
      <c r="Z481" s="161"/>
      <c r="AA481" s="161"/>
      <c r="AB481" s="161"/>
      <c r="AC481" s="161"/>
      <c r="AD481" s="161"/>
      <c r="AE481" s="161"/>
      <c r="AF481" s="161"/>
      <c r="AG481" s="161"/>
      <c r="AH481" s="163"/>
      <c r="AI481" s="163"/>
      <c r="AJ481" s="163"/>
      <c r="AK481" s="163"/>
      <c r="AL481" s="163"/>
      <c r="AM481" s="163"/>
      <c r="AN481" s="161"/>
      <c r="AO481" s="161"/>
      <c r="AP481" s="161"/>
      <c r="AQ481" s="161"/>
      <c r="AR481" s="161"/>
      <c r="AS481" s="119"/>
    </row>
    <row r="482">
      <c r="A482" s="137">
        <v>352.0</v>
      </c>
      <c r="B482" s="150"/>
      <c r="C482" s="104" t="s">
        <v>3261</v>
      </c>
      <c r="D482" s="105" t="s">
        <v>53</v>
      </c>
      <c r="E482" s="107" t="s">
        <v>53</v>
      </c>
      <c r="F482" s="101"/>
      <c r="G482" s="40" t="s">
        <v>3262</v>
      </c>
      <c r="H482" s="55" t="s">
        <v>3263</v>
      </c>
      <c r="I482" s="69" t="s">
        <v>3264</v>
      </c>
      <c r="J482" s="155"/>
      <c r="K482" s="37">
        <v>43841.0</v>
      </c>
      <c r="L482" s="37">
        <v>43841.0</v>
      </c>
      <c r="M482" s="174" t="s">
        <v>3265</v>
      </c>
      <c r="N482" s="73" t="s">
        <v>967</v>
      </c>
      <c r="O482" s="113">
        <v>43555.0</v>
      </c>
      <c r="P482" s="37">
        <v>43800.0</v>
      </c>
      <c r="Q482" s="22"/>
      <c r="R482" s="22"/>
      <c r="S482" s="117"/>
      <c r="T482" s="157"/>
      <c r="U482" s="161"/>
      <c r="V482" s="161"/>
      <c r="W482" s="161"/>
      <c r="X482" s="401" t="s">
        <v>97</v>
      </c>
      <c r="Y482" s="161"/>
      <c r="Z482" s="161"/>
      <c r="AA482" s="161"/>
      <c r="AB482" s="161"/>
      <c r="AC482" s="161"/>
      <c r="AD482" s="161"/>
      <c r="AE482" s="161"/>
      <c r="AF482" s="161"/>
      <c r="AG482" s="161"/>
      <c r="AH482" s="163"/>
      <c r="AI482" s="163"/>
      <c r="AJ482" s="163"/>
      <c r="AK482" s="163"/>
      <c r="AL482" s="163"/>
      <c r="AM482" s="163"/>
      <c r="AN482" s="161"/>
      <c r="AO482" s="161"/>
      <c r="AP482" s="161"/>
      <c r="AQ482" s="161"/>
      <c r="AR482" s="161"/>
      <c r="AS482" s="119"/>
    </row>
    <row r="483">
      <c r="A483" s="137">
        <v>902.0</v>
      </c>
      <c r="B483" s="284"/>
      <c r="C483" s="123" t="s">
        <v>3266</v>
      </c>
      <c r="D483" s="285" t="s">
        <v>48</v>
      </c>
      <c r="E483" s="287" t="s">
        <v>48</v>
      </c>
      <c r="F483" s="312"/>
      <c r="G483" s="216" t="s">
        <v>3267</v>
      </c>
      <c r="H483" s="89" t="s">
        <v>3268</v>
      </c>
      <c r="I483" s="91" t="str">
        <f>HYPERLINK("https://filmfreeway.com/LakeArrowheadFilmFest","https://filmfreeway.com/LakeArrowheadFilmFest")</f>
        <v>https://filmfreeway.com/LakeArrowheadFilmFest</v>
      </c>
      <c r="J483" s="288"/>
      <c r="K483" s="145">
        <v>43980.0</v>
      </c>
      <c r="L483" s="145">
        <v>43982.0</v>
      </c>
      <c r="M483" s="130" t="s">
        <v>3269</v>
      </c>
      <c r="N483" s="130" t="s">
        <v>72</v>
      </c>
      <c r="O483" s="145">
        <v>43708.0</v>
      </c>
      <c r="P483" s="145">
        <v>43905.0</v>
      </c>
      <c r="Q483" s="131"/>
      <c r="R483" s="132"/>
      <c r="S483" s="132"/>
      <c r="T483" s="118"/>
      <c r="U483" s="176" t="s">
        <v>97</v>
      </c>
      <c r="V483" s="119"/>
      <c r="W483" s="119"/>
      <c r="X483" s="119"/>
      <c r="Y483" s="134"/>
      <c r="Z483" s="119"/>
      <c r="AA483" s="119"/>
      <c r="AB483" s="119"/>
      <c r="AC483" s="119"/>
      <c r="AD483" s="119"/>
      <c r="AE483" s="119"/>
      <c r="AF483" s="119"/>
      <c r="AG483" s="119"/>
      <c r="AH483" s="121"/>
      <c r="AI483" s="121"/>
      <c r="AJ483" s="121"/>
      <c r="AK483" s="121"/>
      <c r="AL483" s="121"/>
      <c r="AM483" s="135"/>
      <c r="AN483" s="119"/>
      <c r="AO483" s="119"/>
      <c r="AP483" s="119"/>
      <c r="AQ483" s="119"/>
      <c r="AR483" s="119"/>
      <c r="AS483" s="119"/>
    </row>
    <row r="484">
      <c r="A484" s="101">
        <v>803.0</v>
      </c>
      <c r="B484" s="103">
        <v>10.0</v>
      </c>
      <c r="C484" s="104" t="s">
        <v>3270</v>
      </c>
      <c r="D484" s="105" t="s">
        <v>48</v>
      </c>
      <c r="E484" s="107" t="s">
        <v>48</v>
      </c>
      <c r="F484" s="109"/>
      <c r="G484" s="10" t="s">
        <v>3271</v>
      </c>
      <c r="H484" s="17" t="s">
        <v>3272</v>
      </c>
      <c r="I484" s="111" t="s">
        <v>3273</v>
      </c>
      <c r="J484" s="112"/>
      <c r="K484" s="113">
        <v>44106.0</v>
      </c>
      <c r="L484" s="113">
        <v>44107.0</v>
      </c>
      <c r="M484" s="24" t="s">
        <v>3274</v>
      </c>
      <c r="N484" s="24" t="s">
        <v>537</v>
      </c>
      <c r="O484" s="113">
        <v>43890.0</v>
      </c>
      <c r="P484" s="113">
        <v>44043.0</v>
      </c>
      <c r="Q484" s="115"/>
      <c r="R484" s="115"/>
      <c r="S484" s="117"/>
      <c r="T484" s="118"/>
      <c r="U484" s="176" t="s">
        <v>97</v>
      </c>
      <c r="V484" s="119"/>
      <c r="W484" s="119"/>
      <c r="X484" s="119"/>
      <c r="Y484" s="119"/>
      <c r="Z484" s="119"/>
      <c r="AA484" s="119"/>
      <c r="AB484" s="119"/>
      <c r="AC484" s="119"/>
      <c r="AD484" s="119"/>
      <c r="AE484" s="119"/>
      <c r="AF484" s="119"/>
      <c r="AG484" s="119"/>
      <c r="AH484" s="121"/>
      <c r="AI484" s="121"/>
      <c r="AJ484" s="121"/>
      <c r="AK484" s="121"/>
      <c r="AL484" s="121"/>
      <c r="AM484" s="121"/>
      <c r="AN484" s="119"/>
      <c r="AO484" s="119"/>
      <c r="AP484" s="119"/>
      <c r="AQ484" s="119"/>
      <c r="AR484" s="119"/>
      <c r="AS484" s="119"/>
    </row>
    <row r="485">
      <c r="A485" s="137">
        <v>909.0</v>
      </c>
      <c r="B485" s="122"/>
      <c r="C485" s="123" t="s">
        <v>3275</v>
      </c>
      <c r="D485" s="682" t="s">
        <v>48</v>
      </c>
      <c r="E485" s="287" t="s">
        <v>48</v>
      </c>
      <c r="F485" s="312"/>
      <c r="G485" s="216" t="s">
        <v>3276</v>
      </c>
      <c r="H485" s="89" t="s">
        <v>3277</v>
      </c>
      <c r="I485" s="91" t="str">
        <f>HYPERLINK("https://filmfreeway.com/TheLakeCountyFilmFestival","https://filmfreeway.com/TheLakeCountyFilmFestival")</f>
        <v>https://filmfreeway.com/TheLakeCountyFilmFestival</v>
      </c>
      <c r="J485" s="288"/>
      <c r="K485" s="145">
        <v>44140.0</v>
      </c>
      <c r="L485" s="145">
        <v>44150.0</v>
      </c>
      <c r="M485" s="130" t="s">
        <v>3278</v>
      </c>
      <c r="N485" s="130" t="s">
        <v>231</v>
      </c>
      <c r="O485" s="145">
        <v>43891.0</v>
      </c>
      <c r="P485" s="145">
        <v>44044.0</v>
      </c>
      <c r="Q485" s="131"/>
      <c r="R485" s="132"/>
      <c r="S485" s="132"/>
      <c r="T485" s="118"/>
      <c r="U485" s="176" t="s">
        <v>97</v>
      </c>
      <c r="V485" s="119"/>
      <c r="W485" s="119"/>
      <c r="X485" s="119"/>
      <c r="Y485" s="134"/>
      <c r="Z485" s="119"/>
      <c r="AA485" s="119"/>
      <c r="AB485" s="119"/>
      <c r="AC485" s="119"/>
      <c r="AD485" s="119"/>
      <c r="AE485" s="119"/>
      <c r="AF485" s="119"/>
      <c r="AG485" s="119"/>
      <c r="AH485" s="121"/>
      <c r="AI485" s="121"/>
      <c r="AJ485" s="121"/>
      <c r="AK485" s="121"/>
      <c r="AL485" s="121"/>
      <c r="AM485" s="135"/>
      <c r="AN485" s="119"/>
      <c r="AO485" s="119"/>
      <c r="AP485" s="119"/>
      <c r="AQ485" s="119"/>
      <c r="AR485" s="119"/>
      <c r="AS485" s="119"/>
    </row>
    <row r="486">
      <c r="A486" s="137">
        <v>934.0</v>
      </c>
      <c r="B486" s="122">
        <v>10.0</v>
      </c>
      <c r="C486" s="123" t="s">
        <v>3279</v>
      </c>
      <c r="D486" s="124" t="s">
        <v>52</v>
      </c>
      <c r="E486" s="287" t="s">
        <v>3280</v>
      </c>
      <c r="F486" s="127"/>
      <c r="G486" s="128" t="s">
        <v>3281</v>
      </c>
      <c r="H486" s="89" t="s">
        <v>3282</v>
      </c>
      <c r="I486" s="91" t="str">
        <f>HYPERLINK("https://filmfreeway.com/LakePlacidFilmFestival","https://filmfreeway.com/LakePlacidFilmFestival")</f>
        <v>https://filmfreeway.com/LakePlacidFilmFestival</v>
      </c>
      <c r="J486" s="155"/>
      <c r="K486" s="22" t="s">
        <v>27</v>
      </c>
      <c r="L486" s="22" t="s">
        <v>27</v>
      </c>
      <c r="M486" s="130" t="s">
        <v>3283</v>
      </c>
      <c r="N486" s="130" t="s">
        <v>29</v>
      </c>
      <c r="O486" s="22" t="s">
        <v>27</v>
      </c>
      <c r="P486" s="22" t="s">
        <v>27</v>
      </c>
      <c r="Q486" s="131"/>
      <c r="R486" s="132"/>
      <c r="S486" s="132"/>
      <c r="T486" s="118"/>
      <c r="U486" s="119"/>
      <c r="V486" s="119"/>
      <c r="W486" s="120" t="s">
        <v>97</v>
      </c>
      <c r="X486" s="119"/>
      <c r="Y486" s="134"/>
      <c r="Z486" s="119"/>
      <c r="AA486" s="119"/>
      <c r="AB486" s="119"/>
      <c r="AC486" s="119"/>
      <c r="AD486" s="119"/>
      <c r="AE486" s="119"/>
      <c r="AF486" s="119"/>
      <c r="AG486" s="119"/>
      <c r="AH486" s="121"/>
      <c r="AI486" s="121"/>
      <c r="AJ486" s="121"/>
      <c r="AK486" s="121"/>
      <c r="AL486" s="121"/>
      <c r="AM486" s="135"/>
      <c r="AN486" s="119"/>
      <c r="AO486" s="119"/>
      <c r="AP486" s="119"/>
      <c r="AQ486" s="119"/>
      <c r="AR486" s="119"/>
      <c r="AS486" s="119"/>
    </row>
    <row r="487">
      <c r="A487" s="101">
        <v>904.0</v>
      </c>
      <c r="B487" s="284"/>
      <c r="C487" s="123" t="s">
        <v>3284</v>
      </c>
      <c r="D487" s="285" t="s">
        <v>48</v>
      </c>
      <c r="E487" s="287" t="s">
        <v>48</v>
      </c>
      <c r="F487" s="144"/>
      <c r="G487" s="87" t="s">
        <v>3285</v>
      </c>
      <c r="H487" s="89" t="s">
        <v>3286</v>
      </c>
      <c r="I487" s="91" t="str">
        <f>HYPERLINK("https://filmfreeway.com/LakeTravisFilmFestival","https://filmfreeway.com/LakeTravisFilmFestival")</f>
        <v>https://filmfreeway.com/LakeTravisFilmFestival</v>
      </c>
      <c r="J487" s="288"/>
      <c r="K487" s="145">
        <v>43888.0</v>
      </c>
      <c r="L487" s="282">
        <v>43891.0</v>
      </c>
      <c r="M487" s="130" t="s">
        <v>3287</v>
      </c>
      <c r="N487" s="130" t="s">
        <v>102</v>
      </c>
      <c r="O487" s="145">
        <v>43647.0</v>
      </c>
      <c r="P487" s="145">
        <v>43800.0</v>
      </c>
      <c r="Q487" s="131"/>
      <c r="R487" s="132"/>
      <c r="S487" s="148" t="s">
        <v>97</v>
      </c>
      <c r="T487" s="118"/>
      <c r="U487" s="176" t="s">
        <v>97</v>
      </c>
      <c r="V487" s="119"/>
      <c r="W487" s="119"/>
      <c r="X487" s="119"/>
      <c r="Y487" s="134"/>
      <c r="Z487" s="119"/>
      <c r="AA487" s="119"/>
      <c r="AB487" s="119"/>
      <c r="AC487" s="119"/>
      <c r="AD487" s="119"/>
      <c r="AE487" s="119"/>
      <c r="AF487" s="119"/>
      <c r="AG487" s="119"/>
      <c r="AH487" s="121"/>
      <c r="AI487" s="121"/>
      <c r="AJ487" s="121"/>
      <c r="AK487" s="121"/>
      <c r="AL487" s="121"/>
      <c r="AM487" s="135"/>
      <c r="AN487" s="119"/>
      <c r="AO487" s="119"/>
      <c r="AP487" s="119"/>
      <c r="AQ487" s="119"/>
      <c r="AR487" s="119"/>
      <c r="AS487" s="119"/>
    </row>
    <row r="488">
      <c r="A488" s="137">
        <v>843.0</v>
      </c>
      <c r="B488" s="103">
        <v>10.0</v>
      </c>
      <c r="C488" s="104" t="s">
        <v>3288</v>
      </c>
      <c r="D488" s="105" t="s">
        <v>52</v>
      </c>
      <c r="E488" s="107" t="s">
        <v>52</v>
      </c>
      <c r="F488" s="109"/>
      <c r="G488" s="10" t="s">
        <v>3289</v>
      </c>
      <c r="H488" s="17" t="s">
        <v>3290</v>
      </c>
      <c r="I488" s="111" t="s">
        <v>3291</v>
      </c>
      <c r="J488" s="112"/>
      <c r="K488" s="113">
        <v>43994.0</v>
      </c>
      <c r="L488" s="113">
        <v>43995.0</v>
      </c>
      <c r="M488" s="24" t="s">
        <v>3292</v>
      </c>
      <c r="N488" s="24" t="s">
        <v>212</v>
      </c>
      <c r="O488" s="113">
        <v>43862.0</v>
      </c>
      <c r="P488" s="113">
        <v>43942.0</v>
      </c>
      <c r="Q488" s="223"/>
      <c r="R488" s="223"/>
      <c r="S488" s="224"/>
      <c r="T488" s="118"/>
      <c r="U488" s="119"/>
      <c r="V488" s="119"/>
      <c r="W488" s="120" t="s">
        <v>97</v>
      </c>
      <c r="X488" s="119"/>
      <c r="Y488" s="119"/>
      <c r="Z488" s="119"/>
      <c r="AA488" s="119"/>
      <c r="AB488" s="119"/>
      <c r="AC488" s="119"/>
      <c r="AD488" s="119"/>
      <c r="AE488" s="119"/>
      <c r="AF488" s="119"/>
      <c r="AG488" s="119"/>
      <c r="AH488" s="121"/>
      <c r="AI488" s="121"/>
      <c r="AJ488" s="121"/>
      <c r="AK488" s="121"/>
      <c r="AL488" s="121"/>
      <c r="AM488" s="121"/>
      <c r="AN488" s="119"/>
      <c r="AO488" s="119"/>
      <c r="AP488" s="119"/>
      <c r="AQ488" s="119"/>
      <c r="AR488" s="119"/>
      <c r="AS488" s="119"/>
    </row>
    <row r="489">
      <c r="A489" s="101">
        <v>354.0</v>
      </c>
      <c r="B489" s="150"/>
      <c r="C489" s="104" t="s">
        <v>3293</v>
      </c>
      <c r="D489" s="105" t="s">
        <v>48</v>
      </c>
      <c r="E489" s="107" t="s">
        <v>48</v>
      </c>
      <c r="F489" s="101"/>
      <c r="G489" s="40" t="s">
        <v>3294</v>
      </c>
      <c r="H489" s="55" t="s">
        <v>3295</v>
      </c>
      <c r="I489" s="69" t="s">
        <v>3296</v>
      </c>
      <c r="J489" s="155"/>
      <c r="K489" s="37">
        <v>43894.0</v>
      </c>
      <c r="L489" s="37">
        <v>43898.0</v>
      </c>
      <c r="M489" s="73" t="s">
        <v>2608</v>
      </c>
      <c r="N489" s="73" t="s">
        <v>430</v>
      </c>
      <c r="O489" s="113">
        <v>43646.0</v>
      </c>
      <c r="P489" s="37">
        <v>43769.0</v>
      </c>
      <c r="Q489" s="22"/>
      <c r="R489" s="22"/>
      <c r="S489" s="117"/>
      <c r="T489" s="157"/>
      <c r="U489" s="176" t="s">
        <v>97</v>
      </c>
      <c r="V489" s="161"/>
      <c r="W489" s="161"/>
      <c r="X489" s="161"/>
      <c r="Y489" s="161"/>
      <c r="Z489" s="161"/>
      <c r="AA489" s="161"/>
      <c r="AB489" s="161"/>
      <c r="AC489" s="161"/>
      <c r="AD489" s="161"/>
      <c r="AE489" s="161"/>
      <c r="AF489" s="161"/>
      <c r="AG489" s="161"/>
      <c r="AH489" s="163"/>
      <c r="AI489" s="163"/>
      <c r="AJ489" s="163"/>
      <c r="AK489" s="163"/>
      <c r="AL489" s="163"/>
      <c r="AM489" s="163"/>
      <c r="AN489" s="161"/>
      <c r="AO489" s="161"/>
      <c r="AP489" s="161"/>
      <c r="AQ489" s="161"/>
      <c r="AR489" s="161"/>
      <c r="AS489" s="119"/>
    </row>
    <row r="490">
      <c r="A490" s="137">
        <v>355.0</v>
      </c>
      <c r="B490" s="150"/>
      <c r="C490" s="104" t="s">
        <v>3297</v>
      </c>
      <c r="D490" s="138" t="s">
        <v>56</v>
      </c>
      <c r="E490" s="156" t="s">
        <v>227</v>
      </c>
      <c r="F490" s="101"/>
      <c r="G490" s="40" t="s">
        <v>360</v>
      </c>
      <c r="H490" s="55" t="s">
        <v>361</v>
      </c>
      <c r="I490" s="69" t="s">
        <v>365</v>
      </c>
      <c r="J490" s="20" t="s">
        <v>367</v>
      </c>
      <c r="K490" s="37">
        <v>43944.0</v>
      </c>
      <c r="L490" s="37">
        <v>43947.0</v>
      </c>
      <c r="M490" s="73" t="s">
        <v>368</v>
      </c>
      <c r="N490" s="73" t="s">
        <v>148</v>
      </c>
      <c r="O490" s="113">
        <v>43890.0</v>
      </c>
      <c r="P490" s="37">
        <v>43890.0</v>
      </c>
      <c r="Q490" s="22"/>
      <c r="R490" s="22"/>
      <c r="S490" s="117"/>
      <c r="T490" s="157"/>
      <c r="U490" s="161"/>
      <c r="V490" s="161"/>
      <c r="W490" s="161"/>
      <c r="X490" s="161"/>
      <c r="Y490" s="161"/>
      <c r="Z490" s="161"/>
      <c r="AA490" s="218" t="s">
        <v>97</v>
      </c>
      <c r="AB490" s="161"/>
      <c r="AC490" s="161"/>
      <c r="AD490" s="161"/>
      <c r="AE490" s="161"/>
      <c r="AF490" s="161"/>
      <c r="AG490" s="161"/>
      <c r="AH490" s="163"/>
      <c r="AI490" s="163"/>
      <c r="AJ490" s="163"/>
      <c r="AK490" s="163"/>
      <c r="AL490" s="163"/>
      <c r="AM490" s="163"/>
      <c r="AN490" s="161"/>
      <c r="AO490" s="161"/>
      <c r="AP490" s="161"/>
      <c r="AQ490" s="161"/>
      <c r="AR490" s="161"/>
      <c r="AS490" s="119"/>
    </row>
    <row r="491">
      <c r="A491" s="137">
        <v>356.0</v>
      </c>
      <c r="B491" s="150">
        <v>4.0</v>
      </c>
      <c r="C491" s="104" t="s">
        <v>3298</v>
      </c>
      <c r="D491" s="105" t="s">
        <v>48</v>
      </c>
      <c r="E491" s="107" t="s">
        <v>48</v>
      </c>
      <c r="F491" s="101"/>
      <c r="G491" s="40" t="s">
        <v>3299</v>
      </c>
      <c r="H491" s="55" t="s">
        <v>3300</v>
      </c>
      <c r="I491" s="69" t="s">
        <v>3301</v>
      </c>
      <c r="J491" s="112"/>
      <c r="K491" s="113">
        <v>43979.0</v>
      </c>
      <c r="L491" s="113">
        <v>43982.0</v>
      </c>
      <c r="M491" s="73" t="s">
        <v>147</v>
      </c>
      <c r="N491" s="73" t="s">
        <v>148</v>
      </c>
      <c r="O491" s="113">
        <v>43814.0</v>
      </c>
      <c r="P491" s="113">
        <v>43917.0</v>
      </c>
      <c r="Q491" s="22"/>
      <c r="R491" s="22"/>
      <c r="S491" s="117"/>
      <c r="T491" s="157"/>
      <c r="U491" s="176" t="s">
        <v>97</v>
      </c>
      <c r="V491" s="161"/>
      <c r="W491" s="161"/>
      <c r="X491" s="161"/>
      <c r="Y491" s="161"/>
      <c r="Z491" s="161"/>
      <c r="AA491" s="161"/>
      <c r="AB491" s="161"/>
      <c r="AC491" s="161"/>
      <c r="AD491" s="161"/>
      <c r="AE491" s="161"/>
      <c r="AF491" s="161"/>
      <c r="AG491" s="161"/>
      <c r="AH491" s="163"/>
      <c r="AI491" s="163"/>
      <c r="AJ491" s="163"/>
      <c r="AK491" s="163"/>
      <c r="AL491" s="163"/>
      <c r="AM491" s="163"/>
      <c r="AN491" s="161"/>
      <c r="AO491" s="161"/>
      <c r="AP491" s="161"/>
      <c r="AQ491" s="161"/>
      <c r="AR491" s="161"/>
      <c r="AS491" s="119"/>
    </row>
    <row r="492">
      <c r="A492" s="101">
        <v>357.0</v>
      </c>
      <c r="B492" s="150"/>
      <c r="C492" s="104" t="s">
        <v>3000</v>
      </c>
      <c r="D492" s="105" t="s">
        <v>69</v>
      </c>
      <c r="E492" s="107" t="s">
        <v>69</v>
      </c>
      <c r="F492" s="101"/>
      <c r="G492" s="40" t="s">
        <v>294</v>
      </c>
      <c r="H492" s="55" t="s">
        <v>295</v>
      </c>
      <c r="I492" s="69" t="s">
        <v>299</v>
      </c>
      <c r="J492" s="20" t="s">
        <v>301</v>
      </c>
      <c r="K492" s="37">
        <v>43946.0</v>
      </c>
      <c r="L492" s="37">
        <v>43946.0</v>
      </c>
      <c r="M492" s="174" t="s">
        <v>302</v>
      </c>
      <c r="N492" s="73" t="s">
        <v>303</v>
      </c>
      <c r="O492" s="113">
        <v>43595.0</v>
      </c>
      <c r="P492" s="37">
        <v>43840.0</v>
      </c>
      <c r="Q492" s="22"/>
      <c r="R492" s="22"/>
      <c r="S492" s="117"/>
      <c r="T492" s="157"/>
      <c r="U492" s="161"/>
      <c r="V492" s="161"/>
      <c r="W492" s="161"/>
      <c r="X492" s="161"/>
      <c r="Y492" s="161"/>
      <c r="Z492" s="161"/>
      <c r="AA492" s="161"/>
      <c r="AB492" s="161"/>
      <c r="AC492" s="161"/>
      <c r="AD492" s="161"/>
      <c r="AE492" s="161"/>
      <c r="AF492" s="161"/>
      <c r="AG492" s="161"/>
      <c r="AH492" s="163"/>
      <c r="AI492" s="163"/>
      <c r="AJ492" s="163"/>
      <c r="AK492" s="332" t="s">
        <v>97</v>
      </c>
      <c r="AL492" s="163"/>
      <c r="AM492" s="163"/>
      <c r="AN492" s="161"/>
      <c r="AO492" s="161"/>
      <c r="AP492" s="161"/>
      <c r="AQ492" s="161"/>
      <c r="AR492" s="161"/>
      <c r="AS492" s="119"/>
    </row>
    <row r="493">
      <c r="A493" s="137">
        <v>358.0</v>
      </c>
      <c r="B493" s="150"/>
      <c r="C493" s="104" t="s">
        <v>3302</v>
      </c>
      <c r="D493" s="105" t="s">
        <v>90</v>
      </c>
      <c r="E493" s="107" t="s">
        <v>90</v>
      </c>
      <c r="F493" s="101"/>
      <c r="G493" s="40" t="s">
        <v>3303</v>
      </c>
      <c r="H493" s="55" t="s">
        <v>3304</v>
      </c>
      <c r="I493" s="69" t="s">
        <v>3305</v>
      </c>
      <c r="J493" s="155"/>
      <c r="K493" s="37">
        <v>43885.0</v>
      </c>
      <c r="L493" s="37">
        <v>43890.0</v>
      </c>
      <c r="M493" s="174" t="s">
        <v>3306</v>
      </c>
      <c r="N493" s="73" t="s">
        <v>967</v>
      </c>
      <c r="O493" s="113">
        <v>43738.0</v>
      </c>
      <c r="P493" s="37">
        <v>43827.0</v>
      </c>
      <c r="Q493" s="22"/>
      <c r="R493" s="22"/>
      <c r="S493" s="117"/>
      <c r="T493" s="157"/>
      <c r="U493" s="161"/>
      <c r="V493" s="161"/>
      <c r="W493" s="161"/>
      <c r="X493" s="161"/>
      <c r="Y493" s="161"/>
      <c r="Z493" s="161"/>
      <c r="AA493" s="161"/>
      <c r="AB493" s="161"/>
      <c r="AC493" s="161"/>
      <c r="AD493" s="161"/>
      <c r="AE493" s="161"/>
      <c r="AF493" s="161"/>
      <c r="AG493" s="161"/>
      <c r="AH493" s="163"/>
      <c r="AI493" s="163"/>
      <c r="AJ493" s="163"/>
      <c r="AK493" s="163"/>
      <c r="AL493" s="163"/>
      <c r="AM493" s="163"/>
      <c r="AN493" s="161"/>
      <c r="AO493" s="161"/>
      <c r="AP493" s="161"/>
      <c r="AQ493" s="161"/>
      <c r="AR493" s="554" t="s">
        <v>97</v>
      </c>
      <c r="AS493" s="119"/>
    </row>
    <row r="494">
      <c r="A494" s="101">
        <v>913.0</v>
      </c>
      <c r="B494" s="284"/>
      <c r="C494" s="123" t="s">
        <v>3307</v>
      </c>
      <c r="D494" s="138" t="s">
        <v>56</v>
      </c>
      <c r="E494" s="400" t="s">
        <v>3308</v>
      </c>
      <c r="F494" s="127"/>
      <c r="G494" s="128" t="s">
        <v>3309</v>
      </c>
      <c r="H494" s="89" t="s">
        <v>3310</v>
      </c>
      <c r="I494" s="91" t="str">
        <f>HYPERLINK("https://filmfreeway.com/LegacyofBlackWomenFilmShowcase","https://filmfreeway.com/LegacyofBlackWomenFilmShowcase")</f>
        <v>https://filmfreeway.com/LegacyofBlackWomenFilmShowcase</v>
      </c>
      <c r="J494" s="288"/>
      <c r="K494" s="145">
        <v>43847.0</v>
      </c>
      <c r="L494" s="145">
        <v>43849.0</v>
      </c>
      <c r="M494" s="130" t="s">
        <v>187</v>
      </c>
      <c r="N494" s="130" t="s">
        <v>159</v>
      </c>
      <c r="O494" s="145">
        <v>43743.0</v>
      </c>
      <c r="P494" s="145">
        <v>43771.0</v>
      </c>
      <c r="Q494" s="131"/>
      <c r="R494" s="132"/>
      <c r="S494" s="132"/>
      <c r="T494" s="118"/>
      <c r="U494" s="119"/>
      <c r="V494" s="119"/>
      <c r="W494" s="120" t="s">
        <v>97</v>
      </c>
      <c r="X494" s="401" t="s">
        <v>97</v>
      </c>
      <c r="Y494" s="134"/>
      <c r="Z494" s="119"/>
      <c r="AA494" s="218" t="s">
        <v>97</v>
      </c>
      <c r="AB494" s="119"/>
      <c r="AC494" s="119"/>
      <c r="AD494" s="119"/>
      <c r="AE494" s="119"/>
      <c r="AF494" s="119"/>
      <c r="AG494" s="119"/>
      <c r="AH494" s="121"/>
      <c r="AI494" s="121"/>
      <c r="AJ494" s="121"/>
      <c r="AK494" s="121"/>
      <c r="AL494" s="121"/>
      <c r="AM494" s="135"/>
      <c r="AN494" s="119"/>
      <c r="AO494" s="119"/>
      <c r="AP494" s="119"/>
      <c r="AQ494" s="119"/>
      <c r="AR494" s="119"/>
      <c r="AS494" s="119"/>
    </row>
    <row r="495">
      <c r="A495" s="137">
        <v>359.0</v>
      </c>
      <c r="B495" s="150"/>
      <c r="C495" s="104" t="s">
        <v>3311</v>
      </c>
      <c r="D495" s="138" t="s">
        <v>75</v>
      </c>
      <c r="E495" s="107" t="s">
        <v>104</v>
      </c>
      <c r="F495" s="101"/>
      <c r="G495" s="40" t="s">
        <v>3312</v>
      </c>
      <c r="H495" s="55" t="s">
        <v>3313</v>
      </c>
      <c r="I495" s="69" t="s">
        <v>3314</v>
      </c>
      <c r="J495" s="155"/>
      <c r="K495" s="37">
        <v>43897.0</v>
      </c>
      <c r="L495" s="37">
        <v>43897.0</v>
      </c>
      <c r="M495" s="73" t="s">
        <v>1185</v>
      </c>
      <c r="N495" s="73" t="s">
        <v>1186</v>
      </c>
      <c r="O495" s="113">
        <v>43769.0</v>
      </c>
      <c r="P495" s="37">
        <v>43835.0</v>
      </c>
      <c r="Q495" s="22"/>
      <c r="R495" s="22"/>
      <c r="S495" s="117"/>
      <c r="T495" s="157" t="s">
        <v>50</v>
      </c>
      <c r="U495" s="161"/>
      <c r="V495" s="161"/>
      <c r="W495" s="120" t="s">
        <v>97</v>
      </c>
      <c r="X495" s="161"/>
      <c r="Y495" s="161"/>
      <c r="Z495" s="161"/>
      <c r="AA495" s="161"/>
      <c r="AB495" s="161"/>
      <c r="AC495" s="161"/>
      <c r="AD495" s="161"/>
      <c r="AE495" s="161"/>
      <c r="AF495" s="161"/>
      <c r="AG495" s="161"/>
      <c r="AH495" s="163"/>
      <c r="AI495" s="163"/>
      <c r="AJ495" s="163"/>
      <c r="AK495" s="163"/>
      <c r="AL495" s="163"/>
      <c r="AM495" s="163"/>
      <c r="AN495" s="143" t="s">
        <v>97</v>
      </c>
      <c r="AO495" s="161"/>
      <c r="AP495" s="161"/>
      <c r="AQ495" s="161"/>
      <c r="AR495" s="161"/>
      <c r="AS495" s="119"/>
    </row>
    <row r="496">
      <c r="A496" s="101">
        <v>360.0</v>
      </c>
      <c r="B496" s="292"/>
      <c r="C496" s="104" t="s">
        <v>3315</v>
      </c>
      <c r="D496" s="105" t="s">
        <v>53</v>
      </c>
      <c r="E496" s="107" t="s">
        <v>3316</v>
      </c>
      <c r="F496" s="190"/>
      <c r="G496" s="192" t="s">
        <v>3317</v>
      </c>
      <c r="H496" s="81" t="s">
        <v>3318</v>
      </c>
      <c r="I496" s="158" t="s">
        <v>3319</v>
      </c>
      <c r="J496" s="155"/>
      <c r="K496" s="37">
        <v>44100.0</v>
      </c>
      <c r="L496" s="37">
        <v>44100.0</v>
      </c>
      <c r="M496" s="73" t="s">
        <v>556</v>
      </c>
      <c r="N496" s="73" t="s">
        <v>179</v>
      </c>
      <c r="O496" s="113">
        <v>43876.0</v>
      </c>
      <c r="P496" s="37">
        <v>44046.0</v>
      </c>
      <c r="Q496" s="22"/>
      <c r="R496" s="22"/>
      <c r="S496" s="117"/>
      <c r="T496" s="157"/>
      <c r="U496" s="194"/>
      <c r="V496" s="194"/>
      <c r="W496" s="194"/>
      <c r="X496" s="295" t="s">
        <v>97</v>
      </c>
      <c r="Y496" s="194"/>
      <c r="Z496" s="194"/>
      <c r="AA496" s="194"/>
      <c r="AB496" s="194"/>
      <c r="AC496" s="194"/>
      <c r="AD496" s="186"/>
      <c r="AE496" s="187"/>
      <c r="AF496" s="194"/>
      <c r="AG496" s="187"/>
      <c r="AH496" s="189"/>
      <c r="AI496" s="342" t="s">
        <v>97</v>
      </c>
      <c r="AJ496" s="189"/>
      <c r="AK496" s="189"/>
      <c r="AL496" s="189"/>
      <c r="AM496" s="189"/>
      <c r="AN496" s="187"/>
      <c r="AO496" s="187"/>
      <c r="AP496" s="194"/>
      <c r="AQ496" s="187"/>
      <c r="AR496" s="187"/>
      <c r="AS496" s="119"/>
    </row>
    <row r="497">
      <c r="A497" s="137">
        <v>361.0</v>
      </c>
      <c r="B497" s="150"/>
      <c r="C497" s="104" t="s">
        <v>3320</v>
      </c>
      <c r="D497" s="138" t="s">
        <v>71</v>
      </c>
      <c r="E497" s="107" t="s">
        <v>71</v>
      </c>
      <c r="F497" s="101"/>
      <c r="G497" s="40" t="s">
        <v>3321</v>
      </c>
      <c r="H497" s="55" t="s">
        <v>3322</v>
      </c>
      <c r="I497" s="69" t="s">
        <v>3323</v>
      </c>
      <c r="J497" s="155"/>
      <c r="K497" s="37">
        <v>43952.0</v>
      </c>
      <c r="L497" s="37">
        <v>43954.0</v>
      </c>
      <c r="M497" s="73" t="s">
        <v>221</v>
      </c>
      <c r="N497" s="73" t="s">
        <v>72</v>
      </c>
      <c r="O497" s="113">
        <v>43701.0</v>
      </c>
      <c r="P497" s="37">
        <v>43905.0</v>
      </c>
      <c r="Q497" s="22"/>
      <c r="R497" s="22"/>
      <c r="S497" s="117"/>
      <c r="T497" s="157"/>
      <c r="U497" s="161"/>
      <c r="V497" s="161"/>
      <c r="W497" s="161"/>
      <c r="X497" s="161"/>
      <c r="Y497" s="161"/>
      <c r="Z497" s="161"/>
      <c r="AA497" s="161"/>
      <c r="AB497" s="161"/>
      <c r="AC497" s="161"/>
      <c r="AD497" s="161"/>
      <c r="AE497" s="161"/>
      <c r="AF497" s="161"/>
      <c r="AG497" s="161"/>
      <c r="AH497" s="163"/>
      <c r="AI497" s="163"/>
      <c r="AJ497" s="163"/>
      <c r="AK497" s="163"/>
      <c r="AL497" s="163"/>
      <c r="AM497" s="165" t="s">
        <v>97</v>
      </c>
      <c r="AN497" s="161"/>
      <c r="AO497" s="161"/>
      <c r="AP497" s="161"/>
      <c r="AQ497" s="161"/>
      <c r="AR497" s="161"/>
      <c r="AS497" s="119"/>
    </row>
    <row r="498">
      <c r="A498" s="137">
        <v>362.0</v>
      </c>
      <c r="B498" s="150"/>
      <c r="C498" s="104" t="s">
        <v>3324</v>
      </c>
      <c r="D498" s="105" t="s">
        <v>89</v>
      </c>
      <c r="E498" s="107" t="s">
        <v>89</v>
      </c>
      <c r="F498" s="101"/>
      <c r="G498" s="40" t="s">
        <v>3325</v>
      </c>
      <c r="H498" s="55" t="s">
        <v>3326</v>
      </c>
      <c r="I498" s="69" t="s">
        <v>3327</v>
      </c>
      <c r="J498" s="155"/>
      <c r="K498" s="37">
        <v>43883.0</v>
      </c>
      <c r="L498" s="37">
        <v>43883.0</v>
      </c>
      <c r="M498" s="156" t="s">
        <v>136</v>
      </c>
      <c r="N498" s="73" t="s">
        <v>110</v>
      </c>
      <c r="O498" s="113">
        <v>43769.0</v>
      </c>
      <c r="P498" s="37">
        <v>43769.0</v>
      </c>
      <c r="Q498" s="22"/>
      <c r="R498" s="22"/>
      <c r="S498" s="117"/>
      <c r="T498" s="157"/>
      <c r="U498" s="161"/>
      <c r="V498" s="161"/>
      <c r="W498" s="161"/>
      <c r="X498" s="161"/>
      <c r="Y498" s="161"/>
      <c r="Z498" s="161"/>
      <c r="AA498" s="161"/>
      <c r="AB498" s="161"/>
      <c r="AC498" s="161"/>
      <c r="AD498" s="161"/>
      <c r="AE498" s="161"/>
      <c r="AF498" s="161"/>
      <c r="AG498" s="161"/>
      <c r="AH498" s="163"/>
      <c r="AI498" s="163"/>
      <c r="AJ498" s="163"/>
      <c r="AK498" s="163"/>
      <c r="AL498" s="163"/>
      <c r="AM498" s="163"/>
      <c r="AN498" s="161"/>
      <c r="AO498" s="161"/>
      <c r="AP498" s="161"/>
      <c r="AQ498" s="172" t="s">
        <v>97</v>
      </c>
      <c r="AR498" s="161"/>
      <c r="AS498" s="119"/>
    </row>
    <row r="499">
      <c r="A499" s="101">
        <v>1010.0</v>
      </c>
      <c r="B499" s="173"/>
      <c r="C499" s="683" t="s">
        <v>3328</v>
      </c>
      <c r="D499" s="107" t="s">
        <v>91</v>
      </c>
      <c r="E499" s="107" t="s">
        <v>3329</v>
      </c>
      <c r="F499" s="101"/>
      <c r="G499" s="40" t="s">
        <v>1276</v>
      </c>
      <c r="H499" s="234" t="s">
        <v>1277</v>
      </c>
      <c r="I499" s="235" t="s">
        <v>1280</v>
      </c>
      <c r="J499" s="20" t="s">
        <v>26</v>
      </c>
      <c r="K499" s="37">
        <v>43905.0</v>
      </c>
      <c r="L499" s="37">
        <v>43910.0</v>
      </c>
      <c r="M499" s="73" t="s">
        <v>399</v>
      </c>
      <c r="N499" s="179" t="s">
        <v>72</v>
      </c>
      <c r="O499" s="37">
        <v>43814.0</v>
      </c>
      <c r="P499" s="37">
        <v>43814.0</v>
      </c>
      <c r="Q499" s="22"/>
      <c r="R499" s="22"/>
      <c r="S499" s="117"/>
      <c r="T499" s="236"/>
      <c r="U499" s="161"/>
      <c r="V499" s="161"/>
      <c r="W499" s="161"/>
      <c r="X499" s="161"/>
      <c r="Y499" s="161"/>
      <c r="Z499" s="161"/>
      <c r="AA499" s="161"/>
      <c r="AB499" s="161"/>
      <c r="AC499" s="161"/>
      <c r="AD499" s="161"/>
      <c r="AE499" s="161"/>
      <c r="AF499" s="161"/>
      <c r="AG499" s="237"/>
      <c r="AH499" s="163"/>
      <c r="AI499" s="163"/>
      <c r="AJ499" s="163"/>
      <c r="AK499" s="163"/>
      <c r="AL499" s="163"/>
      <c r="AM499" s="165" t="s">
        <v>97</v>
      </c>
      <c r="AN499" s="161"/>
      <c r="AO499" s="161"/>
      <c r="AP499" s="161"/>
      <c r="AQ499" s="161"/>
      <c r="AR499" s="161"/>
      <c r="AS499" s="238" t="s">
        <v>97</v>
      </c>
    </row>
    <row r="500">
      <c r="A500" s="137">
        <v>774.0</v>
      </c>
      <c r="B500" s="103"/>
      <c r="C500" s="104" t="s">
        <v>3330</v>
      </c>
      <c r="D500" s="105" t="s">
        <v>48</v>
      </c>
      <c r="E500" s="107" t="s">
        <v>48</v>
      </c>
      <c r="F500" s="109"/>
      <c r="G500" s="10" t="s">
        <v>2088</v>
      </c>
      <c r="H500" s="17" t="s">
        <v>3331</v>
      </c>
      <c r="I500" s="111" t="s">
        <v>3332</v>
      </c>
      <c r="J500" s="112"/>
      <c r="K500" s="113">
        <v>43986.0</v>
      </c>
      <c r="L500" s="113">
        <v>43989.0</v>
      </c>
      <c r="M500" s="24" t="s">
        <v>3333</v>
      </c>
      <c r="N500" s="24" t="s">
        <v>412</v>
      </c>
      <c r="O500" s="114">
        <v>43759.0</v>
      </c>
      <c r="P500" s="114">
        <v>43899.0</v>
      </c>
      <c r="Q500" s="115"/>
      <c r="R500" s="115"/>
      <c r="S500" s="117"/>
      <c r="T500" s="118"/>
      <c r="U500" s="176" t="s">
        <v>97</v>
      </c>
      <c r="V500" s="119"/>
      <c r="W500" s="119"/>
      <c r="X500" s="119"/>
      <c r="Y500" s="119"/>
      <c r="Z500" s="119"/>
      <c r="AA500" s="119"/>
      <c r="AB500" s="119"/>
      <c r="AC500" s="119"/>
      <c r="AD500" s="119"/>
      <c r="AE500" s="119"/>
      <c r="AF500" s="119"/>
      <c r="AG500" s="119"/>
      <c r="AH500" s="121"/>
      <c r="AI500" s="121"/>
      <c r="AJ500" s="121"/>
      <c r="AK500" s="121"/>
      <c r="AL500" s="121"/>
      <c r="AM500" s="121"/>
      <c r="AN500" s="119"/>
      <c r="AO500" s="119"/>
      <c r="AP500" s="119"/>
      <c r="AQ500" s="119"/>
      <c r="AR500" s="119"/>
      <c r="AS500" s="119"/>
    </row>
    <row r="501">
      <c r="A501" s="101">
        <v>363.0</v>
      </c>
      <c r="B501" s="150"/>
      <c r="C501" s="104" t="s">
        <v>3334</v>
      </c>
      <c r="D501" s="105" t="s">
        <v>52</v>
      </c>
      <c r="E501" s="107" t="s">
        <v>52</v>
      </c>
      <c r="F501" s="101"/>
      <c r="G501" s="40" t="s">
        <v>3335</v>
      </c>
      <c r="H501" s="55" t="s">
        <v>3336</v>
      </c>
      <c r="I501" s="69" t="s">
        <v>3337</v>
      </c>
      <c r="J501" s="155"/>
      <c r="K501" s="37">
        <v>43985.0</v>
      </c>
      <c r="L501" s="37">
        <v>43989.0</v>
      </c>
      <c r="M501" s="174" t="s">
        <v>387</v>
      </c>
      <c r="N501" s="73" t="s">
        <v>102</v>
      </c>
      <c r="O501" s="113">
        <v>43840.0</v>
      </c>
      <c r="P501" s="37">
        <v>43924.0</v>
      </c>
      <c r="Q501" s="22"/>
      <c r="R501" s="22"/>
      <c r="S501" s="117"/>
      <c r="T501" s="157"/>
      <c r="U501" s="161"/>
      <c r="V501" s="161"/>
      <c r="W501" s="120" t="s">
        <v>97</v>
      </c>
      <c r="X501" s="161"/>
      <c r="Y501" s="161"/>
      <c r="Z501" s="161"/>
      <c r="AA501" s="161"/>
      <c r="AB501" s="161"/>
      <c r="AC501" s="161"/>
      <c r="AD501" s="161"/>
      <c r="AE501" s="161"/>
      <c r="AF501" s="161"/>
      <c r="AG501" s="161"/>
      <c r="AH501" s="163"/>
      <c r="AI501" s="163"/>
      <c r="AJ501" s="163"/>
      <c r="AK501" s="163"/>
      <c r="AL501" s="163"/>
      <c r="AM501" s="163"/>
      <c r="AN501" s="161"/>
      <c r="AO501" s="161"/>
      <c r="AP501" s="161"/>
      <c r="AQ501" s="161"/>
      <c r="AR501" s="161"/>
      <c r="AS501" s="119"/>
    </row>
    <row r="502">
      <c r="A502" s="137">
        <v>364.0</v>
      </c>
      <c r="B502" s="173">
        <v>9.0</v>
      </c>
      <c r="C502" s="104" t="s">
        <v>3338</v>
      </c>
      <c r="D502" s="105" t="s">
        <v>48</v>
      </c>
      <c r="E502" s="107" t="s">
        <v>48</v>
      </c>
      <c r="F502" s="190"/>
      <c r="G502" s="192" t="s">
        <v>3339</v>
      </c>
      <c r="H502" s="81" t="s">
        <v>3340</v>
      </c>
      <c r="I502" s="175" t="s">
        <v>3341</v>
      </c>
      <c r="J502" s="155"/>
      <c r="K502" s="22" t="s">
        <v>27</v>
      </c>
      <c r="L502" s="22" t="s">
        <v>27</v>
      </c>
      <c r="M502" s="174" t="s">
        <v>250</v>
      </c>
      <c r="N502" s="73" t="s">
        <v>251</v>
      </c>
      <c r="O502" s="22" t="s">
        <v>27</v>
      </c>
      <c r="P502" s="22" t="s">
        <v>27</v>
      </c>
      <c r="Q502" s="201"/>
      <c r="R502" s="201"/>
      <c r="S502" s="224"/>
      <c r="T502" s="157"/>
      <c r="U502" s="293" t="s">
        <v>97</v>
      </c>
      <c r="V502" s="194"/>
      <c r="W502" s="194"/>
      <c r="X502" s="194"/>
      <c r="Y502" s="194"/>
      <c r="Z502" s="194"/>
      <c r="AA502" s="194"/>
      <c r="AB502" s="194"/>
      <c r="AC502" s="194"/>
      <c r="AD502" s="186"/>
      <c r="AE502" s="187"/>
      <c r="AF502" s="194"/>
      <c r="AG502" s="187"/>
      <c r="AH502" s="189"/>
      <c r="AI502" s="189"/>
      <c r="AJ502" s="189"/>
      <c r="AK502" s="189"/>
      <c r="AL502" s="189"/>
      <c r="AM502" s="189"/>
      <c r="AN502" s="187"/>
      <c r="AO502" s="187"/>
      <c r="AP502" s="194"/>
      <c r="AQ502" s="187"/>
      <c r="AR502" s="187"/>
      <c r="AS502" s="119"/>
    </row>
    <row r="503">
      <c r="A503" s="101">
        <v>844.0</v>
      </c>
      <c r="B503" s="103">
        <v>11.0</v>
      </c>
      <c r="C503" s="104" t="s">
        <v>3342</v>
      </c>
      <c r="D503" s="105" t="s">
        <v>48</v>
      </c>
      <c r="E503" s="107" t="s">
        <v>48</v>
      </c>
      <c r="F503" s="109"/>
      <c r="G503" s="10" t="s">
        <v>3343</v>
      </c>
      <c r="H503" s="17" t="s">
        <v>3344</v>
      </c>
      <c r="I503" s="111" t="s">
        <v>3345</v>
      </c>
      <c r="J503" s="155"/>
      <c r="K503" s="22" t="s">
        <v>27</v>
      </c>
      <c r="L503" s="22" t="s">
        <v>27</v>
      </c>
      <c r="M503" s="24" t="s">
        <v>611</v>
      </c>
      <c r="N503" s="24" t="s">
        <v>179</v>
      </c>
      <c r="O503" s="22" t="s">
        <v>27</v>
      </c>
      <c r="P503" s="22" t="s">
        <v>27</v>
      </c>
      <c r="Q503" s="223"/>
      <c r="R503" s="223"/>
      <c r="S503" s="224"/>
      <c r="T503" s="118"/>
      <c r="U503" s="176" t="s">
        <v>97</v>
      </c>
      <c r="V503" s="119"/>
      <c r="W503" s="119"/>
      <c r="X503" s="119"/>
      <c r="Y503" s="119"/>
      <c r="Z503" s="119"/>
      <c r="AA503" s="119"/>
      <c r="AB503" s="119"/>
      <c r="AC503" s="119"/>
      <c r="AD503" s="119"/>
      <c r="AE503" s="119"/>
      <c r="AF503" s="119"/>
      <c r="AG503" s="119"/>
      <c r="AH503" s="121"/>
      <c r="AI503" s="121"/>
      <c r="AJ503" s="121"/>
      <c r="AK503" s="121"/>
      <c r="AL503" s="121"/>
      <c r="AM503" s="121"/>
      <c r="AN503" s="119"/>
      <c r="AO503" s="119"/>
      <c r="AP503" s="119"/>
      <c r="AQ503" s="119"/>
      <c r="AR503" s="119"/>
      <c r="AS503" s="119"/>
    </row>
    <row r="504">
      <c r="A504" s="137">
        <v>808.0</v>
      </c>
      <c r="B504" s="103">
        <v>11.0</v>
      </c>
      <c r="C504" s="104" t="s">
        <v>3346</v>
      </c>
      <c r="D504" s="105" t="s">
        <v>48</v>
      </c>
      <c r="E504" s="107" t="s">
        <v>48</v>
      </c>
      <c r="F504" s="109"/>
      <c r="G504" s="10" t="s">
        <v>3347</v>
      </c>
      <c r="H504" s="17" t="s">
        <v>3348</v>
      </c>
      <c r="I504" s="111" t="s">
        <v>3349</v>
      </c>
      <c r="J504" s="112"/>
      <c r="K504" s="113">
        <v>44139.0</v>
      </c>
      <c r="L504" s="113">
        <v>44143.0</v>
      </c>
      <c r="M504" s="24" t="s">
        <v>2735</v>
      </c>
      <c r="N504" s="24" t="s">
        <v>102</v>
      </c>
      <c r="O504" s="113">
        <v>43899.0</v>
      </c>
      <c r="P504" s="113">
        <v>44053.0</v>
      </c>
      <c r="Q504" s="115"/>
      <c r="R504" s="115"/>
      <c r="S504" s="117"/>
      <c r="T504" s="118"/>
      <c r="U504" s="176" t="s">
        <v>97</v>
      </c>
      <c r="V504" s="119"/>
      <c r="W504" s="119"/>
      <c r="X504" s="119"/>
      <c r="Y504" s="119"/>
      <c r="Z504" s="119"/>
      <c r="AA504" s="119"/>
      <c r="AB504" s="119"/>
      <c r="AC504" s="119"/>
      <c r="AD504" s="119"/>
      <c r="AE504" s="119"/>
      <c r="AF504" s="119"/>
      <c r="AG504" s="119"/>
      <c r="AH504" s="121"/>
      <c r="AI504" s="121"/>
      <c r="AJ504" s="121"/>
      <c r="AK504" s="121"/>
      <c r="AL504" s="121"/>
      <c r="AM504" s="121"/>
      <c r="AN504" s="119"/>
      <c r="AO504" s="119"/>
      <c r="AP504" s="119"/>
      <c r="AQ504" s="119"/>
      <c r="AR504" s="119"/>
      <c r="AS504" s="119"/>
    </row>
    <row r="505">
      <c r="A505" s="137">
        <v>365.0</v>
      </c>
      <c r="B505" s="177"/>
      <c r="C505" s="104" t="s">
        <v>3350</v>
      </c>
      <c r="D505" s="105" t="s">
        <v>48</v>
      </c>
      <c r="E505" s="107" t="s">
        <v>48</v>
      </c>
      <c r="F505" s="178"/>
      <c r="G505" s="77" t="s">
        <v>3351</v>
      </c>
      <c r="H505" s="81" t="s">
        <v>3352</v>
      </c>
      <c r="I505" s="84" t="s">
        <v>3353</v>
      </c>
      <c r="J505" s="155"/>
      <c r="K505" s="37">
        <v>44041.0</v>
      </c>
      <c r="L505" s="37">
        <v>44045.0</v>
      </c>
      <c r="M505" s="85" t="s">
        <v>3354</v>
      </c>
      <c r="N505" s="85" t="s">
        <v>29</v>
      </c>
      <c r="O505" s="113">
        <v>43845.0</v>
      </c>
      <c r="P505" s="113">
        <v>43922.0</v>
      </c>
      <c r="Q505" s="373"/>
      <c r="R505" s="373"/>
      <c r="S505" s="224"/>
      <c r="T505" s="181"/>
      <c r="U505" s="182" t="s">
        <v>97</v>
      </c>
      <c r="V505" s="184"/>
      <c r="W505" s="184"/>
      <c r="X505" s="184"/>
      <c r="Y505" s="184"/>
      <c r="Z505" s="184"/>
      <c r="AA505" s="184"/>
      <c r="AB505" s="184"/>
      <c r="AC505" s="184"/>
      <c r="AD505" s="186"/>
      <c r="AE505" s="187"/>
      <c r="AF505" s="184"/>
      <c r="AG505" s="187"/>
      <c r="AH505" s="189"/>
      <c r="AI505" s="189"/>
      <c r="AJ505" s="189"/>
      <c r="AK505" s="189"/>
      <c r="AL505" s="189"/>
      <c r="AM505" s="189"/>
      <c r="AN505" s="187"/>
      <c r="AO505" s="187"/>
      <c r="AP505" s="184"/>
      <c r="AQ505" s="187"/>
      <c r="AR505" s="187"/>
      <c r="AS505" s="119"/>
    </row>
    <row r="506">
      <c r="A506" s="101">
        <v>366.0</v>
      </c>
      <c r="B506" s="197"/>
      <c r="C506" s="104" t="s">
        <v>3355</v>
      </c>
      <c r="D506" s="226" t="s">
        <v>54</v>
      </c>
      <c r="E506" s="227" t="s">
        <v>54</v>
      </c>
      <c r="F506" s="178"/>
      <c r="G506" s="77" t="s">
        <v>3356</v>
      </c>
      <c r="H506" s="81" t="s">
        <v>3357</v>
      </c>
      <c r="I506" s="175" t="s">
        <v>3358</v>
      </c>
      <c r="J506" s="155"/>
      <c r="K506" s="37">
        <v>44084.0</v>
      </c>
      <c r="L506" s="37">
        <v>44087.0</v>
      </c>
      <c r="M506" s="85" t="s">
        <v>3354</v>
      </c>
      <c r="N506" s="85" t="s">
        <v>72</v>
      </c>
      <c r="O506" s="113">
        <v>43831.0</v>
      </c>
      <c r="P506" s="37">
        <v>44003.0</v>
      </c>
      <c r="Q506" s="201"/>
      <c r="R506" s="201"/>
      <c r="S506" s="224"/>
      <c r="T506" s="181"/>
      <c r="U506" s="184"/>
      <c r="V506" s="184"/>
      <c r="W506" s="184"/>
      <c r="X506" s="184"/>
      <c r="Y506" s="233" t="s">
        <v>97</v>
      </c>
      <c r="Z506" s="184"/>
      <c r="AA506" s="184"/>
      <c r="AB506" s="184"/>
      <c r="AC506" s="184"/>
      <c r="AD506" s="186"/>
      <c r="AE506" s="187"/>
      <c r="AF506" s="184"/>
      <c r="AG506" s="187"/>
      <c r="AH506" s="189"/>
      <c r="AI506" s="189"/>
      <c r="AJ506" s="189"/>
      <c r="AK506" s="189"/>
      <c r="AL506" s="189"/>
      <c r="AM506" s="189"/>
      <c r="AN506" s="187"/>
      <c r="AO506" s="187"/>
      <c r="AP506" s="184"/>
      <c r="AQ506" s="187"/>
      <c r="AR506" s="187"/>
      <c r="AS506" s="119"/>
    </row>
    <row r="507">
      <c r="A507" s="137">
        <v>367.0</v>
      </c>
      <c r="B507" s="150"/>
      <c r="C507" s="104" t="s">
        <v>3359</v>
      </c>
      <c r="D507" s="105" t="s">
        <v>48</v>
      </c>
      <c r="E507" s="107" t="s">
        <v>48</v>
      </c>
      <c r="F507" s="101"/>
      <c r="G507" s="40" t="s">
        <v>3360</v>
      </c>
      <c r="H507" s="55" t="s">
        <v>3361</v>
      </c>
      <c r="I507" s="69" t="s">
        <v>3362</v>
      </c>
      <c r="J507" s="155"/>
      <c r="K507" s="37">
        <v>44022.0</v>
      </c>
      <c r="L507" s="37">
        <v>44028.0</v>
      </c>
      <c r="M507" s="73" t="s">
        <v>3363</v>
      </c>
      <c r="N507" s="73" t="s">
        <v>29</v>
      </c>
      <c r="O507" s="113">
        <v>43831.0</v>
      </c>
      <c r="P507" s="37">
        <v>43893.0</v>
      </c>
      <c r="Q507" s="22"/>
      <c r="R507" s="22"/>
      <c r="S507" s="117"/>
      <c r="T507" s="157"/>
      <c r="U507" s="176" t="s">
        <v>97</v>
      </c>
      <c r="V507" s="161"/>
      <c r="W507" s="161"/>
      <c r="X507" s="161"/>
      <c r="Y507" s="161"/>
      <c r="Z507" s="161"/>
      <c r="AA507" s="161"/>
      <c r="AB507" s="161"/>
      <c r="AC507" s="161"/>
      <c r="AD507" s="161"/>
      <c r="AE507" s="161"/>
      <c r="AF507" s="161"/>
      <c r="AG507" s="161"/>
      <c r="AH507" s="163"/>
      <c r="AI507" s="163"/>
      <c r="AJ507" s="163"/>
      <c r="AK507" s="163"/>
      <c r="AL507" s="163"/>
      <c r="AM507" s="163"/>
      <c r="AN507" s="161"/>
      <c r="AO507" s="161"/>
      <c r="AP507" s="161"/>
      <c r="AQ507" s="161"/>
      <c r="AR507" s="161"/>
      <c r="AS507" s="119"/>
    </row>
    <row r="508">
      <c r="A508" s="137">
        <v>368.0</v>
      </c>
      <c r="B508" s="150"/>
      <c r="C508" s="104" t="s">
        <v>3364</v>
      </c>
      <c r="D508" s="105" t="s">
        <v>48</v>
      </c>
      <c r="E508" s="107" t="s">
        <v>48</v>
      </c>
      <c r="F508" s="101"/>
      <c r="G508" s="40" t="s">
        <v>3365</v>
      </c>
      <c r="H508" s="55" t="s">
        <v>3366</v>
      </c>
      <c r="I508" s="69" t="s">
        <v>3367</v>
      </c>
      <c r="J508" s="155"/>
      <c r="K508" s="37">
        <v>43959.0</v>
      </c>
      <c r="L508" s="37">
        <v>43960.0</v>
      </c>
      <c r="M508" s="73" t="s">
        <v>3368</v>
      </c>
      <c r="N508" s="73" t="s">
        <v>159</v>
      </c>
      <c r="O508" s="113">
        <v>43739.0</v>
      </c>
      <c r="P508" s="37">
        <v>43891.0</v>
      </c>
      <c r="Q508" s="22"/>
      <c r="R508" s="22"/>
      <c r="S508" s="117"/>
      <c r="T508" s="157"/>
      <c r="U508" s="176" t="s">
        <v>97</v>
      </c>
      <c r="V508" s="161"/>
      <c r="W508" s="161"/>
      <c r="X508" s="161"/>
      <c r="Y508" s="161"/>
      <c r="Z508" s="161"/>
      <c r="AA508" s="161"/>
      <c r="AB508" s="161"/>
      <c r="AC508" s="161"/>
      <c r="AD508" s="161"/>
      <c r="AE508" s="161"/>
      <c r="AF508" s="161"/>
      <c r="AG508" s="161"/>
      <c r="AH508" s="163"/>
      <c r="AI508" s="163"/>
      <c r="AJ508" s="163"/>
      <c r="AK508" s="163"/>
      <c r="AL508" s="163"/>
      <c r="AM508" s="163"/>
      <c r="AN508" s="161"/>
      <c r="AO508" s="161"/>
      <c r="AP508" s="161"/>
      <c r="AQ508" s="161"/>
      <c r="AR508" s="161"/>
      <c r="AS508" s="119"/>
    </row>
    <row r="509">
      <c r="A509" s="101">
        <v>369.0</v>
      </c>
      <c r="B509" s="150"/>
      <c r="C509" s="104" t="s">
        <v>3369</v>
      </c>
      <c r="D509" s="105" t="s">
        <v>66</v>
      </c>
      <c r="E509" s="107" t="s">
        <v>451</v>
      </c>
      <c r="F509" s="101"/>
      <c r="G509" s="40" t="s">
        <v>3370</v>
      </c>
      <c r="H509" s="55" t="s">
        <v>3371</v>
      </c>
      <c r="I509" s="69" t="s">
        <v>3372</v>
      </c>
      <c r="J509" s="155"/>
      <c r="K509" s="37">
        <v>43882.0</v>
      </c>
      <c r="L509" s="37">
        <v>43889.0</v>
      </c>
      <c r="M509" s="174" t="s">
        <v>3373</v>
      </c>
      <c r="N509" s="73" t="s">
        <v>291</v>
      </c>
      <c r="O509" s="113">
        <v>43830.0</v>
      </c>
      <c r="P509" s="37">
        <v>43830.0</v>
      </c>
      <c r="Q509" s="22"/>
      <c r="R509" s="22"/>
      <c r="S509" s="117"/>
      <c r="T509" s="157"/>
      <c r="U509" s="161"/>
      <c r="V509" s="161"/>
      <c r="W509" s="120" t="s">
        <v>97</v>
      </c>
      <c r="X509" s="161"/>
      <c r="Y509" s="161"/>
      <c r="Z509" s="161"/>
      <c r="AA509" s="161"/>
      <c r="AB509" s="161"/>
      <c r="AC509" s="161"/>
      <c r="AD509" s="161"/>
      <c r="AE509" s="161"/>
      <c r="AF509" s="161"/>
      <c r="AG509" s="161"/>
      <c r="AH509" s="163"/>
      <c r="AI509" s="163"/>
      <c r="AJ509" s="242" t="s">
        <v>97</v>
      </c>
      <c r="AK509" s="163"/>
      <c r="AL509" s="163"/>
      <c r="AM509" s="163"/>
      <c r="AN509" s="161"/>
      <c r="AO509" s="161"/>
      <c r="AP509" s="161"/>
      <c r="AQ509" s="161"/>
      <c r="AR509" s="161"/>
      <c r="AS509" s="119"/>
    </row>
    <row r="510">
      <c r="A510" s="137">
        <v>370.0</v>
      </c>
      <c r="B510" s="150"/>
      <c r="C510" s="104" t="s">
        <v>3374</v>
      </c>
      <c r="D510" s="138" t="s">
        <v>75</v>
      </c>
      <c r="E510" s="107" t="s">
        <v>345</v>
      </c>
      <c r="F510" s="101"/>
      <c r="G510" s="40" t="s">
        <v>3375</v>
      </c>
      <c r="H510" s="55" t="s">
        <v>3376</v>
      </c>
      <c r="I510" s="69" t="s">
        <v>3377</v>
      </c>
      <c r="J510" s="155"/>
      <c r="K510" s="37">
        <v>43846.0</v>
      </c>
      <c r="L510" s="37">
        <v>43849.0</v>
      </c>
      <c r="M510" s="174" t="s">
        <v>455</v>
      </c>
      <c r="N510" s="73" t="s">
        <v>303</v>
      </c>
      <c r="O510" s="113">
        <v>43617.0</v>
      </c>
      <c r="P510" s="37">
        <v>43778.0</v>
      </c>
      <c r="Q510" s="22"/>
      <c r="R510" s="22"/>
      <c r="S510" s="117"/>
      <c r="T510" s="157" t="s">
        <v>50</v>
      </c>
      <c r="U510" s="161"/>
      <c r="V510" s="161"/>
      <c r="W510" s="161"/>
      <c r="X510" s="161"/>
      <c r="Y510" s="161"/>
      <c r="Z510" s="161"/>
      <c r="AA510" s="161"/>
      <c r="AB510" s="161"/>
      <c r="AC510" s="161"/>
      <c r="AD510" s="161"/>
      <c r="AE510" s="161"/>
      <c r="AF510" s="161"/>
      <c r="AG510" s="161"/>
      <c r="AH510" s="163"/>
      <c r="AI510" s="163"/>
      <c r="AJ510" s="163"/>
      <c r="AK510" s="163"/>
      <c r="AL510" s="163"/>
      <c r="AM510" s="163"/>
      <c r="AN510" s="143" t="s">
        <v>97</v>
      </c>
      <c r="AO510" s="161"/>
      <c r="AP510" s="161"/>
      <c r="AQ510" s="161"/>
      <c r="AR510" s="161"/>
      <c r="AS510" s="119"/>
    </row>
    <row r="511">
      <c r="A511" s="137">
        <v>371.0</v>
      </c>
      <c r="B511" s="177">
        <v>12.0</v>
      </c>
      <c r="C511" s="104" t="s">
        <v>3378</v>
      </c>
      <c r="D511" s="105" t="s">
        <v>66</v>
      </c>
      <c r="E511" s="107" t="s">
        <v>66</v>
      </c>
      <c r="F511" s="178"/>
      <c r="G511" s="77" t="s">
        <v>1683</v>
      </c>
      <c r="H511" s="81" t="s">
        <v>3379</v>
      </c>
      <c r="I511" s="84" t="s">
        <v>3380</v>
      </c>
      <c r="J511" s="112"/>
      <c r="K511" s="113">
        <v>44170.0</v>
      </c>
      <c r="L511" s="113">
        <v>44171.0</v>
      </c>
      <c r="M511" s="85" t="s">
        <v>221</v>
      </c>
      <c r="N511" s="85" t="s">
        <v>72</v>
      </c>
      <c r="O511" s="113">
        <v>43939.0</v>
      </c>
      <c r="P511" s="113">
        <v>44149.0</v>
      </c>
      <c r="Q511" s="373"/>
      <c r="R511" s="373"/>
      <c r="S511" s="224"/>
      <c r="T511" s="181"/>
      <c r="U511" s="184"/>
      <c r="V511" s="184"/>
      <c r="W511" s="184"/>
      <c r="X511" s="184"/>
      <c r="Y511" s="184"/>
      <c r="Z511" s="184"/>
      <c r="AA511" s="184"/>
      <c r="AB511" s="184"/>
      <c r="AC511" s="184"/>
      <c r="AD511" s="186"/>
      <c r="AE511" s="187"/>
      <c r="AF511" s="184"/>
      <c r="AG511" s="187"/>
      <c r="AH511" s="189"/>
      <c r="AI511" s="189"/>
      <c r="AJ511" s="242" t="s">
        <v>97</v>
      </c>
      <c r="AK511" s="189"/>
      <c r="AL511" s="189"/>
      <c r="AM511" s="189"/>
      <c r="AN511" s="187"/>
      <c r="AO511" s="187"/>
      <c r="AP511" s="184"/>
      <c r="AQ511" s="187"/>
      <c r="AR511" s="187"/>
      <c r="AS511" s="119"/>
    </row>
    <row r="512">
      <c r="A512" s="101">
        <v>372.0</v>
      </c>
      <c r="B512" s="177"/>
      <c r="C512" s="104" t="s">
        <v>3381</v>
      </c>
      <c r="D512" s="138" t="s">
        <v>57</v>
      </c>
      <c r="E512" s="107" t="s">
        <v>306</v>
      </c>
      <c r="F512" s="178"/>
      <c r="G512" s="77" t="s">
        <v>3382</v>
      </c>
      <c r="H512" s="81" t="s">
        <v>3383</v>
      </c>
      <c r="I512" s="84" t="s">
        <v>3384</v>
      </c>
      <c r="J512" s="155"/>
      <c r="K512" s="37">
        <v>43951.0</v>
      </c>
      <c r="L512" s="37">
        <v>43959.0</v>
      </c>
      <c r="M512" s="85" t="s">
        <v>221</v>
      </c>
      <c r="N512" s="85" t="s">
        <v>72</v>
      </c>
      <c r="O512" s="113">
        <v>43739.0</v>
      </c>
      <c r="P512" s="37">
        <v>43800.0</v>
      </c>
      <c r="Q512" s="200" t="s">
        <v>222</v>
      </c>
      <c r="R512" s="22"/>
      <c r="S512" s="117"/>
      <c r="T512" s="181"/>
      <c r="U512" s="184"/>
      <c r="V512" s="184"/>
      <c r="W512" s="184"/>
      <c r="X512" s="184"/>
      <c r="Y512" s="184"/>
      <c r="Z512" s="184"/>
      <c r="AA512" s="184"/>
      <c r="AB512" s="684" t="s">
        <v>97</v>
      </c>
      <c r="AC512" s="184"/>
      <c r="AD512" s="186"/>
      <c r="AE512" s="187"/>
      <c r="AF512" s="184"/>
      <c r="AG512" s="187"/>
      <c r="AH512" s="189"/>
      <c r="AI512" s="189"/>
      <c r="AJ512" s="189"/>
      <c r="AK512" s="189"/>
      <c r="AL512" s="189"/>
      <c r="AM512" s="189"/>
      <c r="AN512" s="187"/>
      <c r="AO512" s="187"/>
      <c r="AP512" s="184"/>
      <c r="AQ512" s="187"/>
      <c r="AR512" s="187"/>
      <c r="AS512" s="119"/>
    </row>
    <row r="513">
      <c r="A513" s="137">
        <v>373.0</v>
      </c>
      <c r="B513" s="150"/>
      <c r="C513" s="104" t="s">
        <v>3385</v>
      </c>
      <c r="D513" s="138" t="s">
        <v>71</v>
      </c>
      <c r="E513" s="107" t="s">
        <v>71</v>
      </c>
      <c r="F513" s="101"/>
      <c r="G513" s="40" t="s">
        <v>3386</v>
      </c>
      <c r="H513" s="55" t="s">
        <v>3387</v>
      </c>
      <c r="I513" s="69" t="s">
        <v>3388</v>
      </c>
      <c r="J513" s="155"/>
      <c r="K513" s="37">
        <v>44069.0</v>
      </c>
      <c r="L513" s="37">
        <v>44072.0</v>
      </c>
      <c r="M513" s="73" t="s">
        <v>3389</v>
      </c>
      <c r="N513" s="73" t="s">
        <v>72</v>
      </c>
      <c r="O513" s="113">
        <v>43754.0</v>
      </c>
      <c r="P513" s="37">
        <v>43889.0</v>
      </c>
      <c r="Q513" s="22"/>
      <c r="R513" s="22"/>
      <c r="S513" s="117"/>
      <c r="T513" s="157"/>
      <c r="U513" s="161"/>
      <c r="V513" s="161"/>
      <c r="W513" s="161"/>
      <c r="X513" s="161"/>
      <c r="Y513" s="161"/>
      <c r="Z513" s="161"/>
      <c r="AA513" s="161"/>
      <c r="AB513" s="161"/>
      <c r="AC513" s="161"/>
      <c r="AD513" s="161"/>
      <c r="AE513" s="161"/>
      <c r="AF513" s="161"/>
      <c r="AG513" s="161"/>
      <c r="AH513" s="163"/>
      <c r="AI513" s="163"/>
      <c r="AJ513" s="163"/>
      <c r="AK513" s="163"/>
      <c r="AL513" s="163"/>
      <c r="AM513" s="165" t="s">
        <v>97</v>
      </c>
      <c r="AN513" s="161"/>
      <c r="AO513" s="161"/>
      <c r="AP513" s="161"/>
      <c r="AQ513" s="161"/>
      <c r="AR513" s="161"/>
      <c r="AS513" s="119"/>
    </row>
    <row r="514">
      <c r="A514" s="137">
        <v>374.0</v>
      </c>
      <c r="B514" s="150"/>
      <c r="C514" s="104" t="s">
        <v>3390</v>
      </c>
      <c r="D514" s="138" t="s">
        <v>62</v>
      </c>
      <c r="E514" s="107" t="s">
        <v>523</v>
      </c>
      <c r="F514" s="101"/>
      <c r="G514" s="40" t="s">
        <v>202</v>
      </c>
      <c r="H514" s="55" t="s">
        <v>203</v>
      </c>
      <c r="I514" s="69" t="s">
        <v>205</v>
      </c>
      <c r="J514" s="20" t="s">
        <v>206</v>
      </c>
      <c r="K514" s="37">
        <v>43948.0</v>
      </c>
      <c r="L514" s="37">
        <v>43954.0</v>
      </c>
      <c r="M514" s="73" t="s">
        <v>122</v>
      </c>
      <c r="N514" s="73" t="s">
        <v>72</v>
      </c>
      <c r="O514" s="113">
        <v>43830.0</v>
      </c>
      <c r="P514" s="37">
        <v>43890.0</v>
      </c>
      <c r="Q514" s="22"/>
      <c r="R514" s="22"/>
      <c r="S514" s="117"/>
      <c r="T514" s="157"/>
      <c r="U514" s="161"/>
      <c r="V514" s="161"/>
      <c r="W514" s="161"/>
      <c r="X514" s="161"/>
      <c r="Y514" s="161"/>
      <c r="Z514" s="161"/>
      <c r="AA514" s="161"/>
      <c r="AB514" s="161"/>
      <c r="AC514" s="161"/>
      <c r="AD514" s="161"/>
      <c r="AE514" s="161"/>
      <c r="AF514" s="548" t="s">
        <v>97</v>
      </c>
      <c r="AG514" s="161"/>
      <c r="AH514" s="163"/>
      <c r="AI514" s="163"/>
      <c r="AJ514" s="163"/>
      <c r="AK514" s="163"/>
      <c r="AL514" s="163"/>
      <c r="AM514" s="163"/>
      <c r="AN514" s="161"/>
      <c r="AO514" s="161"/>
      <c r="AP514" s="161"/>
      <c r="AQ514" s="161"/>
      <c r="AR514" s="161"/>
      <c r="AS514" s="119"/>
    </row>
    <row r="515">
      <c r="A515" s="137">
        <v>375.0</v>
      </c>
      <c r="B515" s="177"/>
      <c r="C515" s="104" t="s">
        <v>3391</v>
      </c>
      <c r="D515" s="105" t="s">
        <v>88</v>
      </c>
      <c r="E515" s="107" t="s">
        <v>88</v>
      </c>
      <c r="F515" s="178"/>
      <c r="G515" s="77" t="s">
        <v>702</v>
      </c>
      <c r="H515" s="81" t="s">
        <v>707</v>
      </c>
      <c r="I515" s="84" t="s">
        <v>708</v>
      </c>
      <c r="J515" s="685" t="s">
        <v>78</v>
      </c>
      <c r="K515" s="152">
        <v>43931.0</v>
      </c>
      <c r="L515" s="152">
        <v>43940.0</v>
      </c>
      <c r="M515" s="85" t="s">
        <v>221</v>
      </c>
      <c r="N515" s="85" t="s">
        <v>72</v>
      </c>
      <c r="O515" s="113">
        <v>43830.0</v>
      </c>
      <c r="P515" s="113">
        <v>43830.0</v>
      </c>
      <c r="Q515" s="373"/>
      <c r="R515" s="373"/>
      <c r="S515" s="224"/>
      <c r="T515" s="181"/>
      <c r="U515" s="184"/>
      <c r="V515" s="184"/>
      <c r="W515" s="184"/>
      <c r="X515" s="184"/>
      <c r="Y515" s="184"/>
      <c r="Z515" s="184"/>
      <c r="AA515" s="184"/>
      <c r="AB515" s="184"/>
      <c r="AC515" s="184"/>
      <c r="AD515" s="186"/>
      <c r="AE515" s="187"/>
      <c r="AF515" s="184"/>
      <c r="AG515" s="187"/>
      <c r="AH515" s="189"/>
      <c r="AI515" s="189"/>
      <c r="AJ515" s="189"/>
      <c r="AK515" s="189"/>
      <c r="AL515" s="189"/>
      <c r="AM515" s="189"/>
      <c r="AN515" s="187"/>
      <c r="AO515" s="187"/>
      <c r="AP515" s="686" t="s">
        <v>97</v>
      </c>
      <c r="AQ515" s="187"/>
      <c r="AR515" s="187"/>
      <c r="AS515" s="119"/>
    </row>
    <row r="516">
      <c r="A516" s="101">
        <v>376.0</v>
      </c>
      <c r="B516" s="177">
        <v>12.0</v>
      </c>
      <c r="C516" s="104" t="s">
        <v>3392</v>
      </c>
      <c r="D516" s="105" t="s">
        <v>65</v>
      </c>
      <c r="E516" s="107" t="s">
        <v>65</v>
      </c>
      <c r="F516" s="178"/>
      <c r="G516" s="77" t="s">
        <v>3393</v>
      </c>
      <c r="H516" s="81" t="s">
        <v>3394</v>
      </c>
      <c r="I516" s="84" t="s">
        <v>3395</v>
      </c>
      <c r="J516" s="112"/>
      <c r="K516" s="113">
        <v>44002.0</v>
      </c>
      <c r="L516" s="113">
        <v>44003.0</v>
      </c>
      <c r="M516" s="85" t="s">
        <v>221</v>
      </c>
      <c r="N516" s="85" t="s">
        <v>72</v>
      </c>
      <c r="O516" s="113">
        <v>43889.0</v>
      </c>
      <c r="P516" s="113">
        <v>43976.0</v>
      </c>
      <c r="Q516" s="22"/>
      <c r="R516" s="22"/>
      <c r="S516" s="117"/>
      <c r="T516" s="181"/>
      <c r="U516" s="184"/>
      <c r="V516" s="184"/>
      <c r="W516" s="184"/>
      <c r="X516" s="184"/>
      <c r="Y516" s="184"/>
      <c r="Z516" s="184"/>
      <c r="AA516" s="184"/>
      <c r="AB516" s="184"/>
      <c r="AC516" s="184"/>
      <c r="AD516" s="186"/>
      <c r="AE516" s="187"/>
      <c r="AF516" s="184"/>
      <c r="AG516" s="187"/>
      <c r="AH516" s="189"/>
      <c r="AI516" s="342" t="s">
        <v>97</v>
      </c>
      <c r="AJ516" s="189"/>
      <c r="AK516" s="189"/>
      <c r="AL516" s="189"/>
      <c r="AM516" s="189"/>
      <c r="AN516" s="187"/>
      <c r="AO516" s="187"/>
      <c r="AP516" s="184"/>
      <c r="AQ516" s="187"/>
      <c r="AR516" s="187"/>
      <c r="AS516" s="119"/>
    </row>
    <row r="517">
      <c r="A517" s="137">
        <v>377.0</v>
      </c>
      <c r="B517" s="177">
        <v>5.0</v>
      </c>
      <c r="C517" s="104" t="s">
        <v>3396</v>
      </c>
      <c r="D517" s="296" t="s">
        <v>55</v>
      </c>
      <c r="E517" s="297" t="s">
        <v>55</v>
      </c>
      <c r="F517" s="178"/>
      <c r="G517" s="77" t="s">
        <v>858</v>
      </c>
      <c r="H517" s="81" t="s">
        <v>862</v>
      </c>
      <c r="I517" s="84" t="s">
        <v>864</v>
      </c>
      <c r="J517" s="222" t="s">
        <v>78</v>
      </c>
      <c r="K517" s="113">
        <v>43951.0</v>
      </c>
      <c r="L517" s="113">
        <v>43958.0</v>
      </c>
      <c r="M517" s="85" t="s">
        <v>221</v>
      </c>
      <c r="N517" s="85" t="s">
        <v>72</v>
      </c>
      <c r="O517" s="113">
        <v>43840.0</v>
      </c>
      <c r="P517" s="113">
        <v>43882.0</v>
      </c>
      <c r="Q517" s="22"/>
      <c r="R517" s="22"/>
      <c r="S517" s="117"/>
      <c r="T517" s="181"/>
      <c r="U517" s="184"/>
      <c r="V517" s="184"/>
      <c r="W517" s="184"/>
      <c r="X517" s="184"/>
      <c r="Y517" s="184"/>
      <c r="Z517" s="420" t="s">
        <v>97</v>
      </c>
      <c r="AA517" s="184"/>
      <c r="AB517" s="184"/>
      <c r="AC517" s="184"/>
      <c r="AD517" s="186"/>
      <c r="AE517" s="187"/>
      <c r="AF517" s="184"/>
      <c r="AG517" s="187"/>
      <c r="AH517" s="189"/>
      <c r="AI517" s="189"/>
      <c r="AJ517" s="189"/>
      <c r="AK517" s="189"/>
      <c r="AL517" s="189"/>
      <c r="AM517" s="189"/>
      <c r="AN517" s="187"/>
      <c r="AO517" s="187"/>
      <c r="AP517" s="184"/>
      <c r="AQ517" s="187"/>
      <c r="AR517" s="187"/>
      <c r="AS517" s="119"/>
    </row>
    <row r="518">
      <c r="A518" s="101">
        <v>966.0</v>
      </c>
      <c r="B518" s="122">
        <v>7.0</v>
      </c>
      <c r="C518" s="123" t="s">
        <v>3397</v>
      </c>
      <c r="D518" s="138" t="s">
        <v>59</v>
      </c>
      <c r="E518" s="138" t="s">
        <v>59</v>
      </c>
      <c r="F518" s="127"/>
      <c r="G518" s="128" t="s">
        <v>3398</v>
      </c>
      <c r="H518" s="89" t="s">
        <v>3399</v>
      </c>
      <c r="I518" s="91" t="str">
        <f>HYPERLINK("https://filmfreeway.com/LALIFF","https://filmfreeway.com/LALIFF")</f>
        <v>https://filmfreeway.com/LALIFF</v>
      </c>
      <c r="J518" s="112"/>
      <c r="K518" s="113">
        <v>43985.0</v>
      </c>
      <c r="L518" s="113">
        <v>43989.0</v>
      </c>
      <c r="M518" s="130" t="s">
        <v>221</v>
      </c>
      <c r="N518" s="130" t="s">
        <v>72</v>
      </c>
      <c r="O518" s="113">
        <v>43868.0</v>
      </c>
      <c r="P518" s="113">
        <v>43910.0</v>
      </c>
      <c r="Q518" s="131"/>
      <c r="R518" s="132"/>
      <c r="S518" s="132"/>
      <c r="T518" s="118"/>
      <c r="U518" s="119"/>
      <c r="V518" s="119"/>
      <c r="W518" s="119"/>
      <c r="X518" s="119"/>
      <c r="Y518" s="134"/>
      <c r="Z518" s="119"/>
      <c r="AA518" s="119"/>
      <c r="AB518" s="119"/>
      <c r="AC518" s="551" t="s">
        <v>97</v>
      </c>
      <c r="AD518" s="119"/>
      <c r="AE518" s="119"/>
      <c r="AF518" s="119"/>
      <c r="AG518" s="119"/>
      <c r="AH518" s="121"/>
      <c r="AI518" s="121"/>
      <c r="AJ518" s="121"/>
      <c r="AK518" s="121"/>
      <c r="AL518" s="121"/>
      <c r="AM518" s="135"/>
      <c r="AN518" s="119"/>
      <c r="AO518" s="119"/>
      <c r="AP518" s="119"/>
      <c r="AQ518" s="119"/>
      <c r="AR518" s="119"/>
      <c r="AS518" s="119"/>
    </row>
    <row r="519">
      <c r="A519" s="137">
        <v>779.0</v>
      </c>
      <c r="B519" s="103"/>
      <c r="C519" s="104" t="s">
        <v>3400</v>
      </c>
      <c r="D519" s="105" t="s">
        <v>48</v>
      </c>
      <c r="E519" s="107" t="s">
        <v>48</v>
      </c>
      <c r="F519" s="109"/>
      <c r="G519" s="10" t="s">
        <v>3401</v>
      </c>
      <c r="H519" s="17" t="s">
        <v>3402</v>
      </c>
      <c r="I519" s="111" t="s">
        <v>3403</v>
      </c>
      <c r="J519" s="112"/>
      <c r="K519" s="113">
        <v>43967.0</v>
      </c>
      <c r="L519" s="113">
        <v>43968.0</v>
      </c>
      <c r="M519" s="24" t="s">
        <v>221</v>
      </c>
      <c r="N519" s="24" t="s">
        <v>3404</v>
      </c>
      <c r="O519" s="114">
        <v>43799.0</v>
      </c>
      <c r="P519" s="114">
        <v>43938.0</v>
      </c>
      <c r="Q519" s="115"/>
      <c r="R519" s="115"/>
      <c r="S519" s="117"/>
      <c r="T519" s="118"/>
      <c r="U519" s="176" t="s">
        <v>97</v>
      </c>
      <c r="V519" s="119"/>
      <c r="W519" s="119"/>
      <c r="X519" s="119"/>
      <c r="Y519" s="119"/>
      <c r="Z519" s="119"/>
      <c r="AA519" s="119"/>
      <c r="AB519" s="119"/>
      <c r="AC519" s="119"/>
      <c r="AD519" s="119"/>
      <c r="AE519" s="119"/>
      <c r="AF519" s="119"/>
      <c r="AG519" s="119"/>
      <c r="AH519" s="121"/>
      <c r="AI519" s="121"/>
      <c r="AJ519" s="121"/>
      <c r="AK519" s="121"/>
      <c r="AL519" s="121"/>
      <c r="AM519" s="121"/>
      <c r="AN519" s="119"/>
      <c r="AO519" s="119"/>
      <c r="AP519" s="119"/>
      <c r="AQ519" s="119"/>
      <c r="AR519" s="119"/>
      <c r="AS519" s="119"/>
    </row>
    <row r="520">
      <c r="A520" s="137">
        <v>378.0</v>
      </c>
      <c r="B520" s="150"/>
      <c r="C520" s="104" t="s">
        <v>3405</v>
      </c>
      <c r="D520" s="105" t="s">
        <v>52</v>
      </c>
      <c r="E520" s="107" t="s">
        <v>52</v>
      </c>
      <c r="F520" s="101"/>
      <c r="G520" s="40" t="s">
        <v>3406</v>
      </c>
      <c r="H520" s="55" t="s">
        <v>3407</v>
      </c>
      <c r="I520" s="69" t="s">
        <v>3408</v>
      </c>
      <c r="J520" s="155"/>
      <c r="K520" s="37">
        <v>43904.0</v>
      </c>
      <c r="L520" s="37">
        <v>43905.0</v>
      </c>
      <c r="M520" s="73" t="s">
        <v>221</v>
      </c>
      <c r="N520" s="73" t="s">
        <v>72</v>
      </c>
      <c r="O520" s="113">
        <v>43585.0</v>
      </c>
      <c r="P520" s="37">
        <v>43861.0</v>
      </c>
      <c r="Q520" s="22"/>
      <c r="R520" s="22"/>
      <c r="S520" s="117"/>
      <c r="T520" s="157"/>
      <c r="U520" s="161"/>
      <c r="V520" s="161"/>
      <c r="W520" s="120" t="s">
        <v>97</v>
      </c>
      <c r="X520" s="161"/>
      <c r="Y520" s="161"/>
      <c r="Z520" s="161"/>
      <c r="AA520" s="161"/>
      <c r="AB520" s="161"/>
      <c r="AC520" s="161"/>
      <c r="AD520" s="161"/>
      <c r="AE520" s="161"/>
      <c r="AF520" s="161"/>
      <c r="AG520" s="161"/>
      <c r="AH520" s="163"/>
      <c r="AI520" s="163"/>
      <c r="AJ520" s="163"/>
      <c r="AK520" s="163"/>
      <c r="AL520" s="163"/>
      <c r="AM520" s="163"/>
      <c r="AN520" s="161"/>
      <c r="AO520" s="161"/>
      <c r="AP520" s="161"/>
      <c r="AQ520" s="161"/>
      <c r="AR520" s="161"/>
      <c r="AS520" s="119"/>
    </row>
    <row r="521">
      <c r="A521" s="101">
        <v>379.0</v>
      </c>
      <c r="B521" s="150"/>
      <c r="C521" s="104" t="s">
        <v>3409</v>
      </c>
      <c r="D521" s="105" t="s">
        <v>53</v>
      </c>
      <c r="E521" s="107" t="s">
        <v>53</v>
      </c>
      <c r="F521" s="101"/>
      <c r="G521" s="40" t="s">
        <v>3410</v>
      </c>
      <c r="H521" s="55" t="s">
        <v>3411</v>
      </c>
      <c r="I521" s="69" t="s">
        <v>3412</v>
      </c>
      <c r="J521" s="155"/>
      <c r="K521" s="37">
        <v>43840.0</v>
      </c>
      <c r="L521" s="37">
        <v>43842.0</v>
      </c>
      <c r="M521" s="73" t="s">
        <v>1425</v>
      </c>
      <c r="N521" s="73" t="s">
        <v>72</v>
      </c>
      <c r="O521" s="113">
        <v>43702.0</v>
      </c>
      <c r="P521" s="37">
        <v>43759.0</v>
      </c>
      <c r="Q521" s="22"/>
      <c r="R521" s="22"/>
      <c r="S521" s="117"/>
      <c r="T521" s="157"/>
      <c r="U521" s="161"/>
      <c r="V521" s="161"/>
      <c r="W521" s="161"/>
      <c r="X521" s="401" t="s">
        <v>97</v>
      </c>
      <c r="Y521" s="161"/>
      <c r="Z521" s="161"/>
      <c r="AA521" s="161"/>
      <c r="AB521" s="161"/>
      <c r="AC521" s="161"/>
      <c r="AD521" s="161"/>
      <c r="AE521" s="161"/>
      <c r="AF521" s="161"/>
      <c r="AG521" s="161"/>
      <c r="AH521" s="163"/>
      <c r="AI521" s="163"/>
      <c r="AJ521" s="163"/>
      <c r="AK521" s="163"/>
      <c r="AL521" s="163"/>
      <c r="AM521" s="163"/>
      <c r="AN521" s="161"/>
      <c r="AO521" s="161"/>
      <c r="AP521" s="161"/>
      <c r="AQ521" s="161"/>
      <c r="AR521" s="161"/>
      <c r="AS521" s="119"/>
    </row>
    <row r="522">
      <c r="A522" s="137">
        <v>380.0</v>
      </c>
      <c r="B522" s="315"/>
      <c r="C522" s="104" t="s">
        <v>3413</v>
      </c>
      <c r="D522" s="138" t="s">
        <v>62</v>
      </c>
      <c r="E522" s="107" t="s">
        <v>523</v>
      </c>
      <c r="F522" s="178"/>
      <c r="G522" s="77" t="s">
        <v>3414</v>
      </c>
      <c r="H522" s="81" t="s">
        <v>3415</v>
      </c>
      <c r="I522" s="316" t="s">
        <v>24</v>
      </c>
      <c r="J522" s="155"/>
      <c r="K522" s="37">
        <v>43863.0</v>
      </c>
      <c r="L522" s="37">
        <v>43869.0</v>
      </c>
      <c r="M522" s="85" t="s">
        <v>221</v>
      </c>
      <c r="N522" s="85" t="s">
        <v>72</v>
      </c>
      <c r="O522" s="115" t="s">
        <v>24</v>
      </c>
      <c r="P522" s="115" t="s">
        <v>24</v>
      </c>
      <c r="Q522" s="223"/>
      <c r="R522" s="223"/>
      <c r="S522" s="224"/>
      <c r="T522" s="181"/>
      <c r="U522" s="184"/>
      <c r="V522" s="184"/>
      <c r="W522" s="184"/>
      <c r="X522" s="184"/>
      <c r="Y522" s="184"/>
      <c r="Z522" s="184"/>
      <c r="AA522" s="184"/>
      <c r="AB522" s="184"/>
      <c r="AC522" s="184"/>
      <c r="AD522" s="186"/>
      <c r="AE522" s="187"/>
      <c r="AF522" s="415" t="s">
        <v>97</v>
      </c>
      <c r="AG522" s="187"/>
      <c r="AH522" s="189"/>
      <c r="AI522" s="189"/>
      <c r="AJ522" s="189"/>
      <c r="AK522" s="189"/>
      <c r="AL522" s="189"/>
      <c r="AM522" s="189"/>
      <c r="AN522" s="187"/>
      <c r="AO522" s="187"/>
      <c r="AP522" s="184"/>
      <c r="AQ522" s="187"/>
      <c r="AR522" s="187"/>
      <c r="AS522" s="119"/>
    </row>
    <row r="523">
      <c r="A523" s="137">
        <v>381.0</v>
      </c>
      <c r="B523" s="173">
        <v>2.0</v>
      </c>
      <c r="C523" s="104" t="s">
        <v>3416</v>
      </c>
      <c r="D523" s="296" t="s">
        <v>55</v>
      </c>
      <c r="E523" s="297" t="s">
        <v>55</v>
      </c>
      <c r="F523" s="101"/>
      <c r="G523" s="40" t="s">
        <v>3417</v>
      </c>
      <c r="H523" s="55" t="s">
        <v>3418</v>
      </c>
      <c r="I523" s="289" t="s">
        <v>24</v>
      </c>
      <c r="J523" s="112"/>
      <c r="K523" s="113">
        <v>43869.0</v>
      </c>
      <c r="L523" s="113">
        <v>43893.0</v>
      </c>
      <c r="M523" s="73" t="s">
        <v>2702</v>
      </c>
      <c r="N523" s="290" t="s">
        <v>1978</v>
      </c>
      <c r="O523" s="201" t="s">
        <v>24</v>
      </c>
      <c r="P523" s="201" t="s">
        <v>24</v>
      </c>
      <c r="Q523" s="223"/>
      <c r="R523" s="223"/>
      <c r="S523" s="224"/>
      <c r="T523" s="141"/>
      <c r="U523" s="119"/>
      <c r="V523" s="119"/>
      <c r="W523" s="119"/>
      <c r="X523" s="119"/>
      <c r="Y523" s="119"/>
      <c r="Z523" s="299" t="s">
        <v>97</v>
      </c>
      <c r="AA523" s="119"/>
      <c r="AB523" s="119"/>
      <c r="AC523" s="119"/>
      <c r="AD523" s="119"/>
      <c r="AE523" s="119"/>
      <c r="AF523" s="119"/>
      <c r="AG523" s="119"/>
      <c r="AH523" s="121"/>
      <c r="AI523" s="121"/>
      <c r="AJ523" s="121"/>
      <c r="AK523" s="121"/>
      <c r="AL523" s="121"/>
      <c r="AM523" s="121"/>
      <c r="AN523" s="119"/>
      <c r="AO523" s="119"/>
      <c r="AP523" s="119"/>
      <c r="AQ523" s="119"/>
      <c r="AR523" s="119"/>
      <c r="AS523" s="119"/>
    </row>
    <row r="524">
      <c r="A524" s="137">
        <v>845.0</v>
      </c>
      <c r="B524" s="103">
        <v>10.0</v>
      </c>
      <c r="C524" s="104" t="s">
        <v>3419</v>
      </c>
      <c r="D524" s="105" t="s">
        <v>48</v>
      </c>
      <c r="E524" s="107" t="s">
        <v>48</v>
      </c>
      <c r="F524" s="109"/>
      <c r="G524" s="10" t="s">
        <v>3420</v>
      </c>
      <c r="H524" s="17" t="s">
        <v>3421</v>
      </c>
      <c r="I524" s="111" t="s">
        <v>3422</v>
      </c>
      <c r="J524" s="112"/>
      <c r="K524" s="113">
        <v>44140.0</v>
      </c>
      <c r="L524" s="113">
        <v>44142.0</v>
      </c>
      <c r="M524" s="24" t="s">
        <v>2702</v>
      </c>
      <c r="N524" s="24" t="s">
        <v>1978</v>
      </c>
      <c r="O524" s="687" t="s">
        <v>24</v>
      </c>
      <c r="P524" s="687" t="s">
        <v>24</v>
      </c>
      <c r="Q524" s="223"/>
      <c r="R524" s="223"/>
      <c r="S524" s="224"/>
      <c r="T524" s="118"/>
      <c r="U524" s="176" t="s">
        <v>97</v>
      </c>
      <c r="V524" s="119"/>
      <c r="W524" s="119"/>
      <c r="X524" s="119"/>
      <c r="Y524" s="119"/>
      <c r="Z524" s="119"/>
      <c r="AA524" s="119"/>
      <c r="AB524" s="119"/>
      <c r="AC524" s="119"/>
      <c r="AD524" s="119"/>
      <c r="AE524" s="119"/>
      <c r="AF524" s="119"/>
      <c r="AG524" s="119"/>
      <c r="AH524" s="121"/>
      <c r="AI524" s="121"/>
      <c r="AJ524" s="121"/>
      <c r="AK524" s="121"/>
      <c r="AL524" s="121"/>
      <c r="AM524" s="121"/>
      <c r="AN524" s="119"/>
      <c r="AO524" s="119"/>
      <c r="AP524" s="119"/>
      <c r="AQ524" s="119"/>
      <c r="AR524" s="119"/>
      <c r="AS524" s="119"/>
    </row>
    <row r="525">
      <c r="A525" s="101">
        <v>382.0</v>
      </c>
      <c r="B525" s="150"/>
      <c r="C525" s="104" t="s">
        <v>3423</v>
      </c>
      <c r="D525" s="138" t="s">
        <v>63</v>
      </c>
      <c r="E525" s="107" t="s">
        <v>550</v>
      </c>
      <c r="F525" s="101"/>
      <c r="G525" s="40" t="s">
        <v>3424</v>
      </c>
      <c r="H525" s="55" t="s">
        <v>3425</v>
      </c>
      <c r="I525" s="69" t="s">
        <v>3426</v>
      </c>
      <c r="J525" s="155"/>
      <c r="K525" s="37">
        <v>44030.0</v>
      </c>
      <c r="L525" s="37">
        <v>44030.0</v>
      </c>
      <c r="M525" s="73" t="s">
        <v>971</v>
      </c>
      <c r="N525" s="73" t="s">
        <v>72</v>
      </c>
      <c r="O525" s="113">
        <v>43708.0</v>
      </c>
      <c r="P525" s="37">
        <v>44012.0</v>
      </c>
      <c r="Q525" s="22"/>
      <c r="R525" s="22"/>
      <c r="S525" s="117"/>
      <c r="T525" s="157"/>
      <c r="U525" s="161"/>
      <c r="V525" s="161"/>
      <c r="W525" s="120" t="s">
        <v>97</v>
      </c>
      <c r="X525" s="161"/>
      <c r="Y525" s="161"/>
      <c r="Z525" s="161"/>
      <c r="AA525" s="161"/>
      <c r="AB525" s="161"/>
      <c r="AC525" s="161"/>
      <c r="AD525" s="161"/>
      <c r="AE525" s="161"/>
      <c r="AF525" s="161"/>
      <c r="AG525" s="275" t="s">
        <v>97</v>
      </c>
      <c r="AH525" s="163"/>
      <c r="AI525" s="163"/>
      <c r="AJ525" s="163"/>
      <c r="AK525" s="163"/>
      <c r="AL525" s="163"/>
      <c r="AM525" s="163"/>
      <c r="AN525" s="161"/>
      <c r="AO525" s="161"/>
      <c r="AP525" s="161"/>
      <c r="AQ525" s="161"/>
      <c r="AR525" s="161"/>
      <c r="AS525" s="119"/>
    </row>
    <row r="526">
      <c r="A526" s="101">
        <v>784.0</v>
      </c>
      <c r="B526" s="103"/>
      <c r="C526" s="104" t="s">
        <v>3427</v>
      </c>
      <c r="D526" s="138" t="s">
        <v>77</v>
      </c>
      <c r="E526" s="107" t="s">
        <v>869</v>
      </c>
      <c r="F526" s="109"/>
      <c r="G526" s="10" t="s">
        <v>3428</v>
      </c>
      <c r="H526" s="17" t="s">
        <v>3429</v>
      </c>
      <c r="I526" s="111" t="s">
        <v>3430</v>
      </c>
      <c r="J526" s="112"/>
      <c r="K526" s="113">
        <v>44092.0</v>
      </c>
      <c r="L526" s="113">
        <v>44095.0</v>
      </c>
      <c r="M526" s="24" t="s">
        <v>221</v>
      </c>
      <c r="N526" s="24" t="s">
        <v>72</v>
      </c>
      <c r="O526" s="114">
        <v>43830.0</v>
      </c>
      <c r="P526" s="114">
        <v>43976.0</v>
      </c>
      <c r="Q526" s="115"/>
      <c r="R526" s="115"/>
      <c r="S526" s="117"/>
      <c r="T526" s="118"/>
      <c r="U526" s="119"/>
      <c r="V526" s="119"/>
      <c r="W526" s="119"/>
      <c r="X526" s="119"/>
      <c r="Y526" s="119"/>
      <c r="Z526" s="119"/>
      <c r="AA526" s="119"/>
      <c r="AB526" s="119"/>
      <c r="AC526" s="119"/>
      <c r="AD526" s="119"/>
      <c r="AE526" s="119"/>
      <c r="AF526" s="119"/>
      <c r="AG526" s="119"/>
      <c r="AH526" s="121"/>
      <c r="AI526" s="121"/>
      <c r="AJ526" s="121"/>
      <c r="AK526" s="121"/>
      <c r="AL526" s="121"/>
      <c r="AM526" s="121"/>
      <c r="AN526" s="119"/>
      <c r="AO526" s="351" t="s">
        <v>97</v>
      </c>
      <c r="AP526" s="119"/>
      <c r="AQ526" s="119"/>
      <c r="AR526" s="119"/>
      <c r="AS526" s="119"/>
    </row>
    <row r="527">
      <c r="A527" s="137">
        <v>383.0</v>
      </c>
      <c r="B527" s="150"/>
      <c r="C527" s="104" t="s">
        <v>3431</v>
      </c>
      <c r="D527" s="105" t="s">
        <v>52</v>
      </c>
      <c r="E527" s="107" t="s">
        <v>52</v>
      </c>
      <c r="F527" s="101"/>
      <c r="G527" s="40" t="s">
        <v>3432</v>
      </c>
      <c r="H527" s="55" t="s">
        <v>3433</v>
      </c>
      <c r="I527" s="69" t="s">
        <v>3434</v>
      </c>
      <c r="J527" s="155"/>
      <c r="K527" s="37">
        <v>43874.0</v>
      </c>
      <c r="L527" s="37">
        <v>43877.0</v>
      </c>
      <c r="M527" s="73" t="s">
        <v>3435</v>
      </c>
      <c r="N527" s="73" t="s">
        <v>46</v>
      </c>
      <c r="O527" s="113">
        <v>43646.0</v>
      </c>
      <c r="P527" s="37">
        <v>43769.0</v>
      </c>
      <c r="Q527" s="22"/>
      <c r="R527" s="22"/>
      <c r="S527" s="117"/>
      <c r="T527" s="157"/>
      <c r="U527" s="161"/>
      <c r="V527" s="161"/>
      <c r="W527" s="120" t="s">
        <v>97</v>
      </c>
      <c r="X527" s="161"/>
      <c r="Y527" s="161"/>
      <c r="Z527" s="161"/>
      <c r="AA527" s="161"/>
      <c r="AB527" s="161"/>
      <c r="AC527" s="161"/>
      <c r="AD527" s="161"/>
      <c r="AE527" s="161"/>
      <c r="AF527" s="161"/>
      <c r="AG527" s="161"/>
      <c r="AH527" s="163"/>
      <c r="AI527" s="163"/>
      <c r="AJ527" s="163"/>
      <c r="AK527" s="163"/>
      <c r="AL527" s="163"/>
      <c r="AM527" s="163"/>
      <c r="AN527" s="161"/>
      <c r="AO527" s="161"/>
      <c r="AP527" s="161"/>
      <c r="AQ527" s="161"/>
      <c r="AR527" s="161"/>
      <c r="AS527" s="119"/>
    </row>
    <row r="528">
      <c r="A528" s="137">
        <v>384.0</v>
      </c>
      <c r="B528" s="177"/>
      <c r="C528" s="104" t="s">
        <v>3436</v>
      </c>
      <c r="D528" s="105" t="s">
        <v>48</v>
      </c>
      <c r="E528" s="107" t="s">
        <v>48</v>
      </c>
      <c r="F528" s="228"/>
      <c r="G528" s="183" t="s">
        <v>3437</v>
      </c>
      <c r="H528" s="81" t="s">
        <v>3438</v>
      </c>
      <c r="I528" s="84" t="s">
        <v>3439</v>
      </c>
      <c r="J528" s="155"/>
      <c r="K528" s="37">
        <v>43993.0</v>
      </c>
      <c r="L528" s="37">
        <v>43997.0</v>
      </c>
      <c r="M528" s="85" t="s">
        <v>196</v>
      </c>
      <c r="N528" s="85" t="s">
        <v>29</v>
      </c>
      <c r="O528" s="113">
        <v>43739.0</v>
      </c>
      <c r="P528" s="37">
        <v>43889.0</v>
      </c>
      <c r="Q528" s="22"/>
      <c r="R528" s="22"/>
      <c r="S528" s="117"/>
      <c r="T528" s="181"/>
      <c r="U528" s="182" t="s">
        <v>97</v>
      </c>
      <c r="V528" s="184"/>
      <c r="W528" s="184"/>
      <c r="X528" s="184"/>
      <c r="Y528" s="184"/>
      <c r="Z528" s="184"/>
      <c r="AA528" s="184"/>
      <c r="AB528" s="184"/>
      <c r="AC528" s="184"/>
      <c r="AD528" s="186"/>
      <c r="AE528" s="187"/>
      <c r="AF528" s="184"/>
      <c r="AG528" s="187"/>
      <c r="AH528" s="189"/>
      <c r="AI528" s="189"/>
      <c r="AJ528" s="189"/>
      <c r="AK528" s="189"/>
      <c r="AL528" s="189"/>
      <c r="AM528" s="189"/>
      <c r="AN528" s="187"/>
      <c r="AO528" s="187"/>
      <c r="AP528" s="184"/>
      <c r="AQ528" s="187"/>
      <c r="AR528" s="187"/>
      <c r="AS528" s="119"/>
    </row>
    <row r="529">
      <c r="A529" s="101">
        <v>385.0</v>
      </c>
      <c r="B529" s="150">
        <v>1.0</v>
      </c>
      <c r="C529" s="104" t="s">
        <v>3440</v>
      </c>
      <c r="D529" s="138" t="s">
        <v>63</v>
      </c>
      <c r="E529" s="107" t="s">
        <v>1297</v>
      </c>
      <c r="F529" s="101"/>
      <c r="G529" s="40" t="s">
        <v>3441</v>
      </c>
      <c r="H529" s="55" t="s">
        <v>3442</v>
      </c>
      <c r="I529" s="69" t="s">
        <v>3443</v>
      </c>
      <c r="J529" s="112"/>
      <c r="K529" s="113">
        <v>43846.0</v>
      </c>
      <c r="L529" s="113">
        <v>43846.0</v>
      </c>
      <c r="M529" s="73" t="s">
        <v>1073</v>
      </c>
      <c r="N529" s="73" t="s">
        <v>212</v>
      </c>
      <c r="O529" s="113">
        <v>44012.0</v>
      </c>
      <c r="P529" s="113">
        <v>44119.0</v>
      </c>
      <c r="Q529" s="22"/>
      <c r="R529" s="22"/>
      <c r="S529" s="117"/>
      <c r="T529" s="157"/>
      <c r="U529" s="161"/>
      <c r="V529" s="161"/>
      <c r="W529" s="161"/>
      <c r="X529" s="161"/>
      <c r="Y529" s="161"/>
      <c r="Z529" s="161"/>
      <c r="AA529" s="161"/>
      <c r="AB529" s="161"/>
      <c r="AC529" s="161"/>
      <c r="AD529" s="161"/>
      <c r="AE529" s="161"/>
      <c r="AF529" s="161"/>
      <c r="AG529" s="275" t="s">
        <v>97</v>
      </c>
      <c r="AH529" s="163"/>
      <c r="AI529" s="163"/>
      <c r="AJ529" s="163"/>
      <c r="AK529" s="163"/>
      <c r="AL529" s="163"/>
      <c r="AM529" s="163"/>
      <c r="AN529" s="161"/>
      <c r="AO529" s="161"/>
      <c r="AP529" s="161"/>
      <c r="AQ529" s="161"/>
      <c r="AR529" s="161"/>
      <c r="AS529" s="119"/>
    </row>
    <row r="530">
      <c r="A530" s="137">
        <v>386.0</v>
      </c>
      <c r="B530" s="150"/>
      <c r="C530" s="104" t="s">
        <v>3444</v>
      </c>
      <c r="D530" s="105" t="s">
        <v>48</v>
      </c>
      <c r="E530" s="107" t="s">
        <v>48</v>
      </c>
      <c r="F530" s="101"/>
      <c r="G530" s="40" t="s">
        <v>3445</v>
      </c>
      <c r="H530" s="55" t="s">
        <v>3446</v>
      </c>
      <c r="I530" s="69" t="s">
        <v>3447</v>
      </c>
      <c r="J530" s="155"/>
      <c r="K530" s="37">
        <v>44056.0</v>
      </c>
      <c r="L530" s="37">
        <v>44059.0</v>
      </c>
      <c r="M530" s="73" t="s">
        <v>3448</v>
      </c>
      <c r="N530" s="73" t="s">
        <v>19</v>
      </c>
      <c r="O530" s="113">
        <v>43769.0</v>
      </c>
      <c r="P530" s="37">
        <v>43931.0</v>
      </c>
      <c r="Q530" s="22"/>
      <c r="R530" s="22"/>
      <c r="S530" s="193" t="s">
        <v>97</v>
      </c>
      <c r="T530" s="157"/>
      <c r="U530" s="176" t="s">
        <v>97</v>
      </c>
      <c r="V530" s="161"/>
      <c r="W530" s="161"/>
      <c r="X530" s="161"/>
      <c r="Y530" s="161"/>
      <c r="Z530" s="161"/>
      <c r="AA530" s="161"/>
      <c r="AB530" s="161"/>
      <c r="AC530" s="161"/>
      <c r="AD530" s="161"/>
      <c r="AE530" s="161"/>
      <c r="AF530" s="161"/>
      <c r="AG530" s="161"/>
      <c r="AH530" s="163"/>
      <c r="AI530" s="163"/>
      <c r="AJ530" s="163"/>
      <c r="AK530" s="163"/>
      <c r="AL530" s="163"/>
      <c r="AM530" s="163"/>
      <c r="AN530" s="161"/>
      <c r="AO530" s="161"/>
      <c r="AP530" s="161"/>
      <c r="AQ530" s="161"/>
      <c r="AR530" s="161"/>
      <c r="AS530" s="119"/>
    </row>
    <row r="531">
      <c r="A531" s="137">
        <v>387.0</v>
      </c>
      <c r="B531" s="150"/>
      <c r="C531" s="104" t="s">
        <v>3449</v>
      </c>
      <c r="D531" s="105" t="s">
        <v>48</v>
      </c>
      <c r="E531" s="107" t="s">
        <v>48</v>
      </c>
      <c r="F531" s="101"/>
      <c r="G531" s="40" t="s">
        <v>3450</v>
      </c>
      <c r="H531" s="55" t="s">
        <v>3451</v>
      </c>
      <c r="I531" s="69" t="s">
        <v>3452</v>
      </c>
      <c r="J531" s="155"/>
      <c r="K531" s="37">
        <v>43888.0</v>
      </c>
      <c r="L531" s="37">
        <v>43890.0</v>
      </c>
      <c r="M531" s="73" t="s">
        <v>3453</v>
      </c>
      <c r="N531" s="73" t="s">
        <v>405</v>
      </c>
      <c r="O531" s="113">
        <v>43687.0</v>
      </c>
      <c r="P531" s="37">
        <v>43779.0</v>
      </c>
      <c r="Q531" s="22"/>
      <c r="R531" s="22"/>
      <c r="S531" s="117"/>
      <c r="T531" s="157"/>
      <c r="U531" s="176" t="s">
        <v>97</v>
      </c>
      <c r="V531" s="161"/>
      <c r="W531" s="161"/>
      <c r="X531" s="161"/>
      <c r="Y531" s="161"/>
      <c r="Z531" s="161"/>
      <c r="AA531" s="161"/>
      <c r="AB531" s="161"/>
      <c r="AC531" s="161"/>
      <c r="AD531" s="161"/>
      <c r="AE531" s="161"/>
      <c r="AF531" s="161"/>
      <c r="AG531" s="161"/>
      <c r="AH531" s="163"/>
      <c r="AI531" s="163"/>
      <c r="AJ531" s="163"/>
      <c r="AK531" s="163"/>
      <c r="AL531" s="163"/>
      <c r="AM531" s="163"/>
      <c r="AN531" s="161"/>
      <c r="AO531" s="161"/>
      <c r="AP531" s="161"/>
      <c r="AQ531" s="161"/>
      <c r="AR531" s="161"/>
      <c r="AS531" s="119"/>
    </row>
    <row r="532">
      <c r="A532" s="101">
        <v>388.0</v>
      </c>
      <c r="B532" s="177"/>
      <c r="C532" s="104" t="s">
        <v>3454</v>
      </c>
      <c r="D532" s="105" t="s">
        <v>48</v>
      </c>
      <c r="E532" s="107" t="s">
        <v>48</v>
      </c>
      <c r="F532" s="178"/>
      <c r="G532" s="77" t="s">
        <v>3455</v>
      </c>
      <c r="H532" s="81" t="s">
        <v>3456</v>
      </c>
      <c r="I532" s="84" t="s">
        <v>3457</v>
      </c>
      <c r="J532" s="155"/>
      <c r="K532" s="37">
        <v>44022.0</v>
      </c>
      <c r="L532" s="37">
        <v>44031.0</v>
      </c>
      <c r="M532" s="85" t="s">
        <v>3458</v>
      </c>
      <c r="N532" s="85" t="s">
        <v>851</v>
      </c>
      <c r="O532" s="113">
        <v>43861.0</v>
      </c>
      <c r="P532" s="37">
        <v>43941.0</v>
      </c>
      <c r="Q532" s="22"/>
      <c r="R532" s="22"/>
      <c r="S532" s="193" t="s">
        <v>97</v>
      </c>
      <c r="T532" s="181"/>
      <c r="U532" s="182" t="s">
        <v>97</v>
      </c>
      <c r="V532" s="184"/>
      <c r="W532" s="184"/>
      <c r="X532" s="184"/>
      <c r="Y532" s="184"/>
      <c r="Z532" s="184"/>
      <c r="AA532" s="184"/>
      <c r="AB532" s="184"/>
      <c r="AC532" s="184"/>
      <c r="AD532" s="186"/>
      <c r="AE532" s="187"/>
      <c r="AF532" s="184"/>
      <c r="AG532" s="187"/>
      <c r="AH532" s="189"/>
      <c r="AI532" s="189"/>
      <c r="AJ532" s="189"/>
      <c r="AK532" s="189"/>
      <c r="AL532" s="189"/>
      <c r="AM532" s="189"/>
      <c r="AN532" s="187"/>
      <c r="AO532" s="187"/>
      <c r="AP532" s="184"/>
      <c r="AQ532" s="187"/>
      <c r="AR532" s="187"/>
      <c r="AS532" s="119"/>
    </row>
    <row r="533">
      <c r="A533" s="137">
        <v>389.0</v>
      </c>
      <c r="B533" s="315">
        <v>11.0</v>
      </c>
      <c r="C533" s="104" t="s">
        <v>3459</v>
      </c>
      <c r="D533" s="296" t="s">
        <v>55</v>
      </c>
      <c r="E533" s="297" t="s">
        <v>55</v>
      </c>
      <c r="F533" s="178"/>
      <c r="G533" s="77" t="s">
        <v>847</v>
      </c>
      <c r="H533" s="81" t="s">
        <v>849</v>
      </c>
      <c r="I533" s="316" t="s">
        <v>24</v>
      </c>
      <c r="J533" s="20" t="s">
        <v>439</v>
      </c>
      <c r="K533" s="22" t="s">
        <v>27</v>
      </c>
      <c r="L533" s="22" t="s">
        <v>27</v>
      </c>
      <c r="M533" s="85" t="s">
        <v>850</v>
      </c>
      <c r="N533" s="85" t="s">
        <v>851</v>
      </c>
      <c r="O533" s="22" t="s">
        <v>27</v>
      </c>
      <c r="P533" s="22" t="s">
        <v>27</v>
      </c>
      <c r="Q533" s="223"/>
      <c r="R533" s="223"/>
      <c r="S533" s="224"/>
      <c r="T533" s="181"/>
      <c r="U533" s="184"/>
      <c r="V533" s="184"/>
      <c r="W533" s="184"/>
      <c r="X533" s="184"/>
      <c r="Y533" s="184"/>
      <c r="Z533" s="420" t="s">
        <v>97</v>
      </c>
      <c r="AA533" s="184"/>
      <c r="AB533" s="184"/>
      <c r="AC533" s="184"/>
      <c r="AD533" s="186"/>
      <c r="AE533" s="187"/>
      <c r="AF533" s="184"/>
      <c r="AG533" s="187"/>
      <c r="AH533" s="189"/>
      <c r="AI533" s="189"/>
      <c r="AJ533" s="189"/>
      <c r="AK533" s="189"/>
      <c r="AL533" s="189"/>
      <c r="AM533" s="189"/>
      <c r="AN533" s="187"/>
      <c r="AO533" s="187"/>
      <c r="AP533" s="184"/>
      <c r="AQ533" s="187"/>
      <c r="AR533" s="187"/>
      <c r="AS533" s="119"/>
    </row>
    <row r="534">
      <c r="A534" s="137">
        <v>390.0</v>
      </c>
      <c r="B534" s="150"/>
      <c r="C534" s="104" t="s">
        <v>3460</v>
      </c>
      <c r="D534" s="138" t="s">
        <v>75</v>
      </c>
      <c r="E534" s="107" t="s">
        <v>345</v>
      </c>
      <c r="F534" s="101"/>
      <c r="G534" s="40" t="s">
        <v>3461</v>
      </c>
      <c r="H534" s="55" t="s">
        <v>3462</v>
      </c>
      <c r="I534" s="175" t="s">
        <v>3463</v>
      </c>
      <c r="J534" s="155"/>
      <c r="K534" s="37">
        <v>44043.0</v>
      </c>
      <c r="L534" s="37">
        <v>44045.0</v>
      </c>
      <c r="M534" s="73" t="s">
        <v>850</v>
      </c>
      <c r="N534" s="73" t="s">
        <v>851</v>
      </c>
      <c r="O534" s="113">
        <v>43862.0</v>
      </c>
      <c r="P534" s="37">
        <v>43975.0</v>
      </c>
      <c r="Q534" s="22"/>
      <c r="R534" s="22"/>
      <c r="S534" s="117"/>
      <c r="T534" s="157" t="s">
        <v>50</v>
      </c>
      <c r="U534" s="161"/>
      <c r="V534" s="161"/>
      <c r="W534" s="161"/>
      <c r="X534" s="161"/>
      <c r="Y534" s="161"/>
      <c r="Z534" s="161"/>
      <c r="AA534" s="161"/>
      <c r="AB534" s="161"/>
      <c r="AC534" s="161"/>
      <c r="AD534" s="161"/>
      <c r="AE534" s="161"/>
      <c r="AF534" s="161"/>
      <c r="AG534" s="161"/>
      <c r="AH534" s="163"/>
      <c r="AI534" s="163"/>
      <c r="AJ534" s="163"/>
      <c r="AK534" s="163"/>
      <c r="AL534" s="163"/>
      <c r="AM534" s="163"/>
      <c r="AN534" s="143" t="s">
        <v>97</v>
      </c>
      <c r="AO534" s="161"/>
      <c r="AP534" s="161"/>
      <c r="AQ534" s="161"/>
      <c r="AR534" s="161"/>
      <c r="AS534" s="119"/>
    </row>
    <row r="535">
      <c r="A535" s="101">
        <v>391.0</v>
      </c>
      <c r="B535" s="177"/>
      <c r="C535" s="104" t="s">
        <v>3464</v>
      </c>
      <c r="D535" s="105" t="s">
        <v>48</v>
      </c>
      <c r="E535" s="107" t="s">
        <v>48</v>
      </c>
      <c r="F535" s="178"/>
      <c r="G535" s="77" t="s">
        <v>3465</v>
      </c>
      <c r="H535" s="81" t="s">
        <v>3466</v>
      </c>
      <c r="I535" s="84" t="s">
        <v>3466</v>
      </c>
      <c r="J535" s="155"/>
      <c r="K535" s="37">
        <v>43992.0</v>
      </c>
      <c r="L535" s="37">
        <v>43993.0</v>
      </c>
      <c r="M535" s="85" t="s">
        <v>3467</v>
      </c>
      <c r="N535" s="85" t="s">
        <v>72</v>
      </c>
      <c r="O535" s="113">
        <v>43511.0</v>
      </c>
      <c r="P535" s="37">
        <v>43800.0</v>
      </c>
      <c r="Q535" s="22"/>
      <c r="R535" s="22"/>
      <c r="S535" s="117"/>
      <c r="T535" s="181"/>
      <c r="U535" s="182" t="s">
        <v>97</v>
      </c>
      <c r="V535" s="184"/>
      <c r="W535" s="184"/>
      <c r="X535" s="184"/>
      <c r="Y535" s="184"/>
      <c r="Z535" s="184"/>
      <c r="AA535" s="184"/>
      <c r="AB535" s="184"/>
      <c r="AC535" s="184"/>
      <c r="AD535" s="186"/>
      <c r="AE535" s="187"/>
      <c r="AF535" s="184"/>
      <c r="AG535" s="187"/>
      <c r="AH535" s="189"/>
      <c r="AI535" s="189"/>
      <c r="AJ535" s="189"/>
      <c r="AK535" s="189"/>
      <c r="AL535" s="189"/>
      <c r="AM535" s="189"/>
      <c r="AN535" s="187"/>
      <c r="AO535" s="187"/>
      <c r="AP535" s="184"/>
      <c r="AQ535" s="187"/>
      <c r="AR535" s="187"/>
      <c r="AS535" s="119"/>
    </row>
    <row r="536">
      <c r="A536" s="137">
        <v>392.0</v>
      </c>
      <c r="B536" s="150"/>
      <c r="C536" s="104" t="s">
        <v>3468</v>
      </c>
      <c r="D536" s="105" t="s">
        <v>48</v>
      </c>
      <c r="E536" s="107" t="s">
        <v>48</v>
      </c>
      <c r="F536" s="101"/>
      <c r="G536" s="40" t="s">
        <v>47</v>
      </c>
      <c r="H536" s="55" t="s">
        <v>49</v>
      </c>
      <c r="I536" s="69" t="s">
        <v>58</v>
      </c>
      <c r="J536" s="20" t="s">
        <v>67</v>
      </c>
      <c r="K536" s="37">
        <v>43971.0</v>
      </c>
      <c r="L536" s="37">
        <v>43975.0</v>
      </c>
      <c r="M536" s="73" t="s">
        <v>68</v>
      </c>
      <c r="N536" s="73" t="s">
        <v>72</v>
      </c>
      <c r="O536" s="113">
        <v>43814.0</v>
      </c>
      <c r="P536" s="37">
        <v>43895.0</v>
      </c>
      <c r="Q536" s="22"/>
      <c r="R536" s="22"/>
      <c r="S536" s="117"/>
      <c r="T536" s="157"/>
      <c r="U536" s="176" t="s">
        <v>97</v>
      </c>
      <c r="V536" s="161"/>
      <c r="W536" s="161"/>
      <c r="X536" s="161"/>
      <c r="Y536" s="161"/>
      <c r="Z536" s="161"/>
      <c r="AA536" s="161"/>
      <c r="AB536" s="161"/>
      <c r="AC536" s="161"/>
      <c r="AD536" s="161"/>
      <c r="AE536" s="161"/>
      <c r="AF536" s="161"/>
      <c r="AG536" s="161"/>
      <c r="AH536" s="163"/>
      <c r="AI536" s="163"/>
      <c r="AJ536" s="163"/>
      <c r="AK536" s="163"/>
      <c r="AL536" s="163"/>
      <c r="AM536" s="163"/>
      <c r="AN536" s="161"/>
      <c r="AO536" s="161"/>
      <c r="AP536" s="161"/>
      <c r="AQ536" s="161"/>
      <c r="AR536" s="161"/>
      <c r="AS536" s="119"/>
    </row>
    <row r="537">
      <c r="A537" s="137">
        <v>393.0</v>
      </c>
      <c r="B537" s="177"/>
      <c r="C537" s="104" t="s">
        <v>3469</v>
      </c>
      <c r="D537" s="105" t="s">
        <v>48</v>
      </c>
      <c r="E537" s="107" t="s">
        <v>48</v>
      </c>
      <c r="F537" s="178"/>
      <c r="G537" s="77" t="s">
        <v>351</v>
      </c>
      <c r="H537" s="81" t="s">
        <v>353</v>
      </c>
      <c r="I537" s="84" t="s">
        <v>355</v>
      </c>
      <c r="J537" s="20" t="s">
        <v>359</v>
      </c>
      <c r="K537" s="37">
        <v>43944.0</v>
      </c>
      <c r="L537" s="37">
        <v>43958.0</v>
      </c>
      <c r="M537" s="85" t="s">
        <v>196</v>
      </c>
      <c r="N537" s="85" t="s">
        <v>29</v>
      </c>
      <c r="O537" s="113">
        <v>43735.0</v>
      </c>
      <c r="P537" s="37">
        <v>43847.0</v>
      </c>
      <c r="Q537" s="22"/>
      <c r="R537" s="22"/>
      <c r="S537" s="117"/>
      <c r="T537" s="181"/>
      <c r="U537" s="182" t="s">
        <v>97</v>
      </c>
      <c r="V537" s="184"/>
      <c r="W537" s="184"/>
      <c r="X537" s="184"/>
      <c r="Y537" s="184"/>
      <c r="Z537" s="184"/>
      <c r="AA537" s="184"/>
      <c r="AB537" s="184"/>
      <c r="AC537" s="184"/>
      <c r="AD537" s="186"/>
      <c r="AE537" s="187"/>
      <c r="AF537" s="184"/>
      <c r="AG537" s="187"/>
      <c r="AH537" s="189"/>
      <c r="AI537" s="189"/>
      <c r="AJ537" s="189"/>
      <c r="AK537" s="189"/>
      <c r="AL537" s="189"/>
      <c r="AM537" s="189"/>
      <c r="AN537" s="187"/>
      <c r="AO537" s="187"/>
      <c r="AP537" s="184"/>
      <c r="AQ537" s="187"/>
      <c r="AR537" s="187"/>
      <c r="AS537" s="119"/>
    </row>
    <row r="538">
      <c r="A538" s="101">
        <v>394.0</v>
      </c>
      <c r="B538" s="177"/>
      <c r="C538" s="104" t="s">
        <v>3470</v>
      </c>
      <c r="D538" s="105" t="s">
        <v>52</v>
      </c>
      <c r="E538" s="107" t="s">
        <v>52</v>
      </c>
      <c r="F538" s="178"/>
      <c r="G538" s="77" t="s">
        <v>3471</v>
      </c>
      <c r="H538" s="81" t="s">
        <v>3472</v>
      </c>
      <c r="I538" s="84" t="s">
        <v>3473</v>
      </c>
      <c r="J538" s="155"/>
      <c r="K538" s="37">
        <v>44098.0</v>
      </c>
      <c r="L538" s="37">
        <v>44108.0</v>
      </c>
      <c r="M538" s="85" t="s">
        <v>196</v>
      </c>
      <c r="N538" s="85" t="s">
        <v>29</v>
      </c>
      <c r="O538" s="113">
        <v>43830.0</v>
      </c>
      <c r="P538" s="37">
        <v>44043.0</v>
      </c>
      <c r="Q538" s="22"/>
      <c r="R538" s="22"/>
      <c r="S538" s="117"/>
      <c r="T538" s="181"/>
      <c r="U538" s="184"/>
      <c r="V538" s="184"/>
      <c r="W538" s="319" t="s">
        <v>97</v>
      </c>
      <c r="X538" s="184"/>
      <c r="Y538" s="184"/>
      <c r="Z538" s="184"/>
      <c r="AA538" s="184"/>
      <c r="AB538" s="184"/>
      <c r="AC538" s="184"/>
      <c r="AD538" s="186"/>
      <c r="AE538" s="187"/>
      <c r="AF538" s="184"/>
      <c r="AG538" s="187"/>
      <c r="AH538" s="189"/>
      <c r="AI538" s="189"/>
      <c r="AJ538" s="189"/>
      <c r="AK538" s="189"/>
      <c r="AL538" s="189"/>
      <c r="AM538" s="189"/>
      <c r="AN538" s="187"/>
      <c r="AO538" s="187"/>
      <c r="AP538" s="184"/>
      <c r="AQ538" s="187"/>
      <c r="AR538" s="187"/>
      <c r="AS538" s="119"/>
    </row>
    <row r="539">
      <c r="A539" s="137">
        <v>846.0</v>
      </c>
      <c r="B539" s="103">
        <v>9.0</v>
      </c>
      <c r="C539" s="104" t="s">
        <v>3474</v>
      </c>
      <c r="D539" s="138" t="s">
        <v>56</v>
      </c>
      <c r="E539" s="156" t="s">
        <v>227</v>
      </c>
      <c r="F539" s="109"/>
      <c r="G539" s="10" t="s">
        <v>3475</v>
      </c>
      <c r="H539" s="17" t="s">
        <v>3476</v>
      </c>
      <c r="I539" s="111" t="s">
        <v>3477</v>
      </c>
      <c r="J539" s="155"/>
      <c r="K539" s="22" t="s">
        <v>27</v>
      </c>
      <c r="L539" s="22" t="s">
        <v>27</v>
      </c>
      <c r="M539" s="24" t="s">
        <v>209</v>
      </c>
      <c r="N539" s="24" t="s">
        <v>132</v>
      </c>
      <c r="O539" s="22" t="s">
        <v>27</v>
      </c>
      <c r="P539" s="22" t="s">
        <v>27</v>
      </c>
      <c r="Q539" s="223"/>
      <c r="R539" s="223"/>
      <c r="S539" s="224"/>
      <c r="T539" s="118"/>
      <c r="U539" s="119"/>
      <c r="V539" s="119"/>
      <c r="W539" s="119"/>
      <c r="X539" s="119"/>
      <c r="Y539" s="119"/>
      <c r="Z539" s="119"/>
      <c r="AA539" s="218" t="s">
        <v>97</v>
      </c>
      <c r="AB539" s="119"/>
      <c r="AC539" s="119"/>
      <c r="AD539" s="119"/>
      <c r="AE539" s="119"/>
      <c r="AF539" s="119"/>
      <c r="AG539" s="119"/>
      <c r="AH539" s="121"/>
      <c r="AI539" s="121"/>
      <c r="AJ539" s="121"/>
      <c r="AK539" s="121"/>
      <c r="AL539" s="121"/>
      <c r="AM539" s="121"/>
      <c r="AN539" s="119"/>
      <c r="AO539" s="119"/>
      <c r="AP539" s="119"/>
      <c r="AQ539" s="119"/>
      <c r="AR539" s="119"/>
      <c r="AS539" s="119"/>
    </row>
    <row r="540">
      <c r="A540" s="137">
        <v>395.0</v>
      </c>
      <c r="B540" s="103">
        <v>10.0</v>
      </c>
      <c r="C540" s="104" t="s">
        <v>3478</v>
      </c>
      <c r="D540" s="105" t="s">
        <v>51</v>
      </c>
      <c r="E540" s="107" t="s">
        <v>51</v>
      </c>
      <c r="F540" s="178"/>
      <c r="G540" s="77" t="s">
        <v>2056</v>
      </c>
      <c r="H540" s="81" t="s">
        <v>3479</v>
      </c>
      <c r="I540" s="111" t="s">
        <v>3480</v>
      </c>
      <c r="J540" s="155"/>
      <c r="K540" s="22" t="s">
        <v>27</v>
      </c>
      <c r="L540" s="22" t="s">
        <v>27</v>
      </c>
      <c r="M540" s="156" t="s">
        <v>196</v>
      </c>
      <c r="N540" s="85" t="s">
        <v>29</v>
      </c>
      <c r="O540" s="22" t="s">
        <v>27</v>
      </c>
      <c r="P540" s="22" t="s">
        <v>27</v>
      </c>
      <c r="Q540" s="201"/>
      <c r="R540" s="201"/>
      <c r="S540" s="224"/>
      <c r="T540" s="181"/>
      <c r="U540" s="184"/>
      <c r="V540" s="536" t="s">
        <v>97</v>
      </c>
      <c r="W540" s="184"/>
      <c r="X540" s="184"/>
      <c r="Y540" s="184"/>
      <c r="Z540" s="184"/>
      <c r="AA540" s="184"/>
      <c r="AB540" s="184"/>
      <c r="AC540" s="184"/>
      <c r="AD540" s="186"/>
      <c r="AE540" s="187"/>
      <c r="AF540" s="184"/>
      <c r="AG540" s="187"/>
      <c r="AH540" s="189"/>
      <c r="AI540" s="189"/>
      <c r="AJ540" s="189"/>
      <c r="AK540" s="189"/>
      <c r="AL540" s="189"/>
      <c r="AM540" s="189"/>
      <c r="AN540" s="187"/>
      <c r="AO540" s="187"/>
      <c r="AP540" s="184"/>
      <c r="AQ540" s="187"/>
      <c r="AR540" s="187"/>
      <c r="AS540" s="119"/>
    </row>
    <row r="541">
      <c r="A541" s="137">
        <v>396.0</v>
      </c>
      <c r="B541" s="150"/>
      <c r="C541" s="104" t="s">
        <v>3481</v>
      </c>
      <c r="D541" s="105" t="s">
        <v>48</v>
      </c>
      <c r="E541" s="107" t="s">
        <v>48</v>
      </c>
      <c r="F541" s="101"/>
      <c r="G541" s="40" t="s">
        <v>1248</v>
      </c>
      <c r="H541" s="55" t="s">
        <v>1249</v>
      </c>
      <c r="I541" s="69" t="s">
        <v>1250</v>
      </c>
      <c r="J541" s="20" t="s">
        <v>78</v>
      </c>
      <c r="K541" s="37">
        <v>43909.0</v>
      </c>
      <c r="L541" s="37">
        <v>43912.0</v>
      </c>
      <c r="M541" s="73" t="s">
        <v>1253</v>
      </c>
      <c r="N541" s="73" t="s">
        <v>80</v>
      </c>
      <c r="O541" s="113">
        <v>43756.0</v>
      </c>
      <c r="P541" s="37">
        <v>43817.0</v>
      </c>
      <c r="Q541" s="22"/>
      <c r="R541" s="22"/>
      <c r="S541" s="193" t="s">
        <v>97</v>
      </c>
      <c r="T541" s="157"/>
      <c r="U541" s="176" t="s">
        <v>97</v>
      </c>
      <c r="V541" s="161"/>
      <c r="W541" s="161"/>
      <c r="X541" s="161"/>
      <c r="Y541" s="161"/>
      <c r="Z541" s="161"/>
      <c r="AA541" s="161"/>
      <c r="AB541" s="161"/>
      <c r="AC541" s="161"/>
      <c r="AD541" s="161"/>
      <c r="AE541" s="161"/>
      <c r="AF541" s="161"/>
      <c r="AG541" s="161"/>
      <c r="AH541" s="163"/>
      <c r="AI541" s="163"/>
      <c r="AJ541" s="163"/>
      <c r="AK541" s="163"/>
      <c r="AL541" s="163"/>
      <c r="AM541" s="163"/>
      <c r="AN541" s="161"/>
      <c r="AO541" s="161"/>
      <c r="AP541" s="161"/>
      <c r="AQ541" s="161"/>
      <c r="AR541" s="161"/>
      <c r="AS541" s="119"/>
    </row>
    <row r="542">
      <c r="A542" s="137">
        <v>877.0</v>
      </c>
      <c r="B542" s="353"/>
      <c r="C542" s="170" t="s">
        <v>3482</v>
      </c>
      <c r="D542" s="357" t="s">
        <v>48</v>
      </c>
      <c r="E542" s="358" t="s">
        <v>48</v>
      </c>
      <c r="F542" s="359"/>
      <c r="G542" s="159" t="s">
        <v>2083</v>
      </c>
      <c r="H542" s="166" t="s">
        <v>3483</v>
      </c>
      <c r="I542" s="167" t="s">
        <v>3484</v>
      </c>
      <c r="J542" s="643"/>
      <c r="K542" s="169">
        <v>44082.0</v>
      </c>
      <c r="L542" s="169">
        <v>44087.0</v>
      </c>
      <c r="M542" s="170" t="s">
        <v>3485</v>
      </c>
      <c r="N542" s="170" t="s">
        <v>80</v>
      </c>
      <c r="O542" s="169">
        <v>44013.0</v>
      </c>
      <c r="P542" s="169">
        <v>44027.0</v>
      </c>
      <c r="Q542" s="361"/>
      <c r="R542" s="361"/>
      <c r="S542" s="117"/>
      <c r="T542" s="265"/>
      <c r="U542" s="688" t="s">
        <v>97</v>
      </c>
      <c r="V542" s="266"/>
      <c r="W542" s="266"/>
      <c r="X542" s="266"/>
      <c r="Y542" s="266"/>
      <c r="Z542" s="266"/>
      <c r="AA542" s="266"/>
      <c r="AB542" s="266"/>
      <c r="AC542" s="266"/>
      <c r="AD542" s="266"/>
      <c r="AE542" s="266"/>
      <c r="AF542" s="266"/>
      <c r="AG542" s="266"/>
      <c r="AH542" s="266"/>
      <c r="AI542" s="266"/>
      <c r="AJ542" s="266"/>
      <c r="AK542" s="266"/>
      <c r="AL542" s="266"/>
      <c r="AM542" s="266"/>
      <c r="AN542" s="266"/>
      <c r="AO542" s="266"/>
      <c r="AP542" s="266"/>
      <c r="AQ542" s="266"/>
      <c r="AR542" s="266"/>
      <c r="AS542" s="119"/>
    </row>
    <row r="543">
      <c r="A543" s="137">
        <v>397.0</v>
      </c>
      <c r="B543" s="177"/>
      <c r="C543" s="104" t="s">
        <v>3486</v>
      </c>
      <c r="D543" s="105" t="s">
        <v>48</v>
      </c>
      <c r="E543" s="107" t="s">
        <v>48</v>
      </c>
      <c r="F543" s="178"/>
      <c r="G543" s="77" t="s">
        <v>3487</v>
      </c>
      <c r="H543" s="250" t="s">
        <v>3488</v>
      </c>
      <c r="I543" s="84" t="s">
        <v>3489</v>
      </c>
      <c r="J543" s="112"/>
      <c r="K543" s="113">
        <v>43950.0</v>
      </c>
      <c r="L543" s="113">
        <v>43954.0</v>
      </c>
      <c r="M543" s="85" t="s">
        <v>900</v>
      </c>
      <c r="N543" s="85" t="s">
        <v>379</v>
      </c>
      <c r="O543" s="113">
        <v>43742.0</v>
      </c>
      <c r="P543" s="113">
        <v>43840.0</v>
      </c>
      <c r="Q543" s="535"/>
      <c r="R543" s="535"/>
      <c r="S543" s="117"/>
      <c r="T543" s="181"/>
      <c r="U543" s="182" t="s">
        <v>97</v>
      </c>
      <c r="V543" s="184"/>
      <c r="W543" s="184"/>
      <c r="X543" s="184"/>
      <c r="Y543" s="184"/>
      <c r="Z543" s="184"/>
      <c r="AA543" s="184"/>
      <c r="AB543" s="184"/>
      <c r="AC543" s="184"/>
      <c r="AD543" s="186"/>
      <c r="AE543" s="187"/>
      <c r="AF543" s="184"/>
      <c r="AG543" s="187"/>
      <c r="AH543" s="189"/>
      <c r="AI543" s="189"/>
      <c r="AJ543" s="189"/>
      <c r="AK543" s="189"/>
      <c r="AL543" s="189"/>
      <c r="AM543" s="189"/>
      <c r="AN543" s="187"/>
      <c r="AO543" s="187"/>
      <c r="AP543" s="184"/>
      <c r="AQ543" s="187"/>
      <c r="AR543" s="187"/>
      <c r="AS543" s="119"/>
    </row>
    <row r="544">
      <c r="A544" s="101">
        <v>398.0</v>
      </c>
      <c r="B544" s="150"/>
      <c r="C544" s="104" t="s">
        <v>3490</v>
      </c>
      <c r="D544" s="105" t="s">
        <v>48</v>
      </c>
      <c r="E544" s="107" t="s">
        <v>48</v>
      </c>
      <c r="F544" s="101"/>
      <c r="G544" s="40" t="s">
        <v>935</v>
      </c>
      <c r="H544" s="55" t="s">
        <v>936</v>
      </c>
      <c r="I544" s="69" t="s">
        <v>938</v>
      </c>
      <c r="J544" s="20" t="s">
        <v>78</v>
      </c>
      <c r="K544" s="37">
        <v>43917.0</v>
      </c>
      <c r="L544" s="37">
        <v>43919.0</v>
      </c>
      <c r="M544" s="73" t="s">
        <v>943</v>
      </c>
      <c r="N544" s="73" t="s">
        <v>379</v>
      </c>
      <c r="O544" s="113">
        <v>43769.0</v>
      </c>
      <c r="P544" s="37">
        <v>43861.0</v>
      </c>
      <c r="Q544" s="22"/>
      <c r="R544" s="22"/>
      <c r="S544" s="117"/>
      <c r="T544" s="157"/>
      <c r="U544" s="176" t="s">
        <v>97</v>
      </c>
      <c r="V544" s="161"/>
      <c r="W544" s="161"/>
      <c r="X544" s="161"/>
      <c r="Y544" s="161"/>
      <c r="Z544" s="161"/>
      <c r="AA544" s="161"/>
      <c r="AB544" s="161"/>
      <c r="AC544" s="161"/>
      <c r="AD544" s="161"/>
      <c r="AE544" s="161"/>
      <c r="AF544" s="161"/>
      <c r="AG544" s="161"/>
      <c r="AH544" s="163"/>
      <c r="AI544" s="163"/>
      <c r="AJ544" s="163"/>
      <c r="AK544" s="163"/>
      <c r="AL544" s="163"/>
      <c r="AM544" s="163"/>
      <c r="AN544" s="161"/>
      <c r="AO544" s="161"/>
      <c r="AP544" s="161"/>
      <c r="AQ544" s="161"/>
      <c r="AR544" s="161"/>
      <c r="AS544" s="119"/>
    </row>
    <row r="545">
      <c r="A545" s="137">
        <v>399.0</v>
      </c>
      <c r="B545" s="150"/>
      <c r="C545" s="104" t="s">
        <v>3491</v>
      </c>
      <c r="D545" s="105" t="s">
        <v>48</v>
      </c>
      <c r="E545" s="107" t="s">
        <v>48</v>
      </c>
      <c r="F545" s="101"/>
      <c r="G545" s="40" t="s">
        <v>3492</v>
      </c>
      <c r="H545" s="55" t="s">
        <v>3493</v>
      </c>
      <c r="I545" s="69" t="s">
        <v>3494</v>
      </c>
      <c r="J545" s="155"/>
      <c r="K545" s="37">
        <v>44084.0</v>
      </c>
      <c r="L545" s="37">
        <v>44086.0</v>
      </c>
      <c r="M545" s="73" t="s">
        <v>3495</v>
      </c>
      <c r="N545" s="73" t="s">
        <v>80</v>
      </c>
      <c r="O545" s="113">
        <v>43835.0</v>
      </c>
      <c r="P545" s="37">
        <v>44024.0</v>
      </c>
      <c r="Q545" s="22"/>
      <c r="R545" s="22"/>
      <c r="S545" s="117"/>
      <c r="T545" s="157"/>
      <c r="U545" s="176" t="s">
        <v>97</v>
      </c>
      <c r="V545" s="161"/>
      <c r="W545" s="161"/>
      <c r="X545" s="161"/>
      <c r="Y545" s="161"/>
      <c r="Z545" s="161"/>
      <c r="AA545" s="161"/>
      <c r="AB545" s="161"/>
      <c r="AC545" s="161"/>
      <c r="AD545" s="161"/>
      <c r="AE545" s="161"/>
      <c r="AF545" s="161"/>
      <c r="AG545" s="161"/>
      <c r="AH545" s="163"/>
      <c r="AI545" s="163"/>
      <c r="AJ545" s="163"/>
      <c r="AK545" s="163"/>
      <c r="AL545" s="163"/>
      <c r="AM545" s="163"/>
      <c r="AN545" s="161"/>
      <c r="AO545" s="161"/>
      <c r="AP545" s="161"/>
      <c r="AQ545" s="161"/>
      <c r="AR545" s="161"/>
      <c r="AS545" s="119"/>
    </row>
    <row r="546">
      <c r="A546" s="137">
        <v>814.0</v>
      </c>
      <c r="B546" s="197"/>
      <c r="C546" s="104" t="s">
        <v>3496</v>
      </c>
      <c r="D546" s="105" t="s">
        <v>48</v>
      </c>
      <c r="E546" s="107" t="s">
        <v>48</v>
      </c>
      <c r="F546" s="109"/>
      <c r="G546" s="10" t="s">
        <v>2157</v>
      </c>
      <c r="H546" s="17" t="s">
        <v>3497</v>
      </c>
      <c r="I546" s="34" t="s">
        <v>3498</v>
      </c>
      <c r="J546" s="112"/>
      <c r="K546" s="113">
        <v>43999.0</v>
      </c>
      <c r="L546" s="113">
        <v>44003.0</v>
      </c>
      <c r="M546" s="24" t="s">
        <v>3499</v>
      </c>
      <c r="N546" s="24" t="s">
        <v>2931</v>
      </c>
      <c r="O546" s="114">
        <v>43830.0</v>
      </c>
      <c r="P546" s="114">
        <v>43966.0</v>
      </c>
      <c r="Q546" s="223"/>
      <c r="R546" s="223"/>
      <c r="S546" s="224"/>
      <c r="T546" s="118"/>
      <c r="U546" s="176" t="s">
        <v>97</v>
      </c>
      <c r="V546" s="119"/>
      <c r="W546" s="119"/>
      <c r="X546" s="119"/>
      <c r="Y546" s="119"/>
      <c r="Z546" s="119"/>
      <c r="AA546" s="119"/>
      <c r="AB546" s="119"/>
      <c r="AC546" s="119"/>
      <c r="AD546" s="119"/>
      <c r="AE546" s="119"/>
      <c r="AF546" s="119"/>
      <c r="AG546" s="119"/>
      <c r="AH546" s="121"/>
      <c r="AI546" s="121"/>
      <c r="AJ546" s="121"/>
      <c r="AK546" s="121"/>
      <c r="AL546" s="121"/>
      <c r="AM546" s="121"/>
      <c r="AN546" s="119"/>
      <c r="AO546" s="119"/>
      <c r="AP546" s="119"/>
      <c r="AQ546" s="119"/>
      <c r="AR546" s="119"/>
      <c r="AS546" s="119"/>
    </row>
    <row r="547">
      <c r="A547" s="137">
        <v>400.0</v>
      </c>
      <c r="B547" s="150"/>
      <c r="C547" s="104" t="s">
        <v>3500</v>
      </c>
      <c r="D547" s="105" t="s">
        <v>52</v>
      </c>
      <c r="E547" s="107" t="s">
        <v>52</v>
      </c>
      <c r="F547" s="101"/>
      <c r="G547" s="40" t="s">
        <v>3501</v>
      </c>
      <c r="H547" s="55" t="s">
        <v>3502</v>
      </c>
      <c r="I547" s="69" t="s">
        <v>3503</v>
      </c>
      <c r="J547" s="155"/>
      <c r="K547" s="37">
        <v>43882.0</v>
      </c>
      <c r="L547" s="37">
        <v>43884.0</v>
      </c>
      <c r="M547" s="73" t="s">
        <v>3504</v>
      </c>
      <c r="N547" s="73" t="s">
        <v>594</v>
      </c>
      <c r="O547" s="113">
        <v>43739.0</v>
      </c>
      <c r="P547" s="37">
        <v>43800.0</v>
      </c>
      <c r="Q547" s="22"/>
      <c r="R547" s="22"/>
      <c r="S547" s="117"/>
      <c r="T547" s="157"/>
      <c r="U547" s="161"/>
      <c r="V547" s="161"/>
      <c r="W547" s="120" t="s">
        <v>97</v>
      </c>
      <c r="X547" s="161"/>
      <c r="Y547" s="161"/>
      <c r="Z547" s="161"/>
      <c r="AA547" s="161"/>
      <c r="AB547" s="161"/>
      <c r="AC547" s="161"/>
      <c r="AD547" s="161"/>
      <c r="AE547" s="161"/>
      <c r="AF547" s="161"/>
      <c r="AG547" s="161"/>
      <c r="AH547" s="163"/>
      <c r="AI547" s="163"/>
      <c r="AJ547" s="163"/>
      <c r="AK547" s="163"/>
      <c r="AL547" s="163"/>
      <c r="AM547" s="163"/>
      <c r="AN547" s="161"/>
      <c r="AO547" s="161"/>
      <c r="AP547" s="161"/>
      <c r="AQ547" s="161"/>
      <c r="AR547" s="161"/>
      <c r="AS547" s="119"/>
    </row>
    <row r="548">
      <c r="A548" s="101">
        <v>401.0</v>
      </c>
      <c r="B548" s="150"/>
      <c r="C548" s="104" t="s">
        <v>3505</v>
      </c>
      <c r="D548" s="105" t="s">
        <v>48</v>
      </c>
      <c r="E548" s="107" t="s">
        <v>48</v>
      </c>
      <c r="F548" s="101"/>
      <c r="G548" s="40" t="s">
        <v>311</v>
      </c>
      <c r="H548" s="55" t="s">
        <v>312</v>
      </c>
      <c r="I548" s="69" t="s">
        <v>315</v>
      </c>
      <c r="J548" s="20" t="s">
        <v>316</v>
      </c>
      <c r="K548" s="37">
        <v>43969.0</v>
      </c>
      <c r="L548" s="37">
        <v>43975.0</v>
      </c>
      <c r="M548" s="73" t="s">
        <v>317</v>
      </c>
      <c r="N548" s="73" t="s">
        <v>19</v>
      </c>
      <c r="O548" s="113">
        <v>43616.0</v>
      </c>
      <c r="P548" s="37">
        <v>43861.0</v>
      </c>
      <c r="Q548" s="22"/>
      <c r="R548" s="22"/>
      <c r="S548" s="117"/>
      <c r="T548" s="157"/>
      <c r="U548" s="176" t="s">
        <v>97</v>
      </c>
      <c r="V548" s="161"/>
      <c r="W548" s="161"/>
      <c r="X548" s="161"/>
      <c r="Y548" s="161"/>
      <c r="Z548" s="161"/>
      <c r="AA548" s="161"/>
      <c r="AB548" s="161"/>
      <c r="AC548" s="161"/>
      <c r="AD548" s="161"/>
      <c r="AE548" s="161"/>
      <c r="AF548" s="161"/>
      <c r="AG548" s="161"/>
      <c r="AH548" s="163"/>
      <c r="AI548" s="163"/>
      <c r="AJ548" s="163"/>
      <c r="AK548" s="163"/>
      <c r="AL548" s="163"/>
      <c r="AM548" s="163"/>
      <c r="AN548" s="161"/>
      <c r="AO548" s="161"/>
      <c r="AP548" s="161"/>
      <c r="AQ548" s="161"/>
      <c r="AR548" s="161"/>
      <c r="AS548" s="119"/>
    </row>
    <row r="549">
      <c r="A549" s="137">
        <v>764.0</v>
      </c>
      <c r="B549" s="103"/>
      <c r="C549" s="104" t="s">
        <v>3506</v>
      </c>
      <c r="D549" s="105" t="s">
        <v>52</v>
      </c>
      <c r="E549" s="107" t="s">
        <v>52</v>
      </c>
      <c r="F549" s="109"/>
      <c r="G549" s="10" t="s">
        <v>749</v>
      </c>
      <c r="H549" s="17" t="s">
        <v>752</v>
      </c>
      <c r="I549" s="111" t="s">
        <v>754</v>
      </c>
      <c r="J549" s="689" t="s">
        <v>78</v>
      </c>
      <c r="K549" s="650">
        <v>43923.0</v>
      </c>
      <c r="L549" s="650">
        <v>43925.0</v>
      </c>
      <c r="M549" s="690" t="s">
        <v>755</v>
      </c>
      <c r="N549" s="690" t="s">
        <v>212</v>
      </c>
      <c r="O549" s="691">
        <v>43711.0</v>
      </c>
      <c r="P549" s="691">
        <v>43833.0</v>
      </c>
      <c r="Q549" s="115"/>
      <c r="R549" s="115"/>
      <c r="S549" s="117"/>
      <c r="T549" s="118"/>
      <c r="U549" s="119"/>
      <c r="V549" s="119"/>
      <c r="W549" s="120" t="s">
        <v>97</v>
      </c>
      <c r="X549" s="119"/>
      <c r="Y549" s="119"/>
      <c r="Z549" s="119"/>
      <c r="AA549" s="119"/>
      <c r="AB549" s="119"/>
      <c r="AC549" s="119"/>
      <c r="AD549" s="119"/>
      <c r="AE549" s="119"/>
      <c r="AF549" s="119"/>
      <c r="AG549" s="119"/>
      <c r="AH549" s="121"/>
      <c r="AI549" s="121"/>
      <c r="AJ549" s="121"/>
      <c r="AK549" s="121"/>
      <c r="AL549" s="121"/>
      <c r="AM549" s="121"/>
      <c r="AN549" s="119"/>
      <c r="AO549" s="119"/>
      <c r="AP549" s="119"/>
      <c r="AQ549" s="119"/>
      <c r="AR549" s="119"/>
      <c r="AS549" s="119"/>
    </row>
    <row r="550">
      <c r="A550" s="137">
        <v>940.0</v>
      </c>
      <c r="B550" s="284"/>
      <c r="C550" s="123" t="s">
        <v>3507</v>
      </c>
      <c r="D550" s="124" t="s">
        <v>52</v>
      </c>
      <c r="E550" s="126" t="s">
        <v>52</v>
      </c>
      <c r="F550" s="312"/>
      <c r="G550" s="216" t="s">
        <v>3508</v>
      </c>
      <c r="H550" s="89" t="s">
        <v>3509</v>
      </c>
      <c r="I550" s="692" t="str">
        <f>HYPERLINK("https://filmfreeway.com/TheMelbourneIndependentFilmmakersFestival","https://filmfreeway.com/TheMelbourneIndependentFilmmakersFestival")</f>
        <v>https://filmfreeway.com/TheMelbourneIndependentFilmmakersFestival</v>
      </c>
      <c r="J550" s="693"/>
      <c r="K550" s="145">
        <v>44126.0</v>
      </c>
      <c r="L550" s="145">
        <v>44128.0</v>
      </c>
      <c r="M550" s="130" t="s">
        <v>3510</v>
      </c>
      <c r="N550" s="130" t="s">
        <v>46</v>
      </c>
      <c r="O550" s="145">
        <v>43871.0</v>
      </c>
      <c r="P550" s="145">
        <v>44016.0</v>
      </c>
      <c r="Q550" s="694"/>
      <c r="R550" s="132"/>
      <c r="S550" s="132"/>
      <c r="T550" s="118"/>
      <c r="U550" s="119"/>
      <c r="V550" s="119"/>
      <c r="W550" s="120" t="s">
        <v>97</v>
      </c>
      <c r="X550" s="119"/>
      <c r="Y550" s="134"/>
      <c r="Z550" s="119"/>
      <c r="AA550" s="119"/>
      <c r="AB550" s="119"/>
      <c r="AC550" s="119"/>
      <c r="AD550" s="119"/>
      <c r="AE550" s="119"/>
      <c r="AF550" s="119"/>
      <c r="AG550" s="119"/>
      <c r="AH550" s="121"/>
      <c r="AI550" s="121"/>
      <c r="AJ550" s="121"/>
      <c r="AK550" s="121"/>
      <c r="AL550" s="121"/>
      <c r="AM550" s="135"/>
      <c r="AN550" s="119"/>
      <c r="AO550" s="119"/>
      <c r="AP550" s="119"/>
      <c r="AQ550" s="119"/>
      <c r="AR550" s="119"/>
      <c r="AS550" s="119"/>
    </row>
    <row r="551">
      <c r="A551" s="137">
        <v>402.0</v>
      </c>
      <c r="B551" s="177"/>
      <c r="C551" s="104" t="s">
        <v>3511</v>
      </c>
      <c r="D551" s="105" t="s">
        <v>48</v>
      </c>
      <c r="E551" s="107" t="s">
        <v>48</v>
      </c>
      <c r="F551" s="178"/>
      <c r="G551" s="77" t="s">
        <v>3512</v>
      </c>
      <c r="H551" s="81" t="s">
        <v>3513</v>
      </c>
      <c r="I551" s="658" t="s">
        <v>3514</v>
      </c>
      <c r="J551" s="695"/>
      <c r="K551" s="37">
        <v>43979.0</v>
      </c>
      <c r="L551" s="37">
        <v>43982.0</v>
      </c>
      <c r="M551" s="85" t="s">
        <v>3515</v>
      </c>
      <c r="N551" s="85" t="s">
        <v>72</v>
      </c>
      <c r="O551" s="113">
        <v>43738.0</v>
      </c>
      <c r="P551" s="37">
        <v>43819.0</v>
      </c>
      <c r="Q551" s="664"/>
      <c r="R551" s="22"/>
      <c r="S551" s="117"/>
      <c r="T551" s="181"/>
      <c r="U551" s="182" t="s">
        <v>97</v>
      </c>
      <c r="V551" s="184"/>
      <c r="W551" s="184"/>
      <c r="X551" s="184"/>
      <c r="Y551" s="184"/>
      <c r="Z551" s="184"/>
      <c r="AA551" s="184"/>
      <c r="AB551" s="184"/>
      <c r="AC551" s="184"/>
      <c r="AD551" s="186"/>
      <c r="AE551" s="187"/>
      <c r="AF551" s="184"/>
      <c r="AG551" s="187"/>
      <c r="AH551" s="189"/>
      <c r="AI551" s="189"/>
      <c r="AJ551" s="189"/>
      <c r="AK551" s="189"/>
      <c r="AL551" s="189"/>
      <c r="AM551" s="189"/>
      <c r="AN551" s="187"/>
      <c r="AO551" s="187"/>
      <c r="AP551" s="184"/>
      <c r="AQ551" s="187"/>
      <c r="AR551" s="187"/>
      <c r="AS551" s="119"/>
    </row>
    <row r="552">
      <c r="A552" s="137">
        <v>403.0</v>
      </c>
      <c r="B552" s="150"/>
      <c r="C552" s="104" t="s">
        <v>3516</v>
      </c>
      <c r="D552" s="138" t="s">
        <v>71</v>
      </c>
      <c r="E552" s="107" t="s">
        <v>71</v>
      </c>
      <c r="F552" s="101"/>
      <c r="G552" s="40" t="s">
        <v>806</v>
      </c>
      <c r="H552" s="55" t="s">
        <v>807</v>
      </c>
      <c r="I552" s="219" t="s">
        <v>808</v>
      </c>
      <c r="J552" s="696" t="s">
        <v>78</v>
      </c>
      <c r="K552" s="37">
        <v>43910.0</v>
      </c>
      <c r="L552" s="37">
        <v>43916.0</v>
      </c>
      <c r="M552" s="73" t="s">
        <v>221</v>
      </c>
      <c r="N552" s="73" t="s">
        <v>72</v>
      </c>
      <c r="O552" s="113">
        <v>43709.0</v>
      </c>
      <c r="P552" s="37">
        <v>43875.0</v>
      </c>
      <c r="Q552" s="664"/>
      <c r="R552" s="22"/>
      <c r="S552" s="117"/>
      <c r="T552" s="157"/>
      <c r="U552" s="161"/>
      <c r="V552" s="161"/>
      <c r="W552" s="161"/>
      <c r="X552" s="161"/>
      <c r="Y552" s="161"/>
      <c r="Z552" s="161"/>
      <c r="AA552" s="161"/>
      <c r="AB552" s="161"/>
      <c r="AC552" s="161"/>
      <c r="AD552" s="161"/>
      <c r="AE552" s="161"/>
      <c r="AF552" s="161"/>
      <c r="AG552" s="161"/>
      <c r="AH552" s="163"/>
      <c r="AI552" s="163"/>
      <c r="AJ552" s="163"/>
      <c r="AK552" s="163"/>
      <c r="AL552" s="163"/>
      <c r="AM552" s="165" t="s">
        <v>97</v>
      </c>
      <c r="AN552" s="161"/>
      <c r="AO552" s="161"/>
      <c r="AP552" s="161"/>
      <c r="AQ552" s="161"/>
      <c r="AR552" s="161"/>
      <c r="AS552" s="119"/>
    </row>
    <row r="553">
      <c r="A553" s="137">
        <v>752.0</v>
      </c>
      <c r="B553" s="197"/>
      <c r="C553" s="104" t="s">
        <v>3517</v>
      </c>
      <c r="D553" s="105" t="s">
        <v>48</v>
      </c>
      <c r="E553" s="107" t="s">
        <v>48</v>
      </c>
      <c r="F553" s="109"/>
      <c r="G553" s="10" t="s">
        <v>1290</v>
      </c>
      <c r="H553" s="17" t="s">
        <v>1291</v>
      </c>
      <c r="I553" s="697" t="s">
        <v>1292</v>
      </c>
      <c r="J553" s="698" t="s">
        <v>1294</v>
      </c>
      <c r="K553" s="113">
        <v>43896.0</v>
      </c>
      <c r="L553" s="113">
        <v>43905.0</v>
      </c>
      <c r="M553" s="24" t="s">
        <v>880</v>
      </c>
      <c r="N553" s="24" t="s">
        <v>46</v>
      </c>
      <c r="O553" s="114">
        <v>43645.0</v>
      </c>
      <c r="P553" s="114">
        <v>43753.0</v>
      </c>
      <c r="Q553" s="699"/>
      <c r="R553" s="115"/>
      <c r="S553" s="117"/>
      <c r="T553" s="118"/>
      <c r="U553" s="176" t="s">
        <v>97</v>
      </c>
      <c r="V553" s="119"/>
      <c r="W553" s="119"/>
      <c r="X553" s="119"/>
      <c r="Y553" s="119"/>
      <c r="Z553" s="119"/>
      <c r="AA553" s="119"/>
      <c r="AB553" s="119"/>
      <c r="AC553" s="119"/>
      <c r="AD553" s="119"/>
      <c r="AE553" s="119"/>
      <c r="AF553" s="119"/>
      <c r="AG553" s="119"/>
      <c r="AH553" s="121"/>
      <c r="AI553" s="121"/>
      <c r="AJ553" s="121"/>
      <c r="AK553" s="121"/>
      <c r="AL553" s="121"/>
      <c r="AM553" s="121"/>
      <c r="AN553" s="119"/>
      <c r="AO553" s="119"/>
      <c r="AP553" s="119"/>
      <c r="AQ553" s="119"/>
      <c r="AR553" s="119"/>
      <c r="AS553" s="119"/>
    </row>
    <row r="554">
      <c r="A554" s="101">
        <v>1017.0</v>
      </c>
      <c r="B554" s="173"/>
      <c r="C554" s="170" t="s">
        <v>3518</v>
      </c>
      <c r="D554" s="622" t="s">
        <v>48</v>
      </c>
      <c r="E554" s="622" t="s">
        <v>48</v>
      </c>
      <c r="F554" s="101"/>
      <c r="G554" s="256" t="s">
        <v>1936</v>
      </c>
      <c r="H554" s="278" t="s">
        <v>3519</v>
      </c>
      <c r="I554" s="280" t="s">
        <v>3520</v>
      </c>
      <c r="J554" s="700"/>
      <c r="K554" s="701">
        <v>43987.0</v>
      </c>
      <c r="L554" s="701">
        <v>44017.0</v>
      </c>
      <c r="M554" s="702" t="s">
        <v>44</v>
      </c>
      <c r="N554" s="702" t="s">
        <v>46</v>
      </c>
      <c r="O554" s="701">
        <v>43779.0</v>
      </c>
      <c r="P554" s="701">
        <v>43799.0</v>
      </c>
      <c r="Q554" s="132"/>
      <c r="R554" s="132"/>
      <c r="S554" s="132"/>
      <c r="T554" s="236"/>
      <c r="U554" s="176" t="s">
        <v>97</v>
      </c>
      <c r="V554" s="161"/>
      <c r="W554" s="161"/>
      <c r="X554" s="161"/>
      <c r="Y554" s="161"/>
      <c r="Z554" s="161"/>
      <c r="AA554" s="161"/>
      <c r="AB554" s="161"/>
      <c r="AC554" s="161"/>
      <c r="AD554" s="161"/>
      <c r="AE554" s="161"/>
      <c r="AF554" s="161"/>
      <c r="AG554" s="237"/>
      <c r="AH554" s="163"/>
      <c r="AI554" s="163"/>
      <c r="AJ554" s="163"/>
      <c r="AK554" s="163"/>
      <c r="AL554" s="163"/>
      <c r="AM554" s="163"/>
      <c r="AN554" s="161"/>
      <c r="AO554" s="161"/>
      <c r="AP554" s="161"/>
      <c r="AQ554" s="161"/>
      <c r="AR554" s="161"/>
      <c r="AS554" s="119"/>
    </row>
    <row r="555">
      <c r="A555" s="101">
        <v>404.0</v>
      </c>
      <c r="B555" s="150"/>
      <c r="C555" s="104" t="s">
        <v>3521</v>
      </c>
      <c r="D555" s="138" t="s">
        <v>63</v>
      </c>
      <c r="E555" s="107" t="s">
        <v>1297</v>
      </c>
      <c r="F555" s="101"/>
      <c r="G555" s="40" t="s">
        <v>3522</v>
      </c>
      <c r="H555" s="55" t="s">
        <v>3523</v>
      </c>
      <c r="I555" s="69" t="s">
        <v>3524</v>
      </c>
      <c r="J555" s="646"/>
      <c r="K555" s="648">
        <v>43875.0</v>
      </c>
      <c r="L555" s="648">
        <v>43877.0</v>
      </c>
      <c r="M555" s="649" t="s">
        <v>880</v>
      </c>
      <c r="N555" s="73" t="s">
        <v>46</v>
      </c>
      <c r="O555" s="113">
        <v>43637.0</v>
      </c>
      <c r="P555" s="37">
        <v>43823.0</v>
      </c>
      <c r="Q555" s="22"/>
      <c r="R555" s="22"/>
      <c r="S555" s="117"/>
      <c r="T555" s="157"/>
      <c r="U555" s="161"/>
      <c r="V555" s="161"/>
      <c r="W555" s="161"/>
      <c r="X555" s="161"/>
      <c r="Y555" s="161"/>
      <c r="Z555" s="161"/>
      <c r="AA555" s="161"/>
      <c r="AB555" s="161"/>
      <c r="AC555" s="161"/>
      <c r="AD555" s="161"/>
      <c r="AE555" s="161"/>
      <c r="AF555" s="161"/>
      <c r="AG555" s="275" t="s">
        <v>97</v>
      </c>
      <c r="AH555" s="163"/>
      <c r="AI555" s="163"/>
      <c r="AJ555" s="163"/>
      <c r="AK555" s="163"/>
      <c r="AL555" s="163"/>
      <c r="AM555" s="163"/>
      <c r="AN555" s="161"/>
      <c r="AO555" s="161"/>
      <c r="AP555" s="161"/>
      <c r="AQ555" s="161"/>
      <c r="AR555" s="161"/>
      <c r="AS555" s="119"/>
    </row>
    <row r="556">
      <c r="A556" s="137">
        <v>405.0</v>
      </c>
      <c r="B556" s="406"/>
      <c r="C556" s="104" t="s">
        <v>3525</v>
      </c>
      <c r="D556" s="296" t="s">
        <v>55</v>
      </c>
      <c r="E556" s="297" t="s">
        <v>55</v>
      </c>
      <c r="F556" s="627"/>
      <c r="G556" s="628" t="s">
        <v>3526</v>
      </c>
      <c r="H556" s="81" t="s">
        <v>3527</v>
      </c>
      <c r="I556" s="703" t="s">
        <v>3528</v>
      </c>
      <c r="J556" s="155"/>
      <c r="K556" s="37">
        <v>43839.0</v>
      </c>
      <c r="L556" s="37">
        <v>43850.0</v>
      </c>
      <c r="M556" s="85" t="s">
        <v>880</v>
      </c>
      <c r="N556" s="704" t="s">
        <v>46</v>
      </c>
      <c r="O556" s="113">
        <v>43585.0</v>
      </c>
      <c r="P556" s="37">
        <v>43742.0</v>
      </c>
      <c r="Q556" s="22"/>
      <c r="R556" s="22"/>
      <c r="S556" s="117"/>
      <c r="T556" s="181"/>
      <c r="U556" s="413"/>
      <c r="V556" s="413"/>
      <c r="W556" s="413"/>
      <c r="X556" s="413"/>
      <c r="Y556" s="413"/>
      <c r="Z556" s="705" t="s">
        <v>97</v>
      </c>
      <c r="AA556" s="413"/>
      <c r="AB556" s="413"/>
      <c r="AC556" s="413"/>
      <c r="AD556" s="186"/>
      <c r="AE556" s="187"/>
      <c r="AF556" s="413"/>
      <c r="AG556" s="187"/>
      <c r="AH556" s="189"/>
      <c r="AI556" s="189"/>
      <c r="AJ556" s="189"/>
      <c r="AK556" s="189"/>
      <c r="AL556" s="189"/>
      <c r="AM556" s="189"/>
      <c r="AN556" s="187"/>
      <c r="AO556" s="187"/>
      <c r="AP556" s="413"/>
      <c r="AQ556" s="187"/>
      <c r="AR556" s="187"/>
      <c r="AS556" s="119"/>
    </row>
    <row r="557">
      <c r="A557" s="137">
        <v>406.0</v>
      </c>
      <c r="B557" s="177"/>
      <c r="C557" s="104" t="s">
        <v>3529</v>
      </c>
      <c r="D557" s="105" t="s">
        <v>52</v>
      </c>
      <c r="E557" s="107" t="s">
        <v>52</v>
      </c>
      <c r="F557" s="178"/>
      <c r="G557" s="77" t="s">
        <v>3530</v>
      </c>
      <c r="H557" s="81" t="s">
        <v>3531</v>
      </c>
      <c r="I557" s="658" t="s">
        <v>3532</v>
      </c>
      <c r="J557" s="155"/>
      <c r="K557" s="37">
        <v>44144.0</v>
      </c>
      <c r="L557" s="37">
        <v>44149.0</v>
      </c>
      <c r="M557" s="85" t="s">
        <v>880</v>
      </c>
      <c r="N557" s="704" t="s">
        <v>46</v>
      </c>
      <c r="O557" s="113">
        <v>43876.0</v>
      </c>
      <c r="P557" s="37">
        <v>44073.0</v>
      </c>
      <c r="Q557" s="22"/>
      <c r="R557" s="22"/>
      <c r="S557" s="193" t="s">
        <v>97</v>
      </c>
      <c r="T557" s="181"/>
      <c r="U557" s="184"/>
      <c r="V557" s="184"/>
      <c r="W557" s="319" t="s">
        <v>97</v>
      </c>
      <c r="X557" s="184"/>
      <c r="Y557" s="184"/>
      <c r="Z557" s="184"/>
      <c r="AA557" s="184"/>
      <c r="AB557" s="184"/>
      <c r="AC557" s="184"/>
      <c r="AD557" s="186"/>
      <c r="AE557" s="187"/>
      <c r="AF557" s="184"/>
      <c r="AG557" s="187"/>
      <c r="AH557" s="189"/>
      <c r="AI557" s="189"/>
      <c r="AJ557" s="189"/>
      <c r="AK557" s="189"/>
      <c r="AL557" s="189"/>
      <c r="AM557" s="189"/>
      <c r="AN557" s="187"/>
      <c r="AO557" s="187"/>
      <c r="AP557" s="184"/>
      <c r="AQ557" s="187"/>
      <c r="AR557" s="187"/>
      <c r="AS557" s="119"/>
    </row>
    <row r="558">
      <c r="A558" s="101">
        <v>819.0</v>
      </c>
      <c r="B558" s="197">
        <v>10.0</v>
      </c>
      <c r="C558" s="104" t="s">
        <v>3533</v>
      </c>
      <c r="D558" s="105" t="s">
        <v>48</v>
      </c>
      <c r="E558" s="107" t="s">
        <v>48</v>
      </c>
      <c r="F558" s="109"/>
      <c r="G558" s="10" t="s">
        <v>2151</v>
      </c>
      <c r="H558" s="17" t="s">
        <v>3534</v>
      </c>
      <c r="I558" s="697" t="s">
        <v>3535</v>
      </c>
      <c r="J558" s="112"/>
      <c r="K558" s="113">
        <v>44119.0</v>
      </c>
      <c r="L558" s="113">
        <v>44122.0</v>
      </c>
      <c r="M558" s="24" t="s">
        <v>3536</v>
      </c>
      <c r="N558" s="706" t="s">
        <v>291</v>
      </c>
      <c r="O558" s="113">
        <v>43983.0</v>
      </c>
      <c r="P558" s="113">
        <v>44058.0</v>
      </c>
      <c r="Q558" s="223"/>
      <c r="R558" s="223"/>
      <c r="S558" s="224"/>
      <c r="T558" s="118"/>
      <c r="U558" s="176" t="s">
        <v>97</v>
      </c>
      <c r="V558" s="119"/>
      <c r="W558" s="119"/>
      <c r="X558" s="119"/>
      <c r="Y558" s="119"/>
      <c r="Z558" s="119"/>
      <c r="AA558" s="119"/>
      <c r="AB558" s="119"/>
      <c r="AC558" s="119"/>
      <c r="AD558" s="119"/>
      <c r="AE558" s="119"/>
      <c r="AF558" s="119"/>
      <c r="AG558" s="119"/>
      <c r="AH558" s="121"/>
      <c r="AI558" s="121"/>
      <c r="AJ558" s="121"/>
      <c r="AK558" s="121"/>
      <c r="AL558" s="121"/>
      <c r="AM558" s="121"/>
      <c r="AN558" s="119"/>
      <c r="AO558" s="119"/>
      <c r="AP558" s="119"/>
      <c r="AQ558" s="119"/>
      <c r="AR558" s="119"/>
      <c r="AS558" s="119"/>
    </row>
    <row r="559">
      <c r="A559" s="101">
        <v>407.0</v>
      </c>
      <c r="B559" s="292"/>
      <c r="C559" s="104" t="s">
        <v>3537</v>
      </c>
      <c r="D559" s="105" t="s">
        <v>48</v>
      </c>
      <c r="E559" s="107" t="s">
        <v>48</v>
      </c>
      <c r="F559" s="190"/>
      <c r="G559" s="192" t="s">
        <v>3538</v>
      </c>
      <c r="H559" s="81" t="s">
        <v>3539</v>
      </c>
      <c r="I559" s="707" t="s">
        <v>3540</v>
      </c>
      <c r="J559" s="155"/>
      <c r="K559" s="37">
        <v>44070.0</v>
      </c>
      <c r="L559" s="37">
        <v>44073.0</v>
      </c>
      <c r="M559" s="73" t="s">
        <v>3541</v>
      </c>
      <c r="N559" s="220" t="s">
        <v>762</v>
      </c>
      <c r="O559" s="113">
        <v>43856.0</v>
      </c>
      <c r="P559" s="37">
        <v>43979.0</v>
      </c>
      <c r="Q559" s="22"/>
      <c r="R559" s="22"/>
      <c r="S559" s="117"/>
      <c r="T559" s="157"/>
      <c r="U559" s="293" t="s">
        <v>97</v>
      </c>
      <c r="V559" s="194"/>
      <c r="W559" s="194"/>
      <c r="X559" s="194"/>
      <c r="Y559" s="194"/>
      <c r="Z559" s="194"/>
      <c r="AA559" s="194"/>
      <c r="AB559" s="194"/>
      <c r="AC559" s="194"/>
      <c r="AD559" s="186"/>
      <c r="AE559" s="187"/>
      <c r="AF559" s="194"/>
      <c r="AG559" s="187"/>
      <c r="AH559" s="189"/>
      <c r="AI559" s="189"/>
      <c r="AJ559" s="189"/>
      <c r="AK559" s="189"/>
      <c r="AL559" s="189"/>
      <c r="AM559" s="189"/>
      <c r="AN559" s="187"/>
      <c r="AO559" s="187"/>
      <c r="AP559" s="194"/>
      <c r="AQ559" s="187"/>
      <c r="AR559" s="187"/>
      <c r="AS559" s="119"/>
    </row>
    <row r="560">
      <c r="A560" s="137">
        <v>408.0</v>
      </c>
      <c r="B560" s="177"/>
      <c r="C560" s="104" t="s">
        <v>3542</v>
      </c>
      <c r="D560" s="138" t="s">
        <v>63</v>
      </c>
      <c r="E560" s="107" t="s">
        <v>1297</v>
      </c>
      <c r="F560" s="178"/>
      <c r="G560" s="77" t="s">
        <v>3543</v>
      </c>
      <c r="H560" s="81" t="s">
        <v>3544</v>
      </c>
      <c r="I560" s="658" t="s">
        <v>3545</v>
      </c>
      <c r="J560" s="155"/>
      <c r="K560" s="37">
        <v>43896.0</v>
      </c>
      <c r="L560" s="37">
        <v>43898.0</v>
      </c>
      <c r="M560" s="85" t="s">
        <v>3546</v>
      </c>
      <c r="N560" s="704" t="s">
        <v>350</v>
      </c>
      <c r="O560" s="113">
        <v>43677.0</v>
      </c>
      <c r="P560" s="37">
        <v>43847.0</v>
      </c>
      <c r="Q560" s="22"/>
      <c r="R560" s="22"/>
      <c r="S560" s="117"/>
      <c r="T560" s="181"/>
      <c r="U560" s="184"/>
      <c r="V560" s="708"/>
      <c r="W560" s="184"/>
      <c r="X560" s="184"/>
      <c r="Y560" s="184"/>
      <c r="Z560" s="184"/>
      <c r="AA560" s="184"/>
      <c r="AB560" s="184"/>
      <c r="AC560" s="184"/>
      <c r="AD560" s="186"/>
      <c r="AE560" s="187"/>
      <c r="AF560" s="184"/>
      <c r="AG560" s="667" t="s">
        <v>97</v>
      </c>
      <c r="AH560" s="677"/>
      <c r="AI560" s="189"/>
      <c r="AJ560" s="189"/>
      <c r="AK560" s="189"/>
      <c r="AL560" s="189"/>
      <c r="AM560" s="189"/>
      <c r="AN560" s="187"/>
      <c r="AO560" s="187"/>
      <c r="AP560" s="184"/>
      <c r="AQ560" s="187"/>
      <c r="AR560" s="187"/>
      <c r="AS560" s="119"/>
    </row>
    <row r="561">
      <c r="A561" s="137">
        <v>409.0</v>
      </c>
      <c r="B561" s="177">
        <v>10.0</v>
      </c>
      <c r="C561" s="104" t="s">
        <v>3547</v>
      </c>
      <c r="D561" s="105" t="s">
        <v>48</v>
      </c>
      <c r="E561" s="107" t="s">
        <v>48</v>
      </c>
      <c r="F561" s="178"/>
      <c r="G561" s="77" t="s">
        <v>1990</v>
      </c>
      <c r="H561" s="81" t="s">
        <v>3548</v>
      </c>
      <c r="I561" s="658" t="s">
        <v>3549</v>
      </c>
      <c r="J561" s="112"/>
      <c r="K561" s="113">
        <v>44112.0</v>
      </c>
      <c r="L561" s="113">
        <v>44122.0</v>
      </c>
      <c r="M561" s="85" t="s">
        <v>2468</v>
      </c>
      <c r="N561" s="704" t="s">
        <v>72</v>
      </c>
      <c r="O561" s="113">
        <v>43966.0</v>
      </c>
      <c r="P561" s="113">
        <v>44085.0</v>
      </c>
      <c r="Q561" s="373"/>
      <c r="R561" s="373"/>
      <c r="S561" s="203" t="s">
        <v>97</v>
      </c>
      <c r="T561" s="181"/>
      <c r="U561" s="182" t="s">
        <v>97</v>
      </c>
      <c r="V561" s="184"/>
      <c r="W561" s="184"/>
      <c r="X561" s="184"/>
      <c r="Y561" s="184"/>
      <c r="Z561" s="184"/>
      <c r="AA561" s="184"/>
      <c r="AB561" s="184"/>
      <c r="AC561" s="184"/>
      <c r="AD561" s="186"/>
      <c r="AE561" s="187"/>
      <c r="AF561" s="184"/>
      <c r="AG561" s="187"/>
      <c r="AH561" s="189"/>
      <c r="AI561" s="189"/>
      <c r="AJ561" s="189"/>
      <c r="AK561" s="189"/>
      <c r="AL561" s="189"/>
      <c r="AM561" s="189"/>
      <c r="AN561" s="187"/>
      <c r="AO561" s="187"/>
      <c r="AP561" s="184"/>
      <c r="AQ561" s="187"/>
      <c r="AR561" s="187"/>
      <c r="AS561" s="119"/>
    </row>
    <row r="562">
      <c r="A562" s="101">
        <v>410.0</v>
      </c>
      <c r="B562" s="315">
        <v>10.0</v>
      </c>
      <c r="C562" s="104" t="s">
        <v>3550</v>
      </c>
      <c r="D562" s="105" t="s">
        <v>48</v>
      </c>
      <c r="E562" s="107" t="s">
        <v>48</v>
      </c>
      <c r="F562" s="190"/>
      <c r="G562" s="192" t="s">
        <v>3551</v>
      </c>
      <c r="H562" s="81" t="s">
        <v>3552</v>
      </c>
      <c r="I562" s="709" t="s">
        <v>3553</v>
      </c>
      <c r="J562" s="710"/>
      <c r="K562" s="711">
        <v>44119.0</v>
      </c>
      <c r="L562" s="711">
        <v>44133.0</v>
      </c>
      <c r="M562" s="337" t="s">
        <v>349</v>
      </c>
      <c r="N562" s="712" t="s">
        <v>350</v>
      </c>
      <c r="O562" s="711">
        <v>44018.0</v>
      </c>
      <c r="P562" s="711">
        <v>44018.0</v>
      </c>
      <c r="Q562" s="201"/>
      <c r="R562" s="201"/>
      <c r="S562" s="203" t="s">
        <v>97</v>
      </c>
      <c r="T562" s="157"/>
      <c r="U562" s="293" t="s">
        <v>97</v>
      </c>
      <c r="V562" s="194"/>
      <c r="W562" s="194"/>
      <c r="X562" s="194"/>
      <c r="Y562" s="194"/>
      <c r="Z562" s="194"/>
      <c r="AA562" s="194"/>
      <c r="AB562" s="194"/>
      <c r="AC562" s="194"/>
      <c r="AD562" s="186"/>
      <c r="AE562" s="187"/>
      <c r="AF562" s="194"/>
      <c r="AG562" s="187"/>
      <c r="AH562" s="189"/>
      <c r="AI562" s="189"/>
      <c r="AJ562" s="189"/>
      <c r="AK562" s="189"/>
      <c r="AL562" s="189"/>
      <c r="AM562" s="189"/>
      <c r="AN562" s="187"/>
      <c r="AO562" s="187"/>
      <c r="AP562" s="194"/>
      <c r="AQ562" s="187"/>
      <c r="AR562" s="187"/>
      <c r="AS562" s="119"/>
    </row>
    <row r="563">
      <c r="A563" s="137">
        <v>411.0</v>
      </c>
      <c r="B563" s="173">
        <v>9.0</v>
      </c>
      <c r="C563" s="104" t="s">
        <v>3554</v>
      </c>
      <c r="D563" s="296" t="s">
        <v>55</v>
      </c>
      <c r="E563" s="297" t="s">
        <v>55</v>
      </c>
      <c r="F563" s="101"/>
      <c r="G563" s="40" t="s">
        <v>3555</v>
      </c>
      <c r="H563" s="55" t="s">
        <v>3556</v>
      </c>
      <c r="I563" s="713" t="s">
        <v>24</v>
      </c>
      <c r="J563" s="155"/>
      <c r="K563" s="22" t="s">
        <v>27</v>
      </c>
      <c r="L563" s="22" t="s">
        <v>27</v>
      </c>
      <c r="M563" s="174" t="s">
        <v>349</v>
      </c>
      <c r="N563" s="714" t="s">
        <v>350</v>
      </c>
      <c r="O563" s="715" t="s">
        <v>27</v>
      </c>
      <c r="P563" s="715" t="s">
        <v>27</v>
      </c>
      <c r="Q563" s="716"/>
      <c r="R563" s="348"/>
      <c r="S563" s="224"/>
      <c r="T563" s="141"/>
      <c r="U563" s="119"/>
      <c r="V563" s="119"/>
      <c r="W563" s="119"/>
      <c r="X563" s="119"/>
      <c r="Y563" s="119"/>
      <c r="Z563" s="299" t="s">
        <v>97</v>
      </c>
      <c r="AA563" s="119"/>
      <c r="AB563" s="119"/>
      <c r="AC563" s="119"/>
      <c r="AD563" s="119"/>
      <c r="AE563" s="119"/>
      <c r="AF563" s="119"/>
      <c r="AG563" s="119"/>
      <c r="AH563" s="121"/>
      <c r="AI563" s="121"/>
      <c r="AJ563" s="121"/>
      <c r="AK563" s="121"/>
      <c r="AL563" s="121"/>
      <c r="AM563" s="121"/>
      <c r="AN563" s="119"/>
      <c r="AO563" s="119"/>
      <c r="AP563" s="119"/>
      <c r="AQ563" s="119"/>
      <c r="AR563" s="119"/>
      <c r="AS563" s="119"/>
    </row>
    <row r="564">
      <c r="A564" s="137">
        <v>412.0</v>
      </c>
      <c r="B564" s="150"/>
      <c r="C564" s="104" t="s">
        <v>3557</v>
      </c>
      <c r="D564" s="105" t="s">
        <v>52</v>
      </c>
      <c r="E564" s="107" t="s">
        <v>52</v>
      </c>
      <c r="F564" s="101"/>
      <c r="G564" s="40" t="s">
        <v>3558</v>
      </c>
      <c r="H564" s="55" t="s">
        <v>3559</v>
      </c>
      <c r="I564" s="219" t="s">
        <v>3560</v>
      </c>
      <c r="J564" s="155"/>
      <c r="K564" s="37">
        <v>44085.0</v>
      </c>
      <c r="L564" s="37">
        <v>44086.0</v>
      </c>
      <c r="M564" s="174" t="s">
        <v>349</v>
      </c>
      <c r="N564" s="717" t="s">
        <v>350</v>
      </c>
      <c r="O564" s="662">
        <v>43861.0</v>
      </c>
      <c r="P564" s="660">
        <v>44012.0</v>
      </c>
      <c r="Q564" s="22"/>
      <c r="R564" s="22"/>
      <c r="S564" s="117"/>
      <c r="T564" s="157"/>
      <c r="U564" s="161"/>
      <c r="V564" s="161"/>
      <c r="W564" s="120" t="s">
        <v>97</v>
      </c>
      <c r="X564" s="161"/>
      <c r="Y564" s="161"/>
      <c r="Z564" s="161"/>
      <c r="AA564" s="161"/>
      <c r="AB564" s="161"/>
      <c r="AC564" s="161"/>
      <c r="AD564" s="161"/>
      <c r="AE564" s="161"/>
      <c r="AF564" s="161"/>
      <c r="AG564" s="161"/>
      <c r="AH564" s="163"/>
      <c r="AI564" s="163"/>
      <c r="AJ564" s="163"/>
      <c r="AK564" s="163"/>
      <c r="AL564" s="163"/>
      <c r="AM564" s="163"/>
      <c r="AN564" s="161"/>
      <c r="AO564" s="161"/>
      <c r="AP564" s="161"/>
      <c r="AQ564" s="161"/>
      <c r="AR564" s="161"/>
      <c r="AS564" s="119"/>
    </row>
    <row r="565">
      <c r="A565" s="137">
        <v>874.0</v>
      </c>
      <c r="B565" s="598"/>
      <c r="C565" s="130" t="s">
        <v>3561</v>
      </c>
      <c r="D565" s="718" t="s">
        <v>63</v>
      </c>
      <c r="E565" s="719" t="s">
        <v>1297</v>
      </c>
      <c r="F565" s="127"/>
      <c r="G565" s="128" t="s">
        <v>579</v>
      </c>
      <c r="H565" s="278" t="s">
        <v>580</v>
      </c>
      <c r="I565" s="720" t="s">
        <v>584</v>
      </c>
      <c r="J565" s="93" t="s">
        <v>186</v>
      </c>
      <c r="K565" s="282">
        <v>43937.0</v>
      </c>
      <c r="L565" s="282">
        <v>43940.0</v>
      </c>
      <c r="M565" s="130" t="s">
        <v>349</v>
      </c>
      <c r="N565" s="721" t="s">
        <v>350</v>
      </c>
      <c r="O565" s="282">
        <v>43738.0</v>
      </c>
      <c r="P565" s="282">
        <v>43850.0</v>
      </c>
      <c r="Q565" s="132"/>
      <c r="R565" s="132"/>
      <c r="S565" s="117"/>
      <c r="T565" s="265"/>
      <c r="U565" s="722"/>
      <c r="V565" s="722"/>
      <c r="W565" s="722"/>
      <c r="X565" s="722"/>
      <c r="Y565" s="722"/>
      <c r="Z565" s="722"/>
      <c r="AA565" s="722"/>
      <c r="AB565" s="722"/>
      <c r="AC565" s="722"/>
      <c r="AD565" s="723"/>
      <c r="AE565" s="723"/>
      <c r="AF565" s="722"/>
      <c r="AG565" s="724" t="s">
        <v>97</v>
      </c>
      <c r="AH565" s="723"/>
      <c r="AI565" s="722"/>
      <c r="AJ565" s="723"/>
      <c r="AK565" s="723"/>
      <c r="AL565" s="723"/>
      <c r="AM565" s="723"/>
      <c r="AN565" s="723"/>
      <c r="AO565" s="723"/>
      <c r="AP565" s="722"/>
      <c r="AQ565" s="723"/>
      <c r="AR565" s="723"/>
      <c r="AS565" s="119"/>
    </row>
    <row r="566">
      <c r="A566" s="101">
        <v>413.0</v>
      </c>
      <c r="B566" s="177"/>
      <c r="C566" s="104" t="s">
        <v>3562</v>
      </c>
      <c r="D566" s="105" t="s">
        <v>65</v>
      </c>
      <c r="E566" s="107" t="s">
        <v>65</v>
      </c>
      <c r="F566" s="178"/>
      <c r="G566" s="77" t="s">
        <v>340</v>
      </c>
      <c r="H566" s="81" t="s">
        <v>342</v>
      </c>
      <c r="I566" s="658" t="s">
        <v>343</v>
      </c>
      <c r="J566" s="20" t="s">
        <v>348</v>
      </c>
      <c r="K566" s="37">
        <v>43944.0</v>
      </c>
      <c r="L566" s="37">
        <v>43947.0</v>
      </c>
      <c r="M566" s="85" t="s">
        <v>349</v>
      </c>
      <c r="N566" s="704" t="s">
        <v>350</v>
      </c>
      <c r="O566" s="113">
        <v>43865.0</v>
      </c>
      <c r="P566" s="37">
        <v>43865.0</v>
      </c>
      <c r="Q566" s="22"/>
      <c r="R566" s="22"/>
      <c r="S566" s="117"/>
      <c r="T566" s="181"/>
      <c r="U566" s="184"/>
      <c r="V566" s="184"/>
      <c r="W566" s="184"/>
      <c r="X566" s="184"/>
      <c r="Y566" s="184"/>
      <c r="Z566" s="184"/>
      <c r="AA566" s="184"/>
      <c r="AB566" s="184"/>
      <c r="AC566" s="184"/>
      <c r="AD566" s="186"/>
      <c r="AE566" s="187"/>
      <c r="AF566" s="184"/>
      <c r="AG566" s="187"/>
      <c r="AH566" s="189"/>
      <c r="AI566" s="342" t="s">
        <v>97</v>
      </c>
      <c r="AJ566" s="189"/>
      <c r="AK566" s="189"/>
      <c r="AL566" s="189"/>
      <c r="AM566" s="189"/>
      <c r="AN566" s="187"/>
      <c r="AO566" s="187"/>
      <c r="AP566" s="184"/>
      <c r="AQ566" s="187"/>
      <c r="AR566" s="187"/>
      <c r="AS566" s="119"/>
    </row>
    <row r="567">
      <c r="A567" s="137">
        <v>414.0</v>
      </c>
      <c r="B567" s="177"/>
      <c r="C567" s="104" t="s">
        <v>3563</v>
      </c>
      <c r="D567" s="105" t="s">
        <v>48</v>
      </c>
      <c r="E567" s="107" t="s">
        <v>48</v>
      </c>
      <c r="F567" s="178"/>
      <c r="G567" s="77" t="s">
        <v>866</v>
      </c>
      <c r="H567" s="81" t="s">
        <v>867</v>
      </c>
      <c r="I567" s="658" t="s">
        <v>868</v>
      </c>
      <c r="J567" s="20" t="s">
        <v>78</v>
      </c>
      <c r="K567" s="37">
        <v>43930.0</v>
      </c>
      <c r="L567" s="37">
        <v>43951.0</v>
      </c>
      <c r="M567" s="85" t="s">
        <v>335</v>
      </c>
      <c r="N567" s="704" t="s">
        <v>336</v>
      </c>
      <c r="O567" s="113">
        <v>43693.0</v>
      </c>
      <c r="P567" s="37">
        <v>43830.0</v>
      </c>
      <c r="Q567" s="22"/>
      <c r="R567" s="22"/>
      <c r="S567" s="193" t="s">
        <v>97</v>
      </c>
      <c r="T567" s="181"/>
      <c r="U567" s="182" t="s">
        <v>97</v>
      </c>
      <c r="V567" s="184"/>
      <c r="W567" s="184"/>
      <c r="X567" s="184"/>
      <c r="Y567" s="184"/>
      <c r="Z567" s="184"/>
      <c r="AA567" s="184"/>
      <c r="AB567" s="184"/>
      <c r="AC567" s="184"/>
      <c r="AD567" s="186"/>
      <c r="AE567" s="187"/>
      <c r="AF567" s="184"/>
      <c r="AG567" s="187"/>
      <c r="AH567" s="189"/>
      <c r="AI567" s="189"/>
      <c r="AJ567" s="189"/>
      <c r="AK567" s="189"/>
      <c r="AL567" s="189"/>
      <c r="AM567" s="189"/>
      <c r="AN567" s="187"/>
      <c r="AO567" s="187"/>
      <c r="AP567" s="184"/>
      <c r="AQ567" s="187"/>
      <c r="AR567" s="187"/>
      <c r="AS567" s="119"/>
    </row>
    <row r="568">
      <c r="A568" s="137">
        <v>415.0</v>
      </c>
      <c r="B568" s="150"/>
      <c r="C568" s="104" t="s">
        <v>3564</v>
      </c>
      <c r="D568" s="138" t="s">
        <v>63</v>
      </c>
      <c r="E568" s="107" t="s">
        <v>550</v>
      </c>
      <c r="F568" s="101"/>
      <c r="G568" s="40" t="s">
        <v>3565</v>
      </c>
      <c r="H568" s="55" t="s">
        <v>3566</v>
      </c>
      <c r="I568" s="219" t="s">
        <v>3567</v>
      </c>
      <c r="J568" s="155"/>
      <c r="K568" s="37">
        <v>43973.0</v>
      </c>
      <c r="L568" s="37">
        <v>43976.0</v>
      </c>
      <c r="M568" s="73" t="s">
        <v>669</v>
      </c>
      <c r="N568" s="220" t="s">
        <v>670</v>
      </c>
      <c r="O568" s="113">
        <v>43922.0</v>
      </c>
      <c r="P568" s="37">
        <v>43922.0</v>
      </c>
      <c r="Q568" s="22"/>
      <c r="R568" s="22"/>
      <c r="S568" s="117"/>
      <c r="T568" s="157"/>
      <c r="U568" s="161"/>
      <c r="V568" s="161"/>
      <c r="W568" s="120" t="s">
        <v>97</v>
      </c>
      <c r="X568" s="161"/>
      <c r="Y568" s="161"/>
      <c r="Z568" s="161"/>
      <c r="AA568" s="161"/>
      <c r="AB568" s="161"/>
      <c r="AC568" s="161"/>
      <c r="AD568" s="161"/>
      <c r="AE568" s="161"/>
      <c r="AF568" s="161"/>
      <c r="AG568" s="275" t="s">
        <v>97</v>
      </c>
      <c r="AH568" s="163"/>
      <c r="AI568" s="163"/>
      <c r="AJ568" s="163"/>
      <c r="AK568" s="163"/>
      <c r="AL568" s="163"/>
      <c r="AM568" s="163"/>
      <c r="AN568" s="161"/>
      <c r="AO568" s="161"/>
      <c r="AP568" s="161"/>
      <c r="AQ568" s="161"/>
      <c r="AR568" s="161"/>
      <c r="AS568" s="119"/>
    </row>
    <row r="569">
      <c r="A569" s="137">
        <v>1011.0</v>
      </c>
      <c r="B569" s="173">
        <v>11.0</v>
      </c>
      <c r="C569" s="104" t="s">
        <v>3568</v>
      </c>
      <c r="D569" s="107" t="s">
        <v>91</v>
      </c>
      <c r="E569" s="107" t="s">
        <v>3569</v>
      </c>
      <c r="F569" s="101"/>
      <c r="G569" s="40" t="s">
        <v>3570</v>
      </c>
      <c r="H569" s="234" t="s">
        <v>3571</v>
      </c>
      <c r="I569" s="725" t="s">
        <v>3571</v>
      </c>
      <c r="J569" s="155"/>
      <c r="K569" s="22" t="s">
        <v>27</v>
      </c>
      <c r="L569" s="22" t="s">
        <v>27</v>
      </c>
      <c r="M569" s="73" t="s">
        <v>196</v>
      </c>
      <c r="N569" s="726" t="s">
        <v>29</v>
      </c>
      <c r="O569" s="22" t="s">
        <v>27</v>
      </c>
      <c r="P569" s="22" t="s">
        <v>27</v>
      </c>
      <c r="Q569" s="22"/>
      <c r="R569" s="22"/>
      <c r="S569" s="117"/>
      <c r="T569" s="236"/>
      <c r="U569" s="161"/>
      <c r="V569" s="161"/>
      <c r="W569" s="161"/>
      <c r="X569" s="161"/>
      <c r="Y569" s="233" t="s">
        <v>97</v>
      </c>
      <c r="Z569" s="161"/>
      <c r="AA569" s="161"/>
      <c r="AB569" s="161"/>
      <c r="AC569" s="161"/>
      <c r="AD569" s="161"/>
      <c r="AE569" s="161"/>
      <c r="AF569" s="161"/>
      <c r="AG569" s="237"/>
      <c r="AH569" s="163"/>
      <c r="AI569" s="163"/>
      <c r="AJ569" s="163"/>
      <c r="AK569" s="163"/>
      <c r="AL569" s="163"/>
      <c r="AM569" s="163"/>
      <c r="AN569" s="161"/>
      <c r="AO569" s="161"/>
      <c r="AP569" s="161"/>
      <c r="AQ569" s="161"/>
      <c r="AR569" s="161"/>
      <c r="AS569" s="238" t="s">
        <v>97</v>
      </c>
    </row>
    <row r="570">
      <c r="A570" s="101">
        <v>416.0</v>
      </c>
      <c r="B570" s="150"/>
      <c r="C570" s="104" t="s">
        <v>3572</v>
      </c>
      <c r="D570" s="105" t="s">
        <v>48</v>
      </c>
      <c r="E570" s="107" t="s">
        <v>48</v>
      </c>
      <c r="F570" s="101"/>
      <c r="G570" s="40" t="s">
        <v>266</v>
      </c>
      <c r="H570" s="55" t="s">
        <v>267</v>
      </c>
      <c r="I570" s="219" t="s">
        <v>269</v>
      </c>
      <c r="J570" s="20" t="s">
        <v>78</v>
      </c>
      <c r="K570" s="37">
        <v>43945.0</v>
      </c>
      <c r="L570" s="37">
        <v>43947.0</v>
      </c>
      <c r="M570" s="73" t="s">
        <v>271</v>
      </c>
      <c r="N570" s="220" t="s">
        <v>272</v>
      </c>
      <c r="O570" s="113">
        <v>43756.0</v>
      </c>
      <c r="P570" s="37">
        <v>43840.0</v>
      </c>
      <c r="Q570" s="22"/>
      <c r="R570" s="22"/>
      <c r="S570" s="117"/>
      <c r="T570" s="157"/>
      <c r="U570" s="176" t="s">
        <v>97</v>
      </c>
      <c r="V570" s="161"/>
      <c r="W570" s="161"/>
      <c r="X570" s="161"/>
      <c r="Y570" s="161"/>
      <c r="Z570" s="161"/>
      <c r="AA570" s="161"/>
      <c r="AB570" s="161"/>
      <c r="AC570" s="161"/>
      <c r="AD570" s="161"/>
      <c r="AE570" s="161"/>
      <c r="AF570" s="161"/>
      <c r="AG570" s="161"/>
      <c r="AH570" s="163"/>
      <c r="AI570" s="163"/>
      <c r="AJ570" s="163"/>
      <c r="AK570" s="163"/>
      <c r="AL570" s="163"/>
      <c r="AM570" s="163"/>
      <c r="AN570" s="161"/>
      <c r="AO570" s="161"/>
      <c r="AP570" s="161"/>
      <c r="AQ570" s="161"/>
      <c r="AR570" s="161"/>
      <c r="AS570" s="119"/>
    </row>
    <row r="571">
      <c r="A571" s="137">
        <v>848.0</v>
      </c>
      <c r="B571" s="103">
        <v>9.0</v>
      </c>
      <c r="C571" s="104" t="s">
        <v>3573</v>
      </c>
      <c r="D571" s="105" t="s">
        <v>48</v>
      </c>
      <c r="E571" s="107" t="s">
        <v>48</v>
      </c>
      <c r="F571" s="109"/>
      <c r="G571" s="10" t="s">
        <v>3574</v>
      </c>
      <c r="H571" s="17" t="s">
        <v>3575</v>
      </c>
      <c r="I571" s="727" t="s">
        <v>3576</v>
      </c>
      <c r="J571" s="112"/>
      <c r="K571" s="113">
        <v>44085.0</v>
      </c>
      <c r="L571" s="113">
        <v>44086.0</v>
      </c>
      <c r="M571" s="24" t="s">
        <v>3577</v>
      </c>
      <c r="N571" s="706" t="s">
        <v>72</v>
      </c>
      <c r="O571" s="113">
        <v>43905.0</v>
      </c>
      <c r="P571" s="113">
        <v>43997.0</v>
      </c>
      <c r="Q571" s="223"/>
      <c r="R571" s="223"/>
      <c r="S571" s="224"/>
      <c r="T571" s="118"/>
      <c r="U571" s="176" t="s">
        <v>97</v>
      </c>
      <c r="V571" s="119"/>
      <c r="W571" s="119"/>
      <c r="X571" s="119"/>
      <c r="Y571" s="119"/>
      <c r="Z571" s="119"/>
      <c r="AA571" s="119"/>
      <c r="AB571" s="119"/>
      <c r="AC571" s="119"/>
      <c r="AD571" s="119"/>
      <c r="AE571" s="119"/>
      <c r="AF571" s="119"/>
      <c r="AG571" s="119"/>
      <c r="AH571" s="121"/>
      <c r="AI571" s="121"/>
      <c r="AJ571" s="121"/>
      <c r="AK571" s="121"/>
      <c r="AL571" s="121"/>
      <c r="AM571" s="121"/>
      <c r="AN571" s="119"/>
      <c r="AO571" s="119"/>
      <c r="AP571" s="119"/>
      <c r="AQ571" s="119"/>
      <c r="AR571" s="119"/>
      <c r="AS571" s="119"/>
    </row>
    <row r="572">
      <c r="A572" s="137">
        <v>417.0</v>
      </c>
      <c r="B572" s="150"/>
      <c r="C572" s="104" t="s">
        <v>3578</v>
      </c>
      <c r="D572" s="105" t="s">
        <v>48</v>
      </c>
      <c r="E572" s="107" t="s">
        <v>48</v>
      </c>
      <c r="F572" s="101"/>
      <c r="G572" s="40" t="s">
        <v>3579</v>
      </c>
      <c r="H572" s="55" t="s">
        <v>3580</v>
      </c>
      <c r="I572" s="69" t="s">
        <v>3581</v>
      </c>
      <c r="J572" s="728"/>
      <c r="K572" s="660">
        <v>44057.0</v>
      </c>
      <c r="L572" s="660">
        <v>44059.0</v>
      </c>
      <c r="M572" s="729" t="s">
        <v>3082</v>
      </c>
      <c r="N572" s="73" t="s">
        <v>412</v>
      </c>
      <c r="O572" s="113">
        <v>43842.0</v>
      </c>
      <c r="P572" s="37">
        <v>43995.0</v>
      </c>
      <c r="Q572" s="22"/>
      <c r="R572" s="22"/>
      <c r="S572" s="117"/>
      <c r="T572" s="157"/>
      <c r="U572" s="176" t="s">
        <v>97</v>
      </c>
      <c r="V572" s="161"/>
      <c r="W572" s="161"/>
      <c r="X572" s="161"/>
      <c r="Y572" s="161"/>
      <c r="Z572" s="161"/>
      <c r="AA572" s="161"/>
      <c r="AB572" s="161"/>
      <c r="AC572" s="161"/>
      <c r="AD572" s="161"/>
      <c r="AE572" s="161"/>
      <c r="AF572" s="161"/>
      <c r="AG572" s="161"/>
      <c r="AH572" s="163"/>
      <c r="AI572" s="163"/>
      <c r="AJ572" s="163"/>
      <c r="AK572" s="163"/>
      <c r="AL572" s="163"/>
      <c r="AM572" s="163"/>
      <c r="AN572" s="161"/>
      <c r="AO572" s="161"/>
      <c r="AP572" s="161"/>
      <c r="AQ572" s="161"/>
      <c r="AR572" s="161"/>
      <c r="AS572" s="119"/>
    </row>
    <row r="573">
      <c r="A573" s="137">
        <v>999.0</v>
      </c>
      <c r="B573" s="284"/>
      <c r="C573" s="123" t="s">
        <v>3582</v>
      </c>
      <c r="D573" s="201" t="s">
        <v>91</v>
      </c>
      <c r="E573" s="107" t="s">
        <v>91</v>
      </c>
      <c r="F573" s="312"/>
      <c r="G573" s="216" t="s">
        <v>3583</v>
      </c>
      <c r="H573" s="234" t="s">
        <v>3584</v>
      </c>
      <c r="I573" s="91" t="str">
        <f>HYPERLINK("https://filmfreeway.com/MONONOAWARE","https://filmfreeway.com/MONONOAWARE")</f>
        <v>https://filmfreeway.com/MONONOAWARE</v>
      </c>
      <c r="J573" s="288"/>
      <c r="K573" s="145">
        <v>44168.0</v>
      </c>
      <c r="L573" s="145">
        <v>44177.0</v>
      </c>
      <c r="M573" s="130" t="s">
        <v>28</v>
      </c>
      <c r="N573" s="130" t="s">
        <v>29</v>
      </c>
      <c r="O573" s="145">
        <v>44135.0</v>
      </c>
      <c r="P573" s="145">
        <v>44135.0</v>
      </c>
      <c r="Q573" s="131"/>
      <c r="R573" s="132"/>
      <c r="S573" s="132"/>
      <c r="T573" s="118"/>
      <c r="U573" s="119"/>
      <c r="V573" s="119"/>
      <c r="W573" s="119"/>
      <c r="X573" s="119"/>
      <c r="Y573" s="134"/>
      <c r="Z573" s="119"/>
      <c r="AA573" s="119"/>
      <c r="AB573" s="119"/>
      <c r="AC573" s="119"/>
      <c r="AD573" s="119"/>
      <c r="AE573" s="119"/>
      <c r="AF573" s="119"/>
      <c r="AG573" s="119"/>
      <c r="AH573" s="121"/>
      <c r="AI573" s="121"/>
      <c r="AJ573" s="121"/>
      <c r="AK573" s="121"/>
      <c r="AL573" s="121"/>
      <c r="AM573" s="121"/>
      <c r="AN573" s="119"/>
      <c r="AO573" s="119"/>
      <c r="AP573" s="119"/>
      <c r="AQ573" s="119"/>
      <c r="AR573" s="119"/>
      <c r="AS573" s="238" t="s">
        <v>97</v>
      </c>
    </row>
    <row r="574">
      <c r="A574" s="137">
        <v>881.0</v>
      </c>
      <c r="B574" s="598"/>
      <c r="C574" s="130" t="s">
        <v>3585</v>
      </c>
      <c r="D574" s="357" t="s">
        <v>48</v>
      </c>
      <c r="E574" s="358" t="s">
        <v>48</v>
      </c>
      <c r="F574" s="127"/>
      <c r="G574" s="128" t="s">
        <v>2046</v>
      </c>
      <c r="H574" s="278" t="s">
        <v>3586</v>
      </c>
      <c r="I574" s="280" t="s">
        <v>3587</v>
      </c>
      <c r="J574" s="260"/>
      <c r="K574" s="282">
        <v>44112.0</v>
      </c>
      <c r="L574" s="282">
        <v>44115.0</v>
      </c>
      <c r="M574" s="130" t="s">
        <v>669</v>
      </c>
      <c r="N574" s="130" t="s">
        <v>670</v>
      </c>
      <c r="O574" s="282">
        <v>43922.0</v>
      </c>
      <c r="P574" s="282">
        <v>44038.0</v>
      </c>
      <c r="Q574" s="361"/>
      <c r="R574" s="361"/>
      <c r="S574" s="117"/>
      <c r="T574" s="265"/>
      <c r="U574" s="688" t="s">
        <v>97</v>
      </c>
      <c r="V574" s="266"/>
      <c r="W574" s="266"/>
      <c r="X574" s="266"/>
      <c r="Y574" s="266"/>
      <c r="Z574" s="266"/>
      <c r="AA574" s="266"/>
      <c r="AB574" s="266"/>
      <c r="AC574" s="266"/>
      <c r="AD574" s="266"/>
      <c r="AE574" s="266"/>
      <c r="AF574" s="266"/>
      <c r="AG574" s="266"/>
      <c r="AH574" s="266"/>
      <c r="AI574" s="266"/>
      <c r="AJ574" s="266"/>
      <c r="AK574" s="266"/>
      <c r="AL574" s="266"/>
      <c r="AM574" s="266"/>
      <c r="AN574" s="266"/>
      <c r="AO574" s="266"/>
      <c r="AP574" s="266"/>
      <c r="AQ574" s="266"/>
      <c r="AR574" s="266"/>
      <c r="AS574" s="119"/>
    </row>
    <row r="575">
      <c r="A575" s="101">
        <v>762.0</v>
      </c>
      <c r="B575" s="197"/>
      <c r="C575" s="104" t="s">
        <v>3588</v>
      </c>
      <c r="D575" s="105" t="s">
        <v>48</v>
      </c>
      <c r="E575" s="107" t="s">
        <v>48</v>
      </c>
      <c r="F575" s="109"/>
      <c r="G575" s="10" t="s">
        <v>1012</v>
      </c>
      <c r="H575" s="17" t="s">
        <v>1013</v>
      </c>
      <c r="I575" s="34" t="s">
        <v>1015</v>
      </c>
      <c r="J575" s="222" t="s">
        <v>78</v>
      </c>
      <c r="K575" s="113">
        <v>43952.0</v>
      </c>
      <c r="L575" s="113">
        <v>43961.0</v>
      </c>
      <c r="M575" s="24" t="s">
        <v>1018</v>
      </c>
      <c r="N575" s="24" t="s">
        <v>412</v>
      </c>
      <c r="O575" s="114">
        <v>43784.0</v>
      </c>
      <c r="P575" s="114">
        <v>43847.0</v>
      </c>
      <c r="Q575" s="115"/>
      <c r="R575" s="115"/>
      <c r="S575" s="193" t="s">
        <v>97</v>
      </c>
      <c r="T575" s="118"/>
      <c r="U575" s="176" t="s">
        <v>97</v>
      </c>
      <c r="V575" s="119"/>
      <c r="W575" s="119"/>
      <c r="X575" s="119"/>
      <c r="Y575" s="119"/>
      <c r="Z575" s="119"/>
      <c r="AA575" s="119"/>
      <c r="AB575" s="119"/>
      <c r="AC575" s="119"/>
      <c r="AD575" s="119"/>
      <c r="AE575" s="119"/>
      <c r="AF575" s="119"/>
      <c r="AG575" s="119"/>
      <c r="AH575" s="121"/>
      <c r="AI575" s="121"/>
      <c r="AJ575" s="121"/>
      <c r="AK575" s="121"/>
      <c r="AL575" s="121"/>
      <c r="AM575" s="121"/>
      <c r="AN575" s="119"/>
      <c r="AO575" s="119"/>
      <c r="AP575" s="119"/>
      <c r="AQ575" s="119"/>
      <c r="AR575" s="119"/>
      <c r="AS575" s="119"/>
    </row>
    <row r="576">
      <c r="A576" s="101">
        <v>878.0</v>
      </c>
      <c r="B576" s="730">
        <v>0.0</v>
      </c>
      <c r="C576" s="170" t="s">
        <v>3589</v>
      </c>
      <c r="D576" s="357" t="s">
        <v>52</v>
      </c>
      <c r="E576" s="358" t="s">
        <v>52</v>
      </c>
      <c r="F576" s="359"/>
      <c r="G576" s="159" t="s">
        <v>2039</v>
      </c>
      <c r="H576" s="166" t="s">
        <v>3590</v>
      </c>
      <c r="I576" s="280" t="s">
        <v>3591</v>
      </c>
      <c r="J576" s="112"/>
      <c r="K576" s="113">
        <v>44036.0</v>
      </c>
      <c r="L576" s="113">
        <v>44037.0</v>
      </c>
      <c r="M576" s="170" t="s">
        <v>3592</v>
      </c>
      <c r="N576" s="170" t="s">
        <v>484</v>
      </c>
      <c r="O576" s="113">
        <v>43915.0</v>
      </c>
      <c r="P576" s="113">
        <v>43978.0</v>
      </c>
      <c r="Q576" s="361"/>
      <c r="R576" s="361"/>
      <c r="S576" s="117"/>
      <c r="T576" s="265"/>
      <c r="U576" s="266"/>
      <c r="V576" s="266"/>
      <c r="W576" s="267" t="s">
        <v>97</v>
      </c>
      <c r="X576" s="266"/>
      <c r="Y576" s="266"/>
      <c r="Z576" s="266"/>
      <c r="AA576" s="266"/>
      <c r="AB576" s="266"/>
      <c r="AC576" s="266"/>
      <c r="AD576" s="266"/>
      <c r="AE576" s="266"/>
      <c r="AF576" s="266"/>
      <c r="AG576" s="266"/>
      <c r="AH576" s="266"/>
      <c r="AI576" s="266"/>
      <c r="AJ576" s="266"/>
      <c r="AK576" s="266"/>
      <c r="AL576" s="266"/>
      <c r="AM576" s="266"/>
      <c r="AN576" s="266"/>
      <c r="AO576" s="266"/>
      <c r="AP576" s="266"/>
      <c r="AQ576" s="266"/>
      <c r="AR576" s="266"/>
      <c r="AS576" s="119"/>
    </row>
    <row r="577">
      <c r="A577" s="137">
        <v>418.0</v>
      </c>
      <c r="B577" s="150"/>
      <c r="C577" s="104" t="s">
        <v>3593</v>
      </c>
      <c r="D577" s="105" t="s">
        <v>48</v>
      </c>
      <c r="E577" s="107" t="s">
        <v>48</v>
      </c>
      <c r="F577" s="101"/>
      <c r="G577" s="40" t="s">
        <v>3594</v>
      </c>
      <c r="H577" s="55" t="s">
        <v>3595</v>
      </c>
      <c r="I577" s="69" t="s">
        <v>3596</v>
      </c>
      <c r="J577" s="155"/>
      <c r="K577" s="37">
        <v>44092.0</v>
      </c>
      <c r="L577" s="37">
        <v>44094.0</v>
      </c>
      <c r="M577" s="73" t="s">
        <v>3597</v>
      </c>
      <c r="N577" s="73" t="s">
        <v>231</v>
      </c>
      <c r="O577" s="113">
        <v>43830.0</v>
      </c>
      <c r="P577" s="37">
        <v>43981.0</v>
      </c>
      <c r="Q577" s="22"/>
      <c r="R577" s="22"/>
      <c r="S577" s="117"/>
      <c r="T577" s="157"/>
      <c r="U577" s="176" t="s">
        <v>97</v>
      </c>
      <c r="V577" s="161"/>
      <c r="W577" s="161"/>
      <c r="X577" s="161"/>
      <c r="Y577" s="161"/>
      <c r="Z577" s="161"/>
      <c r="AA577" s="161"/>
      <c r="AB577" s="161"/>
      <c r="AC577" s="161"/>
      <c r="AD577" s="161"/>
      <c r="AE577" s="161"/>
      <c r="AF577" s="161"/>
      <c r="AG577" s="161"/>
      <c r="AH577" s="163"/>
      <c r="AI577" s="163"/>
      <c r="AJ577" s="163"/>
      <c r="AK577" s="163"/>
      <c r="AL577" s="163"/>
      <c r="AM577" s="163"/>
      <c r="AN577" s="161"/>
      <c r="AO577" s="161"/>
      <c r="AP577" s="161"/>
      <c r="AQ577" s="161"/>
      <c r="AR577" s="161"/>
      <c r="AS577" s="119"/>
    </row>
    <row r="578">
      <c r="A578" s="137">
        <v>419.0</v>
      </c>
      <c r="B578" s="150"/>
      <c r="C578" s="104" t="s">
        <v>3598</v>
      </c>
      <c r="D578" s="138" t="s">
        <v>63</v>
      </c>
      <c r="E578" s="107" t="s">
        <v>1297</v>
      </c>
      <c r="F578" s="101"/>
      <c r="G578" s="40" t="s">
        <v>257</v>
      </c>
      <c r="H578" s="55" t="s">
        <v>258</v>
      </c>
      <c r="I578" s="69" t="s">
        <v>262</v>
      </c>
      <c r="J578" s="20" t="s">
        <v>264</v>
      </c>
      <c r="K578" s="37">
        <v>43945.0</v>
      </c>
      <c r="L578" s="37">
        <v>43947.0</v>
      </c>
      <c r="M578" s="73" t="s">
        <v>265</v>
      </c>
      <c r="N578" s="73" t="s">
        <v>155</v>
      </c>
      <c r="O578" s="113">
        <v>43769.0</v>
      </c>
      <c r="P578" s="37">
        <v>43875.0</v>
      </c>
      <c r="Q578" s="22"/>
      <c r="R578" s="22"/>
      <c r="S578" s="117"/>
      <c r="T578" s="157"/>
      <c r="U578" s="161"/>
      <c r="V578" s="161"/>
      <c r="W578" s="161"/>
      <c r="X578" s="161"/>
      <c r="Y578" s="161"/>
      <c r="Z578" s="161"/>
      <c r="AA578" s="161"/>
      <c r="AB578" s="161"/>
      <c r="AC578" s="161"/>
      <c r="AD578" s="161"/>
      <c r="AE578" s="161"/>
      <c r="AF578" s="161"/>
      <c r="AG578" s="275" t="s">
        <v>97</v>
      </c>
      <c r="AH578" s="163"/>
      <c r="AI578" s="163"/>
      <c r="AJ578" s="163"/>
      <c r="AK578" s="163"/>
      <c r="AL578" s="163"/>
      <c r="AM578" s="163"/>
      <c r="AN578" s="161"/>
      <c r="AO578" s="161"/>
      <c r="AP578" s="161"/>
      <c r="AQ578" s="161"/>
      <c r="AR578" s="161"/>
      <c r="AS578" s="119"/>
    </row>
    <row r="579">
      <c r="A579" s="101">
        <v>420.0</v>
      </c>
      <c r="B579" s="150">
        <v>9.0</v>
      </c>
      <c r="C579" s="104" t="s">
        <v>3599</v>
      </c>
      <c r="D579" s="138" t="s">
        <v>75</v>
      </c>
      <c r="E579" s="107" t="s">
        <v>345</v>
      </c>
      <c r="F579" s="101"/>
      <c r="G579" s="40" t="s">
        <v>3600</v>
      </c>
      <c r="H579" s="55" t="s">
        <v>3601</v>
      </c>
      <c r="I579" s="69" t="s">
        <v>3602</v>
      </c>
      <c r="J579" s="155"/>
      <c r="K579" s="22" t="s">
        <v>27</v>
      </c>
      <c r="L579" s="22" t="s">
        <v>27</v>
      </c>
      <c r="M579" s="73" t="s">
        <v>3603</v>
      </c>
      <c r="N579" s="73" t="s">
        <v>72</v>
      </c>
      <c r="O579" s="22" t="s">
        <v>27</v>
      </c>
      <c r="P579" s="22" t="s">
        <v>27</v>
      </c>
      <c r="Q579" s="22"/>
      <c r="R579" s="22"/>
      <c r="S579" s="117"/>
      <c r="T579" s="157" t="s">
        <v>50</v>
      </c>
      <c r="U579" s="161"/>
      <c r="V579" s="161"/>
      <c r="W579" s="161"/>
      <c r="X579" s="161"/>
      <c r="Y579" s="161"/>
      <c r="Z579" s="161"/>
      <c r="AA579" s="161"/>
      <c r="AB579" s="161"/>
      <c r="AC579" s="161"/>
      <c r="AD579" s="161"/>
      <c r="AE579" s="161"/>
      <c r="AF579" s="161"/>
      <c r="AG579" s="161"/>
      <c r="AH579" s="163"/>
      <c r="AI579" s="163"/>
      <c r="AJ579" s="163"/>
      <c r="AK579" s="163"/>
      <c r="AL579" s="163"/>
      <c r="AM579" s="163"/>
      <c r="AN579" s="143" t="s">
        <v>97</v>
      </c>
      <c r="AO579" s="161"/>
      <c r="AP579" s="161"/>
      <c r="AQ579" s="161"/>
      <c r="AR579" s="161"/>
      <c r="AS579" s="119"/>
    </row>
    <row r="580">
      <c r="A580" s="137">
        <v>421.0</v>
      </c>
      <c r="B580" s="177"/>
      <c r="C580" s="104" t="s">
        <v>3604</v>
      </c>
      <c r="D580" s="105" t="s">
        <v>51</v>
      </c>
      <c r="E580" s="107" t="s">
        <v>3605</v>
      </c>
      <c r="F580" s="178"/>
      <c r="G580" s="77" t="s">
        <v>232</v>
      </c>
      <c r="H580" s="81" t="s">
        <v>233</v>
      </c>
      <c r="I580" s="84" t="s">
        <v>236</v>
      </c>
      <c r="J580" s="20" t="s">
        <v>237</v>
      </c>
      <c r="K580" s="37">
        <v>43973.0</v>
      </c>
      <c r="L580" s="37">
        <v>43976.0</v>
      </c>
      <c r="M580" s="85" t="s">
        <v>238</v>
      </c>
      <c r="N580" s="85" t="s">
        <v>110</v>
      </c>
      <c r="O580" s="113">
        <v>43812.0</v>
      </c>
      <c r="P580" s="37">
        <v>43864.0</v>
      </c>
      <c r="Q580" s="22"/>
      <c r="R580" s="22"/>
      <c r="S580" s="117"/>
      <c r="T580" s="181"/>
      <c r="U580" s="184"/>
      <c r="V580" s="536" t="s">
        <v>97</v>
      </c>
      <c r="W580" s="184"/>
      <c r="X580" s="184"/>
      <c r="Y580" s="184"/>
      <c r="Z580" s="184"/>
      <c r="AA580" s="184"/>
      <c r="AB580" s="184"/>
      <c r="AC580" s="184"/>
      <c r="AD580" s="186"/>
      <c r="AE580" s="187"/>
      <c r="AF580" s="184"/>
      <c r="AG580" s="187"/>
      <c r="AH580" s="189"/>
      <c r="AI580" s="189"/>
      <c r="AJ580" s="189"/>
      <c r="AK580" s="189"/>
      <c r="AL580" s="189"/>
      <c r="AM580" s="189"/>
      <c r="AN580" s="143" t="s">
        <v>97</v>
      </c>
      <c r="AO580" s="413"/>
      <c r="AP580" s="184"/>
      <c r="AQ580" s="187"/>
      <c r="AR580" s="187"/>
      <c r="AS580" s="119"/>
    </row>
    <row r="581">
      <c r="A581" s="137">
        <v>422.0</v>
      </c>
      <c r="B581" s="150">
        <v>5.0</v>
      </c>
      <c r="C581" s="104" t="s">
        <v>3606</v>
      </c>
      <c r="D581" s="105" t="s">
        <v>65</v>
      </c>
      <c r="E581" s="107" t="s">
        <v>65</v>
      </c>
      <c r="F581" s="101"/>
      <c r="G581" s="40" t="s">
        <v>3607</v>
      </c>
      <c r="H581" s="55" t="s">
        <v>3608</v>
      </c>
      <c r="I581" s="69" t="s">
        <v>3609</v>
      </c>
      <c r="J581" s="112"/>
      <c r="K581" s="113">
        <v>43973.0</v>
      </c>
      <c r="L581" s="113">
        <v>43975.0</v>
      </c>
      <c r="M581" s="73" t="s">
        <v>3610</v>
      </c>
      <c r="N581" s="73" t="s">
        <v>212</v>
      </c>
      <c r="O581" s="113">
        <v>43905.0</v>
      </c>
      <c r="P581" s="113">
        <v>43905.0</v>
      </c>
      <c r="Q581" s="22"/>
      <c r="R581" s="22"/>
      <c r="S581" s="117"/>
      <c r="T581" s="157"/>
      <c r="U581" s="161"/>
      <c r="V581" s="161"/>
      <c r="W581" s="161"/>
      <c r="X581" s="161"/>
      <c r="Y581" s="161"/>
      <c r="Z581" s="161"/>
      <c r="AA581" s="161"/>
      <c r="AB581" s="161"/>
      <c r="AC581" s="161"/>
      <c r="AD581" s="161"/>
      <c r="AE581" s="161"/>
      <c r="AF581" s="161"/>
      <c r="AG581" s="161"/>
      <c r="AH581" s="163"/>
      <c r="AI581" s="283" t="s">
        <v>97</v>
      </c>
      <c r="AJ581" s="163"/>
      <c r="AK581" s="163"/>
      <c r="AL581" s="163"/>
      <c r="AM581" s="163"/>
      <c r="AN581" s="161"/>
      <c r="AO581" s="161"/>
      <c r="AP581" s="161"/>
      <c r="AQ581" s="161"/>
      <c r="AR581" s="161"/>
      <c r="AS581" s="119"/>
    </row>
    <row r="582">
      <c r="A582" s="101">
        <v>423.0</v>
      </c>
      <c r="B582" s="150">
        <v>11.0</v>
      </c>
      <c r="C582" s="104" t="s">
        <v>3611</v>
      </c>
      <c r="D582" s="105" t="s">
        <v>52</v>
      </c>
      <c r="E582" s="107" t="s">
        <v>52</v>
      </c>
      <c r="F582" s="101"/>
      <c r="G582" s="40" t="s">
        <v>3612</v>
      </c>
      <c r="H582" s="55" t="s">
        <v>3613</v>
      </c>
      <c r="I582" s="69" t="s">
        <v>3614</v>
      </c>
      <c r="J582" s="155"/>
      <c r="K582" s="22" t="s">
        <v>27</v>
      </c>
      <c r="L582" s="22" t="s">
        <v>27</v>
      </c>
      <c r="M582" s="73" t="s">
        <v>3615</v>
      </c>
      <c r="N582" s="73" t="s">
        <v>139</v>
      </c>
      <c r="O582" s="22" t="s">
        <v>27</v>
      </c>
      <c r="P582" s="22" t="s">
        <v>27</v>
      </c>
      <c r="Q582" s="22"/>
      <c r="R582" s="22"/>
      <c r="S582" s="117"/>
      <c r="T582" s="157"/>
      <c r="U582" s="161"/>
      <c r="V582" s="161"/>
      <c r="W582" s="120" t="s">
        <v>97</v>
      </c>
      <c r="X582" s="161"/>
      <c r="Y582" s="161"/>
      <c r="Z582" s="161"/>
      <c r="AA582" s="161"/>
      <c r="AB582" s="161"/>
      <c r="AC582" s="161"/>
      <c r="AD582" s="161"/>
      <c r="AE582" s="161"/>
      <c r="AF582" s="161"/>
      <c r="AG582" s="161"/>
      <c r="AH582" s="163"/>
      <c r="AI582" s="163"/>
      <c r="AJ582" s="163"/>
      <c r="AK582" s="163"/>
      <c r="AL582" s="163"/>
      <c r="AM582" s="163"/>
      <c r="AN582" s="161"/>
      <c r="AO582" s="161"/>
      <c r="AP582" s="161"/>
      <c r="AQ582" s="161"/>
      <c r="AR582" s="161"/>
      <c r="AS582" s="119"/>
    </row>
    <row r="583">
      <c r="A583" s="137">
        <v>849.0</v>
      </c>
      <c r="B583" s="103">
        <v>12.0</v>
      </c>
      <c r="C583" s="104" t="s">
        <v>3616</v>
      </c>
      <c r="D583" s="105" t="s">
        <v>70</v>
      </c>
      <c r="E583" s="107" t="s">
        <v>1326</v>
      </c>
      <c r="F583" s="109"/>
      <c r="G583" s="10" t="s">
        <v>3617</v>
      </c>
      <c r="H583" s="17" t="s">
        <v>3618</v>
      </c>
      <c r="I583" s="111" t="s">
        <v>3619</v>
      </c>
      <c r="J583" s="112"/>
      <c r="K583" s="113">
        <v>44010.0</v>
      </c>
      <c r="L583" s="113">
        <v>44013.0</v>
      </c>
      <c r="M583" s="24" t="s">
        <v>3620</v>
      </c>
      <c r="N583" s="24" t="s">
        <v>72</v>
      </c>
      <c r="O583" s="113">
        <v>43862.0</v>
      </c>
      <c r="P583" s="113">
        <v>43952.0</v>
      </c>
      <c r="Q583" s="223"/>
      <c r="R583" s="223"/>
      <c r="S583" s="224"/>
      <c r="T583" s="118"/>
      <c r="U583" s="119"/>
      <c r="V583" s="119"/>
      <c r="W583" s="120" t="s">
        <v>97</v>
      </c>
      <c r="X583" s="119"/>
      <c r="Y583" s="119"/>
      <c r="Z583" s="119"/>
      <c r="AA583" s="119"/>
      <c r="AB583" s="119"/>
      <c r="AC583" s="119"/>
      <c r="AD583" s="119"/>
      <c r="AE583" s="119"/>
      <c r="AF583" s="119"/>
      <c r="AG583" s="119"/>
      <c r="AH583" s="121"/>
      <c r="AI583" s="121"/>
      <c r="AJ583" s="121"/>
      <c r="AK583" s="121"/>
      <c r="AL583" s="149" t="s">
        <v>97</v>
      </c>
      <c r="AM583" s="121"/>
      <c r="AN583" s="119"/>
      <c r="AO583" s="119"/>
      <c r="AP583" s="119"/>
      <c r="AQ583" s="119"/>
      <c r="AR583" s="119"/>
      <c r="AS583" s="119"/>
    </row>
    <row r="584">
      <c r="A584" s="137">
        <v>424.0</v>
      </c>
      <c r="B584" s="177"/>
      <c r="C584" s="104" t="s">
        <v>3621</v>
      </c>
      <c r="D584" s="105" t="s">
        <v>48</v>
      </c>
      <c r="E584" s="107" t="s">
        <v>48</v>
      </c>
      <c r="F584" s="178"/>
      <c r="G584" s="77" t="s">
        <v>3622</v>
      </c>
      <c r="H584" s="81" t="s">
        <v>3623</v>
      </c>
      <c r="I584" s="84" t="s">
        <v>3624</v>
      </c>
      <c r="J584" s="155"/>
      <c r="K584" s="37">
        <v>43942.0</v>
      </c>
      <c r="L584" s="37">
        <v>43946.0</v>
      </c>
      <c r="M584" s="85" t="s">
        <v>3625</v>
      </c>
      <c r="N584" s="85" t="s">
        <v>489</v>
      </c>
      <c r="O584" s="113">
        <v>43735.0</v>
      </c>
      <c r="P584" s="37">
        <v>43826.0</v>
      </c>
      <c r="Q584" s="22"/>
      <c r="R584" s="22"/>
      <c r="S584" s="117"/>
      <c r="T584" s="181"/>
      <c r="U584" s="182" t="s">
        <v>97</v>
      </c>
      <c r="V584" s="184"/>
      <c r="W584" s="184"/>
      <c r="X584" s="184"/>
      <c r="Y584" s="184"/>
      <c r="Z584" s="184"/>
      <c r="AA584" s="184"/>
      <c r="AB584" s="184"/>
      <c r="AC584" s="184"/>
      <c r="AD584" s="186"/>
      <c r="AE584" s="187"/>
      <c r="AF584" s="184"/>
      <c r="AG584" s="187"/>
      <c r="AH584" s="189"/>
      <c r="AI584" s="189"/>
      <c r="AJ584" s="189"/>
      <c r="AK584" s="189"/>
      <c r="AL584" s="189"/>
      <c r="AM584" s="189"/>
      <c r="AN584" s="187"/>
      <c r="AO584" s="187"/>
      <c r="AP584" s="184"/>
      <c r="AQ584" s="187"/>
      <c r="AR584" s="187"/>
      <c r="AS584" s="119"/>
    </row>
    <row r="585">
      <c r="A585" s="137">
        <v>425.0</v>
      </c>
      <c r="B585" s="150"/>
      <c r="C585" s="104" t="s">
        <v>3626</v>
      </c>
      <c r="D585" s="138" t="s">
        <v>63</v>
      </c>
      <c r="E585" s="107" t="s">
        <v>1297</v>
      </c>
      <c r="F585" s="101"/>
      <c r="G585" s="40" t="s">
        <v>3627</v>
      </c>
      <c r="H585" s="55" t="s">
        <v>3628</v>
      </c>
      <c r="I585" s="69" t="s">
        <v>3629</v>
      </c>
      <c r="J585" s="155"/>
      <c r="K585" s="37">
        <v>43889.0</v>
      </c>
      <c r="L585" s="37">
        <v>43891.0</v>
      </c>
      <c r="M585" s="174" t="s">
        <v>3630</v>
      </c>
      <c r="N585" s="73" t="s">
        <v>291</v>
      </c>
      <c r="O585" s="113">
        <v>43769.0</v>
      </c>
      <c r="P585" s="37">
        <v>43799.0</v>
      </c>
      <c r="Q585" s="22"/>
      <c r="R585" s="22"/>
      <c r="S585" s="117"/>
      <c r="T585" s="157"/>
      <c r="U585" s="161"/>
      <c r="V585" s="161"/>
      <c r="W585" s="161"/>
      <c r="X585" s="161"/>
      <c r="Y585" s="161"/>
      <c r="Z585" s="161"/>
      <c r="AA585" s="161"/>
      <c r="AB585" s="161"/>
      <c r="AC585" s="161"/>
      <c r="AD585" s="161"/>
      <c r="AE585" s="161"/>
      <c r="AF585" s="161"/>
      <c r="AG585" s="275" t="s">
        <v>97</v>
      </c>
      <c r="AH585" s="163"/>
      <c r="AI585" s="163"/>
      <c r="AJ585" s="163"/>
      <c r="AK585" s="163"/>
      <c r="AL585" s="163"/>
      <c r="AM585" s="163"/>
      <c r="AN585" s="161"/>
      <c r="AO585" s="161"/>
      <c r="AP585" s="161"/>
      <c r="AQ585" s="161"/>
      <c r="AR585" s="161"/>
      <c r="AS585" s="119"/>
    </row>
    <row r="586">
      <c r="A586" s="101">
        <v>426.0</v>
      </c>
      <c r="B586" s="150"/>
      <c r="C586" s="104" t="s">
        <v>3631</v>
      </c>
      <c r="D586" s="105" t="s">
        <v>48</v>
      </c>
      <c r="E586" s="107" t="s">
        <v>48</v>
      </c>
      <c r="F586" s="101"/>
      <c r="G586" s="40" t="s">
        <v>3632</v>
      </c>
      <c r="H586" s="55" t="s">
        <v>3633</v>
      </c>
      <c r="I586" s="69" t="s">
        <v>3634</v>
      </c>
      <c r="J586" s="155"/>
      <c r="K586" s="37">
        <v>43881.0</v>
      </c>
      <c r="L586" s="37">
        <v>43883.0</v>
      </c>
      <c r="M586" s="174" t="s">
        <v>3635</v>
      </c>
      <c r="N586" s="73" t="s">
        <v>102</v>
      </c>
      <c r="O586" s="113">
        <v>43739.0</v>
      </c>
      <c r="P586" s="37">
        <v>43831.0</v>
      </c>
      <c r="Q586" s="22"/>
      <c r="R586" s="22"/>
      <c r="S586" s="117"/>
      <c r="T586" s="157"/>
      <c r="U586" s="176" t="s">
        <v>97</v>
      </c>
      <c r="V586" s="161"/>
      <c r="W586" s="161"/>
      <c r="X586" s="161"/>
      <c r="Y586" s="161"/>
      <c r="Z586" s="161"/>
      <c r="AA586" s="161"/>
      <c r="AB586" s="161"/>
      <c r="AC586" s="161"/>
      <c r="AD586" s="161"/>
      <c r="AE586" s="161"/>
      <c r="AF586" s="161"/>
      <c r="AG586" s="161"/>
      <c r="AH586" s="163"/>
      <c r="AI586" s="163"/>
      <c r="AJ586" s="163"/>
      <c r="AK586" s="163"/>
      <c r="AL586" s="163"/>
      <c r="AM586" s="163"/>
      <c r="AN586" s="161"/>
      <c r="AO586" s="161"/>
      <c r="AP586" s="161"/>
      <c r="AQ586" s="161"/>
      <c r="AR586" s="161"/>
      <c r="AS586" s="119"/>
    </row>
    <row r="587">
      <c r="A587" s="137">
        <v>427.0</v>
      </c>
      <c r="B587" s="177"/>
      <c r="C587" s="104" t="s">
        <v>3636</v>
      </c>
      <c r="D587" s="105" t="s">
        <v>48</v>
      </c>
      <c r="E587" s="107" t="s">
        <v>48</v>
      </c>
      <c r="F587" s="178"/>
      <c r="G587" s="77" t="s">
        <v>73</v>
      </c>
      <c r="H587" s="81" t="s">
        <v>74</v>
      </c>
      <c r="I587" s="84" t="s">
        <v>76</v>
      </c>
      <c r="J587" s="20" t="s">
        <v>78</v>
      </c>
      <c r="K587" s="37">
        <v>44005.0</v>
      </c>
      <c r="L587" s="37">
        <v>44011.0</v>
      </c>
      <c r="M587" s="85" t="s">
        <v>79</v>
      </c>
      <c r="N587" s="85" t="s">
        <v>80</v>
      </c>
      <c r="O587" s="113">
        <v>43756.0</v>
      </c>
      <c r="P587" s="37">
        <v>43901.0</v>
      </c>
      <c r="Q587" s="22"/>
      <c r="R587" s="22"/>
      <c r="S587" s="117"/>
      <c r="T587" s="181"/>
      <c r="U587" s="182" t="s">
        <v>97</v>
      </c>
      <c r="V587" s="184"/>
      <c r="W587" s="184"/>
      <c r="X587" s="184"/>
      <c r="Y587" s="184"/>
      <c r="Z587" s="184"/>
      <c r="AA587" s="184"/>
      <c r="AB587" s="184"/>
      <c r="AC587" s="184"/>
      <c r="AD587" s="186"/>
      <c r="AE587" s="187"/>
      <c r="AF587" s="184"/>
      <c r="AG587" s="187"/>
      <c r="AH587" s="189"/>
      <c r="AI587" s="189"/>
      <c r="AJ587" s="189"/>
      <c r="AK587" s="189"/>
      <c r="AL587" s="189"/>
      <c r="AM587" s="189"/>
      <c r="AN587" s="187"/>
      <c r="AO587" s="187"/>
      <c r="AP587" s="184"/>
      <c r="AQ587" s="187"/>
      <c r="AR587" s="187"/>
      <c r="AS587" s="119"/>
    </row>
    <row r="588">
      <c r="A588" s="137">
        <v>821.0</v>
      </c>
      <c r="B588" s="197">
        <v>11.0</v>
      </c>
      <c r="C588" s="104" t="s">
        <v>3637</v>
      </c>
      <c r="D588" s="105" t="s">
        <v>48</v>
      </c>
      <c r="E588" s="107" t="s">
        <v>48</v>
      </c>
      <c r="F588" s="109"/>
      <c r="G588" s="10" t="s">
        <v>2147</v>
      </c>
      <c r="H588" s="17" t="s">
        <v>3638</v>
      </c>
      <c r="I588" s="34" t="s">
        <v>3639</v>
      </c>
      <c r="J588" s="112"/>
      <c r="K588" s="113">
        <v>44146.0</v>
      </c>
      <c r="L588" s="113">
        <v>44150.0</v>
      </c>
      <c r="M588" s="24" t="s">
        <v>3640</v>
      </c>
      <c r="N588" s="24" t="s">
        <v>72</v>
      </c>
      <c r="O588" s="113">
        <v>43875.0</v>
      </c>
      <c r="P588" s="113">
        <v>43987.0</v>
      </c>
      <c r="Q588" s="223"/>
      <c r="R588" s="223"/>
      <c r="S588" s="203" t="s">
        <v>97</v>
      </c>
      <c r="T588" s="118"/>
      <c r="U588" s="176" t="s">
        <v>97</v>
      </c>
      <c r="V588" s="119"/>
      <c r="W588" s="119"/>
      <c r="X588" s="119"/>
      <c r="Y588" s="119"/>
      <c r="Z588" s="119"/>
      <c r="AA588" s="119"/>
      <c r="AB588" s="119"/>
      <c r="AC588" s="119"/>
      <c r="AD588" s="119"/>
      <c r="AE588" s="119"/>
      <c r="AF588" s="119"/>
      <c r="AG588" s="119"/>
      <c r="AH588" s="121"/>
      <c r="AI588" s="121"/>
      <c r="AJ588" s="121"/>
      <c r="AK588" s="121"/>
      <c r="AL588" s="121"/>
      <c r="AM588" s="121"/>
      <c r="AN588" s="119"/>
      <c r="AO588" s="119"/>
      <c r="AP588" s="119"/>
      <c r="AQ588" s="119"/>
      <c r="AR588" s="119"/>
      <c r="AS588" s="119"/>
    </row>
    <row r="589">
      <c r="A589" s="101">
        <v>850.0</v>
      </c>
      <c r="B589" s="103">
        <v>10.0</v>
      </c>
      <c r="C589" s="104" t="s">
        <v>3641</v>
      </c>
      <c r="D589" s="105" t="s">
        <v>48</v>
      </c>
      <c r="E589" s="107" t="s">
        <v>48</v>
      </c>
      <c r="F589" s="109"/>
      <c r="G589" s="10" t="s">
        <v>3642</v>
      </c>
      <c r="H589" s="17" t="s">
        <v>3643</v>
      </c>
      <c r="I589" s="111" t="s">
        <v>3644</v>
      </c>
      <c r="J589" s="112"/>
      <c r="K589" s="113">
        <v>44126.0</v>
      </c>
      <c r="L589" s="113">
        <v>44129.0</v>
      </c>
      <c r="M589" s="24" t="s">
        <v>3645</v>
      </c>
      <c r="N589" s="24" t="s">
        <v>46</v>
      </c>
      <c r="O589" s="113">
        <v>43951.0</v>
      </c>
      <c r="P589" s="113">
        <v>44014.0</v>
      </c>
      <c r="Q589" s="223"/>
      <c r="R589" s="223"/>
      <c r="S589" s="203" t="s">
        <v>97</v>
      </c>
      <c r="T589" s="118"/>
      <c r="U589" s="176" t="s">
        <v>97</v>
      </c>
      <c r="V589" s="119"/>
      <c r="W589" s="119"/>
      <c r="X589" s="119"/>
      <c r="Y589" s="119"/>
      <c r="Z589" s="119"/>
      <c r="AA589" s="119"/>
      <c r="AB589" s="119"/>
      <c r="AC589" s="119"/>
      <c r="AD589" s="119"/>
      <c r="AE589" s="119"/>
      <c r="AF589" s="119"/>
      <c r="AG589" s="119"/>
      <c r="AH589" s="121"/>
      <c r="AI589" s="121"/>
      <c r="AJ589" s="121"/>
      <c r="AK589" s="121"/>
      <c r="AL589" s="121"/>
      <c r="AM589" s="121"/>
      <c r="AN589" s="119"/>
      <c r="AO589" s="119"/>
      <c r="AP589" s="119"/>
      <c r="AQ589" s="119"/>
      <c r="AR589" s="119"/>
      <c r="AS589" s="119"/>
    </row>
    <row r="590">
      <c r="A590" s="137">
        <v>428.0</v>
      </c>
      <c r="B590" s="177">
        <v>10.0</v>
      </c>
      <c r="C590" s="104" t="s">
        <v>3646</v>
      </c>
      <c r="D590" s="105" t="s">
        <v>48</v>
      </c>
      <c r="E590" s="107" t="s">
        <v>48</v>
      </c>
      <c r="F590" s="178"/>
      <c r="G590" s="77" t="s">
        <v>3647</v>
      </c>
      <c r="H590" s="81" t="s">
        <v>3648</v>
      </c>
      <c r="I590" s="84" t="s">
        <v>3649</v>
      </c>
      <c r="J590" s="155"/>
      <c r="K590" s="37">
        <v>44105.0</v>
      </c>
      <c r="L590" s="37">
        <v>44111.0</v>
      </c>
      <c r="M590" s="85" t="s">
        <v>2406</v>
      </c>
      <c r="N590" s="85" t="s">
        <v>303</v>
      </c>
      <c r="O590" s="37">
        <v>43917.0</v>
      </c>
      <c r="P590" s="37">
        <v>44008.0</v>
      </c>
      <c r="Q590" s="200" t="s">
        <v>222</v>
      </c>
      <c r="R590" s="200" t="s">
        <v>222</v>
      </c>
      <c r="S590" s="203" t="s">
        <v>97</v>
      </c>
      <c r="T590" s="181"/>
      <c r="U590" s="182" t="s">
        <v>97</v>
      </c>
      <c r="V590" s="184"/>
      <c r="W590" s="184"/>
      <c r="X590" s="184"/>
      <c r="Y590" s="184"/>
      <c r="Z590" s="184"/>
      <c r="AA590" s="184"/>
      <c r="AB590" s="184"/>
      <c r="AC590" s="184"/>
      <c r="AD590" s="186"/>
      <c r="AE590" s="187"/>
      <c r="AF590" s="184"/>
      <c r="AG590" s="187"/>
      <c r="AH590" s="189"/>
      <c r="AI590" s="189"/>
      <c r="AJ590" s="189"/>
      <c r="AK590" s="189"/>
      <c r="AL590" s="189"/>
      <c r="AM590" s="189"/>
      <c r="AN590" s="187"/>
      <c r="AO590" s="187"/>
      <c r="AP590" s="184"/>
      <c r="AQ590" s="187"/>
      <c r="AR590" s="187"/>
      <c r="AS590" s="119"/>
    </row>
    <row r="591">
      <c r="A591" s="101">
        <v>429.0</v>
      </c>
      <c r="B591" s="315">
        <v>10.0</v>
      </c>
      <c r="C591" s="104" t="s">
        <v>3650</v>
      </c>
      <c r="D591" s="296" t="s">
        <v>55</v>
      </c>
      <c r="E591" s="297" t="s">
        <v>55</v>
      </c>
      <c r="F591" s="731"/>
      <c r="G591" s="364" t="s">
        <v>3651</v>
      </c>
      <c r="H591" s="81" t="s">
        <v>3652</v>
      </c>
      <c r="I591" s="316" t="s">
        <v>24</v>
      </c>
      <c r="J591" s="155"/>
      <c r="K591" s="37">
        <v>44117.0</v>
      </c>
      <c r="L591" s="37">
        <v>44140.0</v>
      </c>
      <c r="M591" s="366" t="s">
        <v>2406</v>
      </c>
      <c r="N591" s="366" t="s">
        <v>303</v>
      </c>
      <c r="O591" s="201" t="s">
        <v>24</v>
      </c>
      <c r="P591" s="201" t="s">
        <v>24</v>
      </c>
      <c r="Q591" s="201"/>
      <c r="R591" s="201"/>
      <c r="S591" s="224"/>
      <c r="T591" s="732"/>
      <c r="U591" s="733"/>
      <c r="V591" s="733"/>
      <c r="W591" s="733"/>
      <c r="X591" s="733"/>
      <c r="Y591" s="733"/>
      <c r="Z591" s="734" t="s">
        <v>97</v>
      </c>
      <c r="AA591" s="733"/>
      <c r="AB591" s="733"/>
      <c r="AC591" s="733"/>
      <c r="AD591" s="186"/>
      <c r="AE591" s="187"/>
      <c r="AF591" s="733"/>
      <c r="AG591" s="187"/>
      <c r="AH591" s="189"/>
      <c r="AI591" s="189"/>
      <c r="AJ591" s="189"/>
      <c r="AK591" s="189"/>
      <c r="AL591" s="189"/>
      <c r="AM591" s="189"/>
      <c r="AN591" s="187"/>
      <c r="AO591" s="187"/>
      <c r="AP591" s="733"/>
      <c r="AQ591" s="187"/>
      <c r="AR591" s="187"/>
      <c r="AS591" s="119"/>
    </row>
    <row r="592">
      <c r="A592" s="137">
        <v>430.0</v>
      </c>
      <c r="B592" s="150"/>
      <c r="C592" s="104" t="s">
        <v>3653</v>
      </c>
      <c r="D592" s="138" t="s">
        <v>60</v>
      </c>
      <c r="E592" s="107" t="s">
        <v>390</v>
      </c>
      <c r="F592" s="101"/>
      <c r="G592" s="40" t="s">
        <v>3654</v>
      </c>
      <c r="H592" s="55" t="s">
        <v>3655</v>
      </c>
      <c r="I592" s="69" t="s">
        <v>3656</v>
      </c>
      <c r="J592" s="155"/>
      <c r="K592" s="37">
        <v>44098.0</v>
      </c>
      <c r="L592" s="37">
        <v>44100.0</v>
      </c>
      <c r="M592" s="73" t="s">
        <v>3657</v>
      </c>
      <c r="N592" s="179" t="s">
        <v>179</v>
      </c>
      <c r="O592" s="113">
        <v>43980.0</v>
      </c>
      <c r="P592" s="37">
        <v>44036.0</v>
      </c>
      <c r="Q592" s="22"/>
      <c r="R592" s="22"/>
      <c r="S592" s="117"/>
      <c r="T592" s="236"/>
      <c r="U592" s="161"/>
      <c r="V592" s="161"/>
      <c r="W592" s="161"/>
      <c r="X592" s="161"/>
      <c r="Y592" s="161"/>
      <c r="Z592" s="161"/>
      <c r="AA592" s="161"/>
      <c r="AB592" s="161"/>
      <c r="AC592" s="161"/>
      <c r="AD592" s="558" t="s">
        <v>97</v>
      </c>
      <c r="AE592" s="161"/>
      <c r="AF592" s="161"/>
      <c r="AG592" s="161"/>
      <c r="AH592" s="163"/>
      <c r="AI592" s="163"/>
      <c r="AJ592" s="163"/>
      <c r="AK592" s="163"/>
      <c r="AL592" s="163"/>
      <c r="AM592" s="163"/>
      <c r="AN592" s="161"/>
      <c r="AO592" s="161"/>
      <c r="AP592" s="161"/>
      <c r="AQ592" s="161"/>
      <c r="AR592" s="161"/>
      <c r="AS592" s="119"/>
    </row>
    <row r="593">
      <c r="A593" s="137">
        <v>431.0</v>
      </c>
      <c r="B593" s="150">
        <v>0.0</v>
      </c>
      <c r="C593" s="104" t="s">
        <v>3658</v>
      </c>
      <c r="D593" s="138" t="s">
        <v>57</v>
      </c>
      <c r="E593" s="107" t="s">
        <v>306</v>
      </c>
      <c r="F593" s="101"/>
      <c r="G593" s="40" t="s">
        <v>3659</v>
      </c>
      <c r="H593" s="55" t="s">
        <v>3660</v>
      </c>
      <c r="I593" s="69" t="s">
        <v>3661</v>
      </c>
      <c r="J593" s="112"/>
      <c r="K593" s="113">
        <v>43859.0</v>
      </c>
      <c r="L593" s="113">
        <v>43859.0</v>
      </c>
      <c r="M593" s="73" t="s">
        <v>2936</v>
      </c>
      <c r="N593" s="179" t="s">
        <v>159</v>
      </c>
      <c r="O593" s="113">
        <v>43921.0</v>
      </c>
      <c r="P593" s="113">
        <v>44091.0</v>
      </c>
      <c r="Q593" s="22"/>
      <c r="R593" s="22"/>
      <c r="S593" s="117"/>
      <c r="T593" s="236"/>
      <c r="U593" s="161"/>
      <c r="V593" s="161"/>
      <c r="W593" s="161"/>
      <c r="X593" s="161"/>
      <c r="Y593" s="161"/>
      <c r="Z593" s="161"/>
      <c r="AA593" s="161"/>
      <c r="AB593" s="307" t="s">
        <v>97</v>
      </c>
      <c r="AC593" s="161"/>
      <c r="AD593" s="161"/>
      <c r="AE593" s="161"/>
      <c r="AF593" s="161"/>
      <c r="AG593" s="161"/>
      <c r="AH593" s="163"/>
      <c r="AI593" s="163"/>
      <c r="AJ593" s="163"/>
      <c r="AK593" s="163"/>
      <c r="AL593" s="163"/>
      <c r="AM593" s="163"/>
      <c r="AN593" s="161"/>
      <c r="AO593" s="161"/>
      <c r="AP593" s="161"/>
      <c r="AQ593" s="161"/>
      <c r="AR593" s="161"/>
      <c r="AS593" s="119"/>
    </row>
    <row r="594">
      <c r="A594" s="101">
        <v>432.0</v>
      </c>
      <c r="B594" s="150"/>
      <c r="C594" s="104" t="s">
        <v>3662</v>
      </c>
      <c r="D594" s="105" t="s">
        <v>48</v>
      </c>
      <c r="E594" s="107" t="s">
        <v>48</v>
      </c>
      <c r="F594" s="101"/>
      <c r="G594" s="40" t="s">
        <v>3663</v>
      </c>
      <c r="H594" s="55" t="s">
        <v>3664</v>
      </c>
      <c r="I594" s="69" t="s">
        <v>3665</v>
      </c>
      <c r="J594" s="155"/>
      <c r="K594" s="37">
        <v>43960.0</v>
      </c>
      <c r="L594" s="37">
        <v>43960.0</v>
      </c>
      <c r="M594" s="73" t="s">
        <v>3666</v>
      </c>
      <c r="N594" s="179" t="s">
        <v>29</v>
      </c>
      <c r="O594" s="113">
        <v>43922.0</v>
      </c>
      <c r="P594" s="37">
        <v>43922.0</v>
      </c>
      <c r="Q594" s="22"/>
      <c r="R594" s="22"/>
      <c r="S594" s="117"/>
      <c r="T594" s="236"/>
      <c r="U594" s="176" t="s">
        <v>97</v>
      </c>
      <c r="V594" s="161"/>
      <c r="W594" s="161"/>
      <c r="X594" s="161"/>
      <c r="Y594" s="161"/>
      <c r="Z594" s="161"/>
      <c r="AA594" s="161"/>
      <c r="AB594" s="161"/>
      <c r="AC594" s="161"/>
      <c r="AD594" s="161"/>
      <c r="AE594" s="161"/>
      <c r="AF594" s="161"/>
      <c r="AG594" s="161"/>
      <c r="AH594" s="163"/>
      <c r="AI594" s="163"/>
      <c r="AJ594" s="163"/>
      <c r="AK594" s="163"/>
      <c r="AL594" s="163"/>
      <c r="AM594" s="163"/>
      <c r="AN594" s="161"/>
      <c r="AO594" s="161"/>
      <c r="AP594" s="161"/>
      <c r="AQ594" s="161"/>
      <c r="AR594" s="161"/>
      <c r="AS594" s="119"/>
    </row>
    <row r="595">
      <c r="A595" s="137">
        <v>433.0</v>
      </c>
      <c r="B595" s="177"/>
      <c r="C595" s="104" t="s">
        <v>3667</v>
      </c>
      <c r="D595" s="105" t="s">
        <v>48</v>
      </c>
      <c r="E595" s="107" t="s">
        <v>48</v>
      </c>
      <c r="F595" s="178"/>
      <c r="G595" s="77" t="s">
        <v>3668</v>
      </c>
      <c r="H595" s="81" t="s">
        <v>3669</v>
      </c>
      <c r="I595" s="84" t="s">
        <v>3670</v>
      </c>
      <c r="J595" s="155"/>
      <c r="K595" s="37">
        <v>44071.0</v>
      </c>
      <c r="L595" s="37">
        <v>44078.0</v>
      </c>
      <c r="M595" s="85" t="s">
        <v>444</v>
      </c>
      <c r="N595" s="85" t="s">
        <v>72</v>
      </c>
      <c r="O595" s="22" t="s">
        <v>27</v>
      </c>
      <c r="P595" s="22" t="s">
        <v>27</v>
      </c>
      <c r="Q595" s="22"/>
      <c r="R595" s="22"/>
      <c r="S595" s="117"/>
      <c r="T595" s="181"/>
      <c r="U595" s="182" t="s">
        <v>97</v>
      </c>
      <c r="V595" s="184"/>
      <c r="W595" s="184"/>
      <c r="X595" s="184"/>
      <c r="Y595" s="184"/>
      <c r="Z595" s="184"/>
      <c r="AA595" s="184"/>
      <c r="AB595" s="184"/>
      <c r="AC595" s="184"/>
      <c r="AD595" s="186"/>
      <c r="AE595" s="187"/>
      <c r="AF595" s="184"/>
      <c r="AG595" s="187"/>
      <c r="AH595" s="189"/>
      <c r="AI595" s="189"/>
      <c r="AJ595" s="189"/>
      <c r="AK595" s="189"/>
      <c r="AL595" s="189"/>
      <c r="AM595" s="189"/>
      <c r="AN595" s="187"/>
      <c r="AO595" s="187"/>
      <c r="AP595" s="184"/>
      <c r="AQ595" s="187"/>
      <c r="AR595" s="187"/>
      <c r="AS595" s="119"/>
    </row>
    <row r="596">
      <c r="A596" s="137">
        <v>434.0</v>
      </c>
      <c r="B596" s="150"/>
      <c r="C596" s="104" t="s">
        <v>3671</v>
      </c>
      <c r="D596" s="105" t="s">
        <v>53</v>
      </c>
      <c r="E596" s="107" t="s">
        <v>53</v>
      </c>
      <c r="F596" s="101"/>
      <c r="G596" s="40" t="s">
        <v>973</v>
      </c>
      <c r="H596" s="55" t="s">
        <v>974</v>
      </c>
      <c r="I596" s="69" t="s">
        <v>976</v>
      </c>
      <c r="J596" s="20" t="s">
        <v>78</v>
      </c>
      <c r="K596" s="37">
        <v>43909.0</v>
      </c>
      <c r="L596" s="37">
        <v>43912.0</v>
      </c>
      <c r="M596" s="73" t="s">
        <v>147</v>
      </c>
      <c r="N596" s="179" t="s">
        <v>148</v>
      </c>
      <c r="O596" s="113">
        <v>43708.0</v>
      </c>
      <c r="P596" s="37">
        <v>43830.0</v>
      </c>
      <c r="Q596" s="22"/>
      <c r="R596" s="22"/>
      <c r="S596" s="117"/>
      <c r="T596" s="236"/>
      <c r="U596" s="161"/>
      <c r="V596" s="161"/>
      <c r="W596" s="161"/>
      <c r="X596" s="401" t="s">
        <v>97</v>
      </c>
      <c r="Y596" s="161"/>
      <c r="Z596" s="161"/>
      <c r="AA596" s="161"/>
      <c r="AB596" s="161"/>
      <c r="AC596" s="161"/>
      <c r="AD596" s="161"/>
      <c r="AE596" s="161"/>
      <c r="AF596" s="161"/>
      <c r="AG596" s="161"/>
      <c r="AH596" s="163"/>
      <c r="AI596" s="163"/>
      <c r="AJ596" s="163"/>
      <c r="AK596" s="163"/>
      <c r="AL596" s="163"/>
      <c r="AM596" s="163"/>
      <c r="AN596" s="161"/>
      <c r="AO596" s="161"/>
      <c r="AP596" s="161"/>
      <c r="AQ596" s="161"/>
      <c r="AR596" s="161"/>
      <c r="AS596" s="119"/>
    </row>
    <row r="597">
      <c r="A597" s="101">
        <v>435.0</v>
      </c>
      <c r="B597" s="150"/>
      <c r="C597" s="104" t="s">
        <v>3672</v>
      </c>
      <c r="D597" s="138" t="s">
        <v>63</v>
      </c>
      <c r="E597" s="107" t="s">
        <v>1297</v>
      </c>
      <c r="F597" s="101"/>
      <c r="G597" s="40" t="s">
        <v>3673</v>
      </c>
      <c r="H597" s="55" t="s">
        <v>3674</v>
      </c>
      <c r="I597" s="69" t="s">
        <v>3675</v>
      </c>
      <c r="J597" s="155"/>
      <c r="K597" s="37">
        <v>43889.0</v>
      </c>
      <c r="L597" s="37">
        <v>43891.0</v>
      </c>
      <c r="M597" s="73" t="s">
        <v>2936</v>
      </c>
      <c r="N597" s="179" t="s">
        <v>159</v>
      </c>
      <c r="O597" s="113">
        <v>43777.0</v>
      </c>
      <c r="P597" s="37">
        <v>43801.0</v>
      </c>
      <c r="Q597" s="22"/>
      <c r="R597" s="22"/>
      <c r="S597" s="117"/>
      <c r="T597" s="236"/>
      <c r="U597" s="161"/>
      <c r="V597" s="161"/>
      <c r="W597" s="161"/>
      <c r="X597" s="161"/>
      <c r="Y597" s="161"/>
      <c r="Z597" s="161"/>
      <c r="AA597" s="161"/>
      <c r="AB597" s="161"/>
      <c r="AC597" s="161"/>
      <c r="AD597" s="161"/>
      <c r="AE597" s="161"/>
      <c r="AF597" s="161"/>
      <c r="AG597" s="275" t="s">
        <v>97</v>
      </c>
      <c r="AH597" s="163"/>
      <c r="AI597" s="163"/>
      <c r="AJ597" s="163"/>
      <c r="AK597" s="163"/>
      <c r="AL597" s="163"/>
      <c r="AM597" s="163"/>
      <c r="AN597" s="161"/>
      <c r="AO597" s="161"/>
      <c r="AP597" s="161"/>
      <c r="AQ597" s="161"/>
      <c r="AR597" s="161"/>
      <c r="AS597" s="119"/>
    </row>
    <row r="598">
      <c r="A598" s="137">
        <v>436.0</v>
      </c>
      <c r="B598" s="315">
        <v>3.0</v>
      </c>
      <c r="C598" s="104" t="s">
        <v>3676</v>
      </c>
      <c r="D598" s="105" t="s">
        <v>48</v>
      </c>
      <c r="E598" s="107" t="s">
        <v>48</v>
      </c>
      <c r="F598" s="178"/>
      <c r="G598" s="77" t="s">
        <v>1091</v>
      </c>
      <c r="H598" s="250" t="s">
        <v>1092</v>
      </c>
      <c r="I598" s="316" t="s">
        <v>24</v>
      </c>
      <c r="J598" s="222" t="s">
        <v>78</v>
      </c>
      <c r="K598" s="113">
        <v>43915.0</v>
      </c>
      <c r="L598" s="113">
        <v>43926.0</v>
      </c>
      <c r="M598" s="85" t="s">
        <v>196</v>
      </c>
      <c r="N598" s="85" t="s">
        <v>29</v>
      </c>
      <c r="O598" s="201" t="s">
        <v>24</v>
      </c>
      <c r="P598" s="201" t="s">
        <v>24</v>
      </c>
      <c r="Q598" s="373"/>
      <c r="R598" s="200" t="s">
        <v>222</v>
      </c>
      <c r="S598" s="224"/>
      <c r="T598" s="181"/>
      <c r="U598" s="182" t="s">
        <v>97</v>
      </c>
      <c r="V598" s="184"/>
      <c r="W598" s="184"/>
      <c r="X598" s="184"/>
      <c r="Y598" s="184"/>
      <c r="Z598" s="184"/>
      <c r="AA598" s="184"/>
      <c r="AB598" s="184"/>
      <c r="AC598" s="184"/>
      <c r="AD598" s="186"/>
      <c r="AE598" s="187"/>
      <c r="AF598" s="184"/>
      <c r="AG598" s="187"/>
      <c r="AH598" s="189"/>
      <c r="AI598" s="189"/>
      <c r="AJ598" s="189"/>
      <c r="AK598" s="189"/>
      <c r="AL598" s="189"/>
      <c r="AM598" s="189"/>
      <c r="AN598" s="187"/>
      <c r="AO598" s="187"/>
      <c r="AP598" s="184"/>
      <c r="AQ598" s="187"/>
      <c r="AR598" s="187"/>
      <c r="AS598" s="119"/>
    </row>
    <row r="599">
      <c r="A599" s="137">
        <v>437.0</v>
      </c>
      <c r="B599" s="292">
        <v>10.0</v>
      </c>
      <c r="C599" s="104" t="s">
        <v>3677</v>
      </c>
      <c r="D599" s="105" t="s">
        <v>48</v>
      </c>
      <c r="E599" s="107" t="s">
        <v>48</v>
      </c>
      <c r="F599" s="190"/>
      <c r="G599" s="192" t="s">
        <v>3678</v>
      </c>
      <c r="H599" s="81" t="s">
        <v>3679</v>
      </c>
      <c r="I599" s="158" t="s">
        <v>3680</v>
      </c>
      <c r="J599" s="112"/>
      <c r="K599" s="113">
        <v>44119.0</v>
      </c>
      <c r="L599" s="113">
        <v>44122.0</v>
      </c>
      <c r="M599" s="73" t="s">
        <v>3681</v>
      </c>
      <c r="N599" s="73" t="s">
        <v>272</v>
      </c>
      <c r="O599" s="113">
        <v>43966.0</v>
      </c>
      <c r="P599" s="113">
        <v>44075.0</v>
      </c>
      <c r="Q599" s="373"/>
      <c r="R599" s="373"/>
      <c r="S599" s="224"/>
      <c r="T599" s="157"/>
      <c r="U599" s="293" t="s">
        <v>97</v>
      </c>
      <c r="V599" s="194"/>
      <c r="W599" s="194"/>
      <c r="X599" s="194"/>
      <c r="Y599" s="194"/>
      <c r="Z599" s="194"/>
      <c r="AA599" s="194"/>
      <c r="AB599" s="194"/>
      <c r="AC599" s="194"/>
      <c r="AD599" s="186"/>
      <c r="AE599" s="187"/>
      <c r="AF599" s="194"/>
      <c r="AG599" s="187"/>
      <c r="AH599" s="189"/>
      <c r="AI599" s="189"/>
      <c r="AJ599" s="189"/>
      <c r="AK599" s="189"/>
      <c r="AL599" s="189"/>
      <c r="AM599" s="189"/>
      <c r="AN599" s="187"/>
      <c r="AO599" s="187"/>
      <c r="AP599" s="194"/>
      <c r="AQ599" s="187"/>
      <c r="AR599" s="187"/>
      <c r="AS599" s="119"/>
    </row>
    <row r="600">
      <c r="A600" s="101">
        <v>438.0</v>
      </c>
      <c r="B600" s="173"/>
      <c r="C600" s="104" t="s">
        <v>3682</v>
      </c>
      <c r="D600" s="296" t="s">
        <v>55</v>
      </c>
      <c r="E600" s="297" t="s">
        <v>55</v>
      </c>
      <c r="F600" s="101"/>
      <c r="G600" s="40" t="s">
        <v>785</v>
      </c>
      <c r="H600" s="55" t="s">
        <v>786</v>
      </c>
      <c r="I600" s="289" t="s">
        <v>24</v>
      </c>
      <c r="J600" s="222" t="s">
        <v>78</v>
      </c>
      <c r="K600" s="113">
        <v>43909.0</v>
      </c>
      <c r="L600" s="113">
        <v>43919.0</v>
      </c>
      <c r="M600" s="290" t="s">
        <v>790</v>
      </c>
      <c r="N600" s="290" t="s">
        <v>272</v>
      </c>
      <c r="O600" s="114" t="s">
        <v>24</v>
      </c>
      <c r="P600" s="152" t="s">
        <v>24</v>
      </c>
      <c r="Q600" s="348"/>
      <c r="R600" s="348"/>
      <c r="S600" s="224"/>
      <c r="T600" s="141"/>
      <c r="U600" s="119"/>
      <c r="V600" s="119"/>
      <c r="W600" s="119"/>
      <c r="X600" s="119"/>
      <c r="Y600" s="119"/>
      <c r="Z600" s="299" t="s">
        <v>97</v>
      </c>
      <c r="AA600" s="119"/>
      <c r="AB600" s="119"/>
      <c r="AC600" s="119"/>
      <c r="AD600" s="119"/>
      <c r="AE600" s="119"/>
      <c r="AF600" s="119"/>
      <c r="AG600" s="119"/>
      <c r="AH600" s="121"/>
      <c r="AI600" s="121"/>
      <c r="AJ600" s="121"/>
      <c r="AK600" s="121"/>
      <c r="AL600" s="121"/>
      <c r="AM600" s="121"/>
      <c r="AN600" s="119"/>
      <c r="AO600" s="119"/>
      <c r="AP600" s="119"/>
      <c r="AQ600" s="119"/>
      <c r="AR600" s="119"/>
      <c r="AS600" s="119"/>
    </row>
    <row r="601">
      <c r="A601" s="137">
        <v>439.0</v>
      </c>
      <c r="B601" s="292">
        <v>5.0</v>
      </c>
      <c r="C601" s="104" t="s">
        <v>3683</v>
      </c>
      <c r="D601" s="105" t="s">
        <v>48</v>
      </c>
      <c r="E601" s="107" t="s">
        <v>48</v>
      </c>
      <c r="F601" s="190"/>
      <c r="G601" s="192" t="s">
        <v>3684</v>
      </c>
      <c r="H601" s="81" t="s">
        <v>3685</v>
      </c>
      <c r="I601" s="158" t="s">
        <v>3686</v>
      </c>
      <c r="J601" s="155"/>
      <c r="K601" s="22" t="s">
        <v>27</v>
      </c>
      <c r="L601" s="22" t="s">
        <v>27</v>
      </c>
      <c r="M601" s="73" t="s">
        <v>3687</v>
      </c>
      <c r="N601" s="73" t="s">
        <v>339</v>
      </c>
      <c r="O601" s="22" t="s">
        <v>27</v>
      </c>
      <c r="P601" s="22" t="s">
        <v>27</v>
      </c>
      <c r="Q601" s="22"/>
      <c r="R601" s="22"/>
      <c r="S601" s="117"/>
      <c r="T601" s="157"/>
      <c r="U601" s="293" t="s">
        <v>97</v>
      </c>
      <c r="V601" s="194"/>
      <c r="W601" s="194"/>
      <c r="X601" s="194"/>
      <c r="Y601" s="194"/>
      <c r="Z601" s="194"/>
      <c r="AA601" s="194"/>
      <c r="AB601" s="194"/>
      <c r="AC601" s="194"/>
      <c r="AD601" s="186"/>
      <c r="AE601" s="187"/>
      <c r="AF601" s="194"/>
      <c r="AG601" s="187"/>
      <c r="AH601" s="189"/>
      <c r="AI601" s="189"/>
      <c r="AJ601" s="189"/>
      <c r="AK601" s="189"/>
      <c r="AL601" s="189"/>
      <c r="AM601" s="189"/>
      <c r="AN601" s="187"/>
      <c r="AO601" s="187"/>
      <c r="AP601" s="194"/>
      <c r="AQ601" s="187"/>
      <c r="AR601" s="187"/>
      <c r="AS601" s="119"/>
    </row>
    <row r="602">
      <c r="A602" s="137">
        <v>440.0</v>
      </c>
      <c r="B602" s="150"/>
      <c r="C602" s="104" t="s">
        <v>3688</v>
      </c>
      <c r="D602" s="105" t="s">
        <v>48</v>
      </c>
      <c r="E602" s="107" t="s">
        <v>48</v>
      </c>
      <c r="F602" s="101"/>
      <c r="G602" s="40" t="s">
        <v>3689</v>
      </c>
      <c r="H602" s="55" t="s">
        <v>3690</v>
      </c>
      <c r="I602" s="69" t="s">
        <v>3691</v>
      </c>
      <c r="J602" s="155"/>
      <c r="K602" s="37">
        <v>44029.0</v>
      </c>
      <c r="L602" s="37">
        <v>44038.0</v>
      </c>
      <c r="M602" s="73" t="s">
        <v>3692</v>
      </c>
      <c r="N602" s="179" t="s">
        <v>212</v>
      </c>
      <c r="O602" s="113">
        <v>43728.0</v>
      </c>
      <c r="P602" s="37">
        <v>43889.0</v>
      </c>
      <c r="Q602" s="22"/>
      <c r="R602" s="22"/>
      <c r="S602" s="117"/>
      <c r="T602" s="236"/>
      <c r="U602" s="176" t="s">
        <v>97</v>
      </c>
      <c r="V602" s="161"/>
      <c r="W602" s="161"/>
      <c r="X602" s="161"/>
      <c r="Y602" s="161"/>
      <c r="Z602" s="161"/>
      <c r="AA602" s="161"/>
      <c r="AB602" s="161"/>
      <c r="AC602" s="161"/>
      <c r="AD602" s="161"/>
      <c r="AE602" s="161"/>
      <c r="AF602" s="161"/>
      <c r="AG602" s="161"/>
      <c r="AH602" s="163"/>
      <c r="AI602" s="163"/>
      <c r="AJ602" s="163"/>
      <c r="AK602" s="163"/>
      <c r="AL602" s="163"/>
      <c r="AM602" s="163"/>
      <c r="AN602" s="161"/>
      <c r="AO602" s="161"/>
      <c r="AP602" s="161"/>
      <c r="AQ602" s="161"/>
      <c r="AR602" s="161"/>
      <c r="AS602" s="119"/>
    </row>
    <row r="603">
      <c r="A603" s="137">
        <v>441.0</v>
      </c>
      <c r="B603" s="150"/>
      <c r="C603" s="104" t="s">
        <v>3693</v>
      </c>
      <c r="D603" s="105" t="s">
        <v>48</v>
      </c>
      <c r="E603" s="107" t="s">
        <v>48</v>
      </c>
      <c r="F603" s="101"/>
      <c r="G603" s="40" t="s">
        <v>3694</v>
      </c>
      <c r="H603" s="55" t="s">
        <v>3695</v>
      </c>
      <c r="I603" s="69" t="s">
        <v>3696</v>
      </c>
      <c r="J603" s="155"/>
      <c r="K603" s="37">
        <v>43854.0</v>
      </c>
      <c r="L603" s="37">
        <v>43884.0</v>
      </c>
      <c r="M603" s="73" t="s">
        <v>3697</v>
      </c>
      <c r="N603" s="179" t="s">
        <v>412</v>
      </c>
      <c r="O603" s="113">
        <v>43671.0</v>
      </c>
      <c r="P603" s="37">
        <v>43763.0</v>
      </c>
      <c r="Q603" s="22"/>
      <c r="R603" s="22"/>
      <c r="S603" s="117"/>
      <c r="T603" s="236"/>
      <c r="U603" s="176" t="s">
        <v>97</v>
      </c>
      <c r="V603" s="161"/>
      <c r="W603" s="161"/>
      <c r="X603" s="161"/>
      <c r="Y603" s="161"/>
      <c r="Z603" s="161"/>
      <c r="AA603" s="161"/>
      <c r="AB603" s="161"/>
      <c r="AC603" s="161"/>
      <c r="AD603" s="161"/>
      <c r="AE603" s="161"/>
      <c r="AF603" s="161"/>
      <c r="AG603" s="161"/>
      <c r="AH603" s="163"/>
      <c r="AI603" s="163"/>
      <c r="AJ603" s="163"/>
      <c r="AK603" s="163"/>
      <c r="AL603" s="163"/>
      <c r="AM603" s="163"/>
      <c r="AN603" s="161"/>
      <c r="AO603" s="161"/>
      <c r="AP603" s="161"/>
      <c r="AQ603" s="161"/>
      <c r="AR603" s="161"/>
      <c r="AS603" s="119"/>
    </row>
    <row r="604">
      <c r="A604" s="101">
        <v>442.0</v>
      </c>
      <c r="B604" s="177"/>
      <c r="C604" s="104" t="s">
        <v>3698</v>
      </c>
      <c r="D604" s="296" t="s">
        <v>55</v>
      </c>
      <c r="E604" s="297" t="s">
        <v>55</v>
      </c>
      <c r="F604" s="178"/>
      <c r="G604" s="77" t="s">
        <v>1122</v>
      </c>
      <c r="H604" s="81" t="s">
        <v>1125</v>
      </c>
      <c r="I604" s="84" t="s">
        <v>1126</v>
      </c>
      <c r="J604" s="20" t="s">
        <v>78</v>
      </c>
      <c r="K604" s="37">
        <v>43909.0</v>
      </c>
      <c r="L604" s="37">
        <v>43919.0</v>
      </c>
      <c r="M604" s="85" t="s">
        <v>1127</v>
      </c>
      <c r="N604" s="85" t="s">
        <v>412</v>
      </c>
      <c r="O604" s="113">
        <v>43752.0</v>
      </c>
      <c r="P604" s="37">
        <v>43813.0</v>
      </c>
      <c r="Q604" s="22"/>
      <c r="R604" s="22"/>
      <c r="S604" s="117"/>
      <c r="T604" s="181"/>
      <c r="U604" s="184"/>
      <c r="V604" s="184"/>
      <c r="W604" s="184"/>
      <c r="X604" s="184"/>
      <c r="Y604" s="184"/>
      <c r="Z604" s="420" t="s">
        <v>97</v>
      </c>
      <c r="AA604" s="184"/>
      <c r="AB604" s="184"/>
      <c r="AC604" s="184"/>
      <c r="AD604" s="186"/>
      <c r="AE604" s="187"/>
      <c r="AF604" s="184"/>
      <c r="AG604" s="187"/>
      <c r="AH604" s="189"/>
      <c r="AI604" s="189"/>
      <c r="AJ604" s="189"/>
      <c r="AK604" s="189"/>
      <c r="AL604" s="189"/>
      <c r="AM604" s="189"/>
      <c r="AN604" s="187"/>
      <c r="AO604" s="187"/>
      <c r="AP604" s="184"/>
      <c r="AQ604" s="187"/>
      <c r="AR604" s="187"/>
      <c r="AS604" s="119"/>
    </row>
    <row r="605">
      <c r="A605" s="137">
        <v>443.0</v>
      </c>
      <c r="B605" s="150"/>
      <c r="C605" s="104" t="s">
        <v>3699</v>
      </c>
      <c r="D605" s="138" t="s">
        <v>71</v>
      </c>
      <c r="E605" s="107" t="s">
        <v>71</v>
      </c>
      <c r="F605" s="101"/>
      <c r="G605" s="40" t="s">
        <v>3700</v>
      </c>
      <c r="H605" s="55" t="s">
        <v>3701</v>
      </c>
      <c r="I605" s="69" t="s">
        <v>3702</v>
      </c>
      <c r="J605" s="155"/>
      <c r="K605" s="37">
        <v>43985.0</v>
      </c>
      <c r="L605" s="37">
        <v>43986.0</v>
      </c>
      <c r="M605" s="73" t="s">
        <v>221</v>
      </c>
      <c r="N605" s="179" t="s">
        <v>72</v>
      </c>
      <c r="O605" s="113">
        <v>43711.0</v>
      </c>
      <c r="P605" s="37">
        <v>43924.0</v>
      </c>
      <c r="Q605" s="22"/>
      <c r="R605" s="22"/>
      <c r="S605" s="117"/>
      <c r="T605" s="236"/>
      <c r="U605" s="161"/>
      <c r="V605" s="161"/>
      <c r="W605" s="161"/>
      <c r="X605" s="161"/>
      <c r="Y605" s="161"/>
      <c r="Z605" s="161"/>
      <c r="AA605" s="161"/>
      <c r="AB605" s="161"/>
      <c r="AC605" s="161"/>
      <c r="AD605" s="161"/>
      <c r="AE605" s="161"/>
      <c r="AF605" s="161"/>
      <c r="AG605" s="161"/>
      <c r="AH605" s="163"/>
      <c r="AI605" s="163"/>
      <c r="AJ605" s="163"/>
      <c r="AK605" s="163"/>
      <c r="AL605" s="163"/>
      <c r="AM605" s="165" t="s">
        <v>97</v>
      </c>
      <c r="AN605" s="161"/>
      <c r="AO605" s="161"/>
      <c r="AP605" s="161"/>
      <c r="AQ605" s="161"/>
      <c r="AR605" s="161"/>
      <c r="AS605" s="119"/>
    </row>
    <row r="606">
      <c r="A606" s="137">
        <v>444.0</v>
      </c>
      <c r="B606" s="177">
        <v>10.0</v>
      </c>
      <c r="C606" s="104" t="s">
        <v>3703</v>
      </c>
      <c r="D606" s="105" t="s">
        <v>48</v>
      </c>
      <c r="E606" s="107" t="s">
        <v>48</v>
      </c>
      <c r="F606" s="178"/>
      <c r="G606" s="77" t="s">
        <v>3704</v>
      </c>
      <c r="H606" s="81" t="s">
        <v>3705</v>
      </c>
      <c r="I606" s="84" t="s">
        <v>3706</v>
      </c>
      <c r="J606" s="710"/>
      <c r="K606" s="711">
        <v>44118.0</v>
      </c>
      <c r="L606" s="711">
        <v>44125.0</v>
      </c>
      <c r="M606" s="85" t="s">
        <v>536</v>
      </c>
      <c r="N606" s="85" t="s">
        <v>537</v>
      </c>
      <c r="O606" s="711">
        <v>43840.0</v>
      </c>
      <c r="P606" s="711">
        <v>44001.0</v>
      </c>
      <c r="Q606" s="200" t="s">
        <v>222</v>
      </c>
      <c r="R606" s="200" t="s">
        <v>222</v>
      </c>
      <c r="S606" s="203" t="s">
        <v>97</v>
      </c>
      <c r="T606" s="181"/>
      <c r="U606" s="182" t="s">
        <v>97</v>
      </c>
      <c r="V606" s="184"/>
      <c r="W606" s="184"/>
      <c r="X606" s="184"/>
      <c r="Y606" s="184"/>
      <c r="Z606" s="184"/>
      <c r="AA606" s="184"/>
      <c r="AB606" s="184"/>
      <c r="AC606" s="184"/>
      <c r="AD606" s="186"/>
      <c r="AE606" s="187"/>
      <c r="AF606" s="184"/>
      <c r="AG606" s="187"/>
      <c r="AH606" s="189"/>
      <c r="AI606" s="189"/>
      <c r="AJ606" s="189"/>
      <c r="AK606" s="189"/>
      <c r="AL606" s="189"/>
      <c r="AM606" s="189"/>
      <c r="AN606" s="187"/>
      <c r="AO606" s="187"/>
      <c r="AP606" s="184"/>
      <c r="AQ606" s="187"/>
      <c r="AR606" s="187"/>
      <c r="AS606" s="119"/>
    </row>
    <row r="607">
      <c r="A607" s="101">
        <v>957.0</v>
      </c>
      <c r="B607" s="122">
        <v>5.0</v>
      </c>
      <c r="C607" s="123" t="s">
        <v>3707</v>
      </c>
      <c r="D607" s="399" t="s">
        <v>56</v>
      </c>
      <c r="E607" s="400" t="s">
        <v>227</v>
      </c>
      <c r="F607" s="127"/>
      <c r="G607" s="128" t="s">
        <v>3708</v>
      </c>
      <c r="H607" s="89" t="s">
        <v>3709</v>
      </c>
      <c r="I607" s="235" t="s">
        <v>3710</v>
      </c>
      <c r="J607" s="735"/>
      <c r="K607" s="736">
        <v>43966.0</v>
      </c>
      <c r="L607" s="736">
        <v>43982.0</v>
      </c>
      <c r="M607" s="130" t="s">
        <v>196</v>
      </c>
      <c r="N607" s="130" t="s">
        <v>29</v>
      </c>
      <c r="O607" s="737">
        <v>43834.0</v>
      </c>
      <c r="P607" s="737">
        <v>43865.0</v>
      </c>
      <c r="Q607" s="131"/>
      <c r="R607" s="132"/>
      <c r="S607" s="132"/>
      <c r="T607" s="118"/>
      <c r="U607" s="119"/>
      <c r="V607" s="119"/>
      <c r="W607" s="119"/>
      <c r="X607" s="119"/>
      <c r="Y607" s="134"/>
      <c r="Z607" s="119"/>
      <c r="AA607" s="218" t="s">
        <v>97</v>
      </c>
      <c r="AB607" s="119"/>
      <c r="AC607" s="119"/>
      <c r="AD607" s="119"/>
      <c r="AE607" s="119"/>
      <c r="AF607" s="119"/>
      <c r="AG607" s="119"/>
      <c r="AH607" s="121"/>
      <c r="AI607" s="121"/>
      <c r="AJ607" s="121"/>
      <c r="AK607" s="121"/>
      <c r="AL607" s="121"/>
      <c r="AM607" s="135"/>
      <c r="AN607" s="119"/>
      <c r="AO607" s="119"/>
      <c r="AP607" s="119"/>
      <c r="AQ607" s="119"/>
      <c r="AR607" s="119"/>
      <c r="AS607" s="119"/>
    </row>
    <row r="608">
      <c r="A608" s="101">
        <v>445.0</v>
      </c>
      <c r="B608" s="177">
        <v>12.0</v>
      </c>
      <c r="C608" s="104" t="s">
        <v>3711</v>
      </c>
      <c r="D608" s="105" t="s">
        <v>64</v>
      </c>
      <c r="E608" s="107" t="s">
        <v>64</v>
      </c>
      <c r="F608" s="228"/>
      <c r="G608" s="183" t="s">
        <v>3712</v>
      </c>
      <c r="H608" s="81" t="s">
        <v>3713</v>
      </c>
      <c r="I608" s="738" t="s">
        <v>3714</v>
      </c>
      <c r="J608" s="739"/>
      <c r="K608" s="113">
        <v>44168.0</v>
      </c>
      <c r="L608" s="113">
        <v>44171.0</v>
      </c>
      <c r="M608" s="85" t="s">
        <v>196</v>
      </c>
      <c r="N608" s="85" t="s">
        <v>29</v>
      </c>
      <c r="O608" s="113">
        <v>43876.0</v>
      </c>
      <c r="P608" s="113">
        <v>44075.0</v>
      </c>
      <c r="Q608" s="22"/>
      <c r="R608" s="22"/>
      <c r="S608" s="117"/>
      <c r="T608" s="181"/>
      <c r="U608" s="184"/>
      <c r="V608" s="184"/>
      <c r="W608" s="184"/>
      <c r="X608" s="184"/>
      <c r="Y608" s="184"/>
      <c r="Z608" s="184"/>
      <c r="AA608" s="184"/>
      <c r="AB608" s="184"/>
      <c r="AC608" s="184"/>
      <c r="AD608" s="186"/>
      <c r="AE608" s="187"/>
      <c r="AF608" s="184"/>
      <c r="AG608" s="187"/>
      <c r="AH608" s="246" t="s">
        <v>97</v>
      </c>
      <c r="AI608" s="189"/>
      <c r="AJ608" s="189"/>
      <c r="AK608" s="189"/>
      <c r="AL608" s="189"/>
      <c r="AM608" s="189"/>
      <c r="AN608" s="187"/>
      <c r="AO608" s="187"/>
      <c r="AP608" s="184"/>
      <c r="AQ608" s="187"/>
      <c r="AR608" s="187"/>
      <c r="AS608" s="119"/>
    </row>
    <row r="609">
      <c r="A609" s="137">
        <v>446.0</v>
      </c>
      <c r="B609" s="177"/>
      <c r="C609" s="104" t="s">
        <v>3715</v>
      </c>
      <c r="D609" s="105" t="s">
        <v>48</v>
      </c>
      <c r="E609" s="107" t="s">
        <v>48</v>
      </c>
      <c r="F609" s="178"/>
      <c r="G609" s="77" t="s">
        <v>510</v>
      </c>
      <c r="H609" s="81" t="s">
        <v>512</v>
      </c>
      <c r="I609" s="84" t="s">
        <v>513</v>
      </c>
      <c r="J609" s="20" t="s">
        <v>516</v>
      </c>
      <c r="K609" s="37">
        <v>43961.0</v>
      </c>
      <c r="L609" s="37">
        <v>43968.0</v>
      </c>
      <c r="M609" s="85" t="s">
        <v>196</v>
      </c>
      <c r="N609" s="85" t="s">
        <v>29</v>
      </c>
      <c r="O609" s="113">
        <v>43708.0</v>
      </c>
      <c r="P609" s="37">
        <v>43866.0</v>
      </c>
      <c r="Q609" s="22"/>
      <c r="R609" s="22"/>
      <c r="S609" s="117"/>
      <c r="T609" s="181"/>
      <c r="U609" s="182" t="s">
        <v>97</v>
      </c>
      <c r="V609" s="184"/>
      <c r="W609" s="184"/>
      <c r="X609" s="184"/>
      <c r="Y609" s="184"/>
      <c r="Z609" s="184"/>
      <c r="AA609" s="184"/>
      <c r="AB609" s="184"/>
      <c r="AC609" s="184"/>
      <c r="AD609" s="186"/>
      <c r="AE609" s="187"/>
      <c r="AF609" s="184"/>
      <c r="AG609" s="187"/>
      <c r="AH609" s="189"/>
      <c r="AI609" s="189"/>
      <c r="AJ609" s="189"/>
      <c r="AK609" s="189"/>
      <c r="AL609" s="189"/>
      <c r="AM609" s="189"/>
      <c r="AN609" s="187"/>
      <c r="AO609" s="187"/>
      <c r="AP609" s="184"/>
      <c r="AQ609" s="187"/>
      <c r="AR609" s="187"/>
      <c r="AS609" s="119"/>
    </row>
    <row r="610">
      <c r="A610" s="137">
        <v>447.0</v>
      </c>
      <c r="B610" s="150"/>
      <c r="C610" s="104" t="s">
        <v>3716</v>
      </c>
      <c r="D610" s="105" t="s">
        <v>48</v>
      </c>
      <c r="E610" s="107" t="s">
        <v>48</v>
      </c>
      <c r="F610" s="101"/>
      <c r="G610" s="40" t="s">
        <v>1194</v>
      </c>
      <c r="H610" s="55" t="s">
        <v>1195</v>
      </c>
      <c r="I610" s="69" t="s">
        <v>1197</v>
      </c>
      <c r="J610" s="20" t="s">
        <v>78</v>
      </c>
      <c r="K610" s="37">
        <v>43913.0</v>
      </c>
      <c r="L610" s="37">
        <v>43917.0</v>
      </c>
      <c r="M610" s="73" t="s">
        <v>196</v>
      </c>
      <c r="N610" s="179" t="s">
        <v>29</v>
      </c>
      <c r="O610" s="113">
        <v>43646.0</v>
      </c>
      <c r="P610" s="37">
        <v>43850.0</v>
      </c>
      <c r="Q610" s="22"/>
      <c r="R610" s="22"/>
      <c r="S610" s="117"/>
      <c r="T610" s="236"/>
      <c r="U610" s="176" t="s">
        <v>97</v>
      </c>
      <c r="V610" s="161"/>
      <c r="W610" s="161"/>
      <c r="X610" s="161"/>
      <c r="Y610" s="161"/>
      <c r="Z610" s="161"/>
      <c r="AA610" s="161"/>
      <c r="AB610" s="161"/>
      <c r="AC610" s="161"/>
      <c r="AD610" s="161"/>
      <c r="AE610" s="161"/>
      <c r="AF610" s="161"/>
      <c r="AG610" s="161"/>
      <c r="AH610" s="163"/>
      <c r="AI610" s="163"/>
      <c r="AJ610" s="163"/>
      <c r="AK610" s="163"/>
      <c r="AL610" s="163"/>
      <c r="AM610" s="163"/>
      <c r="AN610" s="161"/>
      <c r="AO610" s="161"/>
      <c r="AP610" s="161"/>
      <c r="AQ610" s="161"/>
      <c r="AR610" s="161"/>
      <c r="AS610" s="119"/>
    </row>
    <row r="611">
      <c r="A611" s="137">
        <v>989.0</v>
      </c>
      <c r="B611" s="122">
        <v>10.0</v>
      </c>
      <c r="C611" s="123" t="s">
        <v>3717</v>
      </c>
      <c r="D611" s="124" t="s">
        <v>71</v>
      </c>
      <c r="E611" s="126" t="s">
        <v>71</v>
      </c>
      <c r="F611" s="127"/>
      <c r="G611" s="128" t="s">
        <v>3718</v>
      </c>
      <c r="H611" s="89" t="s">
        <v>3719</v>
      </c>
      <c r="I611" s="91" t="str">
        <f>HYPERLINK("https://filmfreeway.com/NYCMentalHealthFilmFestival","https://filmfreeway.com/NYCMentalHealthFilmFestival")</f>
        <v>https://filmfreeway.com/NYCMentalHealthFilmFestival</v>
      </c>
      <c r="J611" s="112"/>
      <c r="K611" s="113">
        <v>44107.0</v>
      </c>
      <c r="L611" s="113">
        <v>44107.0</v>
      </c>
      <c r="M611" s="130" t="s">
        <v>196</v>
      </c>
      <c r="N611" s="130" t="s">
        <v>29</v>
      </c>
      <c r="O611" s="113">
        <v>43921.0</v>
      </c>
      <c r="P611" s="113">
        <v>44074.0</v>
      </c>
      <c r="Q611" s="131"/>
      <c r="R611" s="132"/>
      <c r="S611" s="132"/>
      <c r="T611" s="118"/>
      <c r="U611" s="119"/>
      <c r="V611" s="119"/>
      <c r="W611" s="119"/>
      <c r="X611" s="119"/>
      <c r="Y611" s="134"/>
      <c r="Z611" s="119"/>
      <c r="AA611" s="119"/>
      <c r="AB611" s="119"/>
      <c r="AC611" s="119"/>
      <c r="AD611" s="119"/>
      <c r="AE611" s="119"/>
      <c r="AF611" s="119"/>
      <c r="AG611" s="119"/>
      <c r="AH611" s="121"/>
      <c r="AI611" s="121"/>
      <c r="AJ611" s="121"/>
      <c r="AK611" s="121"/>
      <c r="AL611" s="121"/>
      <c r="AM611" s="165" t="s">
        <v>97</v>
      </c>
      <c r="AN611" s="119"/>
      <c r="AO611" s="119"/>
      <c r="AP611" s="119"/>
      <c r="AQ611" s="119"/>
      <c r="AR611" s="119"/>
      <c r="AS611" s="119"/>
    </row>
    <row r="612">
      <c r="A612" s="101">
        <v>448.0</v>
      </c>
      <c r="B612" s="150"/>
      <c r="C612" s="104" t="s">
        <v>3720</v>
      </c>
      <c r="D612" s="105" t="s">
        <v>69</v>
      </c>
      <c r="E612" s="107" t="s">
        <v>834</v>
      </c>
      <c r="F612" s="101"/>
      <c r="G612" s="40" t="s">
        <v>197</v>
      </c>
      <c r="H612" s="55" t="s">
        <v>198</v>
      </c>
      <c r="I612" s="69" t="s">
        <v>200</v>
      </c>
      <c r="J612" s="20" t="s">
        <v>201</v>
      </c>
      <c r="K612" s="37">
        <v>43912.0</v>
      </c>
      <c r="L612" s="37">
        <v>43912.0</v>
      </c>
      <c r="M612" s="156" t="s">
        <v>196</v>
      </c>
      <c r="N612" s="179" t="s">
        <v>29</v>
      </c>
      <c r="O612" s="113">
        <v>43677.0</v>
      </c>
      <c r="P612" s="37">
        <v>43861.0</v>
      </c>
      <c r="Q612" s="22"/>
      <c r="R612" s="22"/>
      <c r="S612" s="117"/>
      <c r="T612" s="236"/>
      <c r="U612" s="161"/>
      <c r="V612" s="161"/>
      <c r="W612" s="120" t="s">
        <v>97</v>
      </c>
      <c r="X612" s="161"/>
      <c r="Y612" s="161"/>
      <c r="Z612" s="161"/>
      <c r="AA612" s="161"/>
      <c r="AB612" s="161"/>
      <c r="AC612" s="161"/>
      <c r="AD612" s="161"/>
      <c r="AE612" s="161"/>
      <c r="AF612" s="161"/>
      <c r="AG612" s="161"/>
      <c r="AH612" s="163"/>
      <c r="AI612" s="163"/>
      <c r="AJ612" s="163"/>
      <c r="AK612" s="332" t="s">
        <v>97</v>
      </c>
      <c r="AL612" s="163"/>
      <c r="AM612" s="163"/>
      <c r="AN612" s="161"/>
      <c r="AO612" s="161"/>
      <c r="AP612" s="161"/>
      <c r="AQ612" s="161"/>
      <c r="AR612" s="161"/>
      <c r="AS612" s="119"/>
    </row>
    <row r="613">
      <c r="A613" s="137">
        <v>449.0</v>
      </c>
      <c r="B613" s="177">
        <v>10.0</v>
      </c>
      <c r="C613" s="104" t="s">
        <v>3721</v>
      </c>
      <c r="D613" s="105" t="s">
        <v>52</v>
      </c>
      <c r="E613" s="107" t="s">
        <v>52</v>
      </c>
      <c r="F613" s="178"/>
      <c r="G613" s="77" t="s">
        <v>3722</v>
      </c>
      <c r="H613" s="81" t="s">
        <v>3723</v>
      </c>
      <c r="I613" s="84" t="s">
        <v>3724</v>
      </c>
      <c r="J613" s="155"/>
      <c r="K613" s="22" t="s">
        <v>27</v>
      </c>
      <c r="L613" s="22" t="s">
        <v>27</v>
      </c>
      <c r="M613" s="85" t="s">
        <v>196</v>
      </c>
      <c r="N613" s="85" t="s">
        <v>29</v>
      </c>
      <c r="O613" s="22" t="s">
        <v>27</v>
      </c>
      <c r="P613" s="22" t="s">
        <v>27</v>
      </c>
      <c r="Q613" s="373"/>
      <c r="R613" s="373"/>
      <c r="S613" s="224"/>
      <c r="T613" s="181"/>
      <c r="U613" s="184"/>
      <c r="V613" s="184"/>
      <c r="W613" s="319" t="s">
        <v>97</v>
      </c>
      <c r="X613" s="184"/>
      <c r="Y613" s="184"/>
      <c r="Z613" s="184"/>
      <c r="AA613" s="184"/>
      <c r="AB613" s="184"/>
      <c r="AC613" s="184"/>
      <c r="AD613" s="186"/>
      <c r="AE613" s="187"/>
      <c r="AF613" s="184"/>
      <c r="AG613" s="187"/>
      <c r="AH613" s="189"/>
      <c r="AI613" s="189"/>
      <c r="AJ613" s="189"/>
      <c r="AK613" s="189"/>
      <c r="AL613" s="189"/>
      <c r="AM613" s="189"/>
      <c r="AN613" s="187"/>
      <c r="AO613" s="187"/>
      <c r="AP613" s="184"/>
      <c r="AQ613" s="187"/>
      <c r="AR613" s="187"/>
      <c r="AS613" s="119"/>
    </row>
    <row r="614">
      <c r="A614" s="137">
        <v>450.0</v>
      </c>
      <c r="B614" s="315">
        <v>10.0</v>
      </c>
      <c r="C614" s="104" t="s">
        <v>3725</v>
      </c>
      <c r="D614" s="105" t="s">
        <v>48</v>
      </c>
      <c r="E614" s="107" t="s">
        <v>48</v>
      </c>
      <c r="F614" s="178"/>
      <c r="G614" s="77" t="s">
        <v>3726</v>
      </c>
      <c r="H614" s="582" t="s">
        <v>3727</v>
      </c>
      <c r="I614" s="316" t="s">
        <v>24</v>
      </c>
      <c r="J614" s="155"/>
      <c r="K614" s="22" t="s">
        <v>27</v>
      </c>
      <c r="L614" s="22" t="s">
        <v>27</v>
      </c>
      <c r="M614" s="85" t="s">
        <v>196</v>
      </c>
      <c r="N614" s="85" t="s">
        <v>29</v>
      </c>
      <c r="O614" s="22" t="s">
        <v>27</v>
      </c>
      <c r="P614" s="22" t="s">
        <v>27</v>
      </c>
      <c r="Q614" s="201"/>
      <c r="R614" s="201"/>
      <c r="S614" s="224"/>
      <c r="T614" s="181"/>
      <c r="U614" s="182" t="s">
        <v>97</v>
      </c>
      <c r="V614" s="184"/>
      <c r="W614" s="184"/>
      <c r="X614" s="184"/>
      <c r="Y614" s="184"/>
      <c r="Z614" s="184"/>
      <c r="AA614" s="184"/>
      <c r="AB614" s="184"/>
      <c r="AC614" s="184"/>
      <c r="AD614" s="186"/>
      <c r="AE614" s="187"/>
      <c r="AF614" s="184"/>
      <c r="AG614" s="187"/>
      <c r="AH614" s="189"/>
      <c r="AI614" s="189"/>
      <c r="AJ614" s="189"/>
      <c r="AK614" s="189"/>
      <c r="AL614" s="189"/>
      <c r="AM614" s="189"/>
      <c r="AN614" s="187"/>
      <c r="AO614" s="187"/>
      <c r="AP614" s="184"/>
      <c r="AQ614" s="187"/>
      <c r="AR614" s="187"/>
      <c r="AS614" s="119"/>
    </row>
    <row r="615">
      <c r="A615" s="101">
        <v>451.0</v>
      </c>
      <c r="B615" s="315"/>
      <c r="C615" s="104" t="s">
        <v>3728</v>
      </c>
      <c r="D615" s="138" t="s">
        <v>62</v>
      </c>
      <c r="E615" s="107" t="s">
        <v>523</v>
      </c>
      <c r="F615" s="178"/>
      <c r="G615" s="77" t="s">
        <v>590</v>
      </c>
      <c r="H615" s="81" t="s">
        <v>592</v>
      </c>
      <c r="I615" s="175" t="s">
        <v>596</v>
      </c>
      <c r="J615" s="20" t="s">
        <v>78</v>
      </c>
      <c r="K615" s="37">
        <v>43948.0</v>
      </c>
      <c r="L615" s="37">
        <v>43954.0</v>
      </c>
      <c r="M615" s="85" t="s">
        <v>196</v>
      </c>
      <c r="N615" s="85" t="s">
        <v>29</v>
      </c>
      <c r="O615" s="113">
        <v>43784.0</v>
      </c>
      <c r="P615" s="37">
        <v>43890.0</v>
      </c>
      <c r="Q615" s="22"/>
      <c r="R615" s="22"/>
      <c r="S615" s="117"/>
      <c r="T615" s="181"/>
      <c r="U615" s="184"/>
      <c r="V615" s="184"/>
      <c r="W615" s="184"/>
      <c r="X615" s="184"/>
      <c r="Y615" s="184"/>
      <c r="Z615" s="184"/>
      <c r="AA615" s="184"/>
      <c r="AB615" s="184"/>
      <c r="AC615" s="184"/>
      <c r="AD615" s="186"/>
      <c r="AE615" s="187"/>
      <c r="AF615" s="415" t="s">
        <v>97</v>
      </c>
      <c r="AG615" s="187"/>
      <c r="AH615" s="189"/>
      <c r="AI615" s="189"/>
      <c r="AJ615" s="189"/>
      <c r="AK615" s="189"/>
      <c r="AL615" s="189"/>
      <c r="AM615" s="189"/>
      <c r="AN615" s="187"/>
      <c r="AO615" s="187"/>
      <c r="AP615" s="184"/>
      <c r="AQ615" s="187"/>
      <c r="AR615" s="187"/>
      <c r="AS615" s="119"/>
    </row>
    <row r="616">
      <c r="A616" s="137">
        <v>452.0</v>
      </c>
      <c r="B616" s="177"/>
      <c r="C616" s="104" t="s">
        <v>3729</v>
      </c>
      <c r="D616" s="105" t="s">
        <v>88</v>
      </c>
      <c r="E616" s="107" t="s">
        <v>88</v>
      </c>
      <c r="F616" s="178"/>
      <c r="G616" s="77" t="s">
        <v>840</v>
      </c>
      <c r="H616" s="81" t="s">
        <v>841</v>
      </c>
      <c r="I616" s="84" t="s">
        <v>843</v>
      </c>
      <c r="J616" s="20" t="s">
        <v>846</v>
      </c>
      <c r="K616" s="37">
        <v>43882.0</v>
      </c>
      <c r="L616" s="37">
        <v>43905.0</v>
      </c>
      <c r="M616" s="85" t="s">
        <v>196</v>
      </c>
      <c r="N616" s="85" t="s">
        <v>29</v>
      </c>
      <c r="O616" s="113">
        <v>44083.0</v>
      </c>
      <c r="P616" s="37">
        <v>44146.0</v>
      </c>
      <c r="Q616" s="200" t="s">
        <v>222</v>
      </c>
      <c r="R616" s="22"/>
      <c r="S616" s="117"/>
      <c r="T616" s="181"/>
      <c r="U616" s="184"/>
      <c r="V616" s="184"/>
      <c r="W616" s="184"/>
      <c r="X616" s="184"/>
      <c r="Y616" s="184"/>
      <c r="Z616" s="184"/>
      <c r="AA616" s="184"/>
      <c r="AB616" s="184"/>
      <c r="AC616" s="184"/>
      <c r="AD616" s="186"/>
      <c r="AE616" s="187"/>
      <c r="AF616" s="184"/>
      <c r="AG616" s="187"/>
      <c r="AH616" s="189"/>
      <c r="AI616" s="189"/>
      <c r="AJ616" s="189"/>
      <c r="AK616" s="189"/>
      <c r="AL616" s="189"/>
      <c r="AM616" s="189"/>
      <c r="AN616" s="187"/>
      <c r="AO616" s="187"/>
      <c r="AP616" s="686" t="s">
        <v>97</v>
      </c>
      <c r="AQ616" s="187"/>
      <c r="AR616" s="187"/>
      <c r="AS616" s="119"/>
    </row>
    <row r="617">
      <c r="A617" s="137">
        <v>453.0</v>
      </c>
      <c r="B617" s="315"/>
      <c r="C617" s="104" t="s">
        <v>3730</v>
      </c>
      <c r="D617" s="296" t="s">
        <v>55</v>
      </c>
      <c r="E617" s="297" t="s">
        <v>55</v>
      </c>
      <c r="F617" s="178"/>
      <c r="G617" s="77" t="s">
        <v>3731</v>
      </c>
      <c r="H617" s="81" t="s">
        <v>3732</v>
      </c>
      <c r="I617" s="316" t="s">
        <v>24</v>
      </c>
      <c r="J617" s="155"/>
      <c r="K617" s="37">
        <v>43845.0</v>
      </c>
      <c r="L617" s="37">
        <v>43858.0</v>
      </c>
      <c r="M617" s="85" t="s">
        <v>196</v>
      </c>
      <c r="N617" s="85" t="s">
        <v>29</v>
      </c>
      <c r="O617" s="113">
        <v>43685.0</v>
      </c>
      <c r="P617" s="37">
        <v>43685.0</v>
      </c>
      <c r="Q617" s="201"/>
      <c r="R617" s="201"/>
      <c r="S617" s="224"/>
      <c r="T617" s="181"/>
      <c r="U617" s="184"/>
      <c r="V617" s="184"/>
      <c r="W617" s="184"/>
      <c r="X617" s="184"/>
      <c r="Y617" s="184"/>
      <c r="Z617" s="420" t="s">
        <v>97</v>
      </c>
      <c r="AA617" s="184"/>
      <c r="AB617" s="184"/>
      <c r="AC617" s="184"/>
      <c r="AD617" s="186"/>
      <c r="AE617" s="187"/>
      <c r="AF617" s="184"/>
      <c r="AG617" s="187"/>
      <c r="AH617" s="189"/>
      <c r="AI617" s="189"/>
      <c r="AJ617" s="189"/>
      <c r="AK617" s="189"/>
      <c r="AL617" s="189"/>
      <c r="AM617" s="189"/>
      <c r="AN617" s="187"/>
      <c r="AO617" s="187"/>
      <c r="AP617" s="184"/>
      <c r="AQ617" s="187"/>
      <c r="AR617" s="187"/>
      <c r="AS617" s="119"/>
    </row>
    <row r="618">
      <c r="A618" s="101">
        <v>1023.0</v>
      </c>
      <c r="B618" s="173"/>
      <c r="C618" s="740" t="s">
        <v>3733</v>
      </c>
      <c r="D618" s="741" t="s">
        <v>62</v>
      </c>
      <c r="E618" s="742" t="s">
        <v>62</v>
      </c>
      <c r="F618" s="254"/>
      <c r="G618" s="256" t="s">
        <v>1905</v>
      </c>
      <c r="H618" s="258" t="s">
        <v>3734</v>
      </c>
      <c r="I618" s="259" t="s">
        <v>3735</v>
      </c>
      <c r="J618" s="288"/>
      <c r="K618" s="284" t="s">
        <v>27</v>
      </c>
      <c r="L618" s="284" t="s">
        <v>27</v>
      </c>
      <c r="M618" s="254" t="s">
        <v>3736</v>
      </c>
      <c r="N618" s="254" t="s">
        <v>29</v>
      </c>
      <c r="O618" s="284" t="s">
        <v>27</v>
      </c>
      <c r="P618" s="284" t="s">
        <v>27</v>
      </c>
      <c r="Q618" s="22"/>
      <c r="R618" s="22"/>
      <c r="S618" s="117"/>
      <c r="T618" s="236"/>
      <c r="U618" s="161"/>
      <c r="V618" s="161"/>
      <c r="W618" s="161"/>
      <c r="X618" s="161"/>
      <c r="Y618" s="161"/>
      <c r="Z618" s="161"/>
      <c r="AA618" s="161"/>
      <c r="AB618" s="161"/>
      <c r="AC618" s="161"/>
      <c r="AD618" s="161"/>
      <c r="AE618" s="161"/>
      <c r="AF618" s="548" t="s">
        <v>97</v>
      </c>
      <c r="AG618" s="237"/>
      <c r="AH618" s="163"/>
      <c r="AI618" s="163"/>
      <c r="AJ618" s="163"/>
      <c r="AK618" s="163"/>
      <c r="AL618" s="163"/>
      <c r="AM618" s="163"/>
      <c r="AN618" s="161"/>
      <c r="AO618" s="161"/>
      <c r="AP618" s="161"/>
      <c r="AQ618" s="161"/>
      <c r="AR618" s="161"/>
      <c r="AS618" s="119"/>
    </row>
    <row r="619">
      <c r="A619" s="137">
        <v>967.0</v>
      </c>
      <c r="B619" s="122">
        <v>8.0</v>
      </c>
      <c r="C619" s="123" t="s">
        <v>3737</v>
      </c>
      <c r="D619" s="138" t="s">
        <v>59</v>
      </c>
      <c r="E619" s="138" t="s">
        <v>59</v>
      </c>
      <c r="F619" s="127"/>
      <c r="G619" s="128" t="s">
        <v>3738</v>
      </c>
      <c r="H619" s="89" t="s">
        <v>3739</v>
      </c>
      <c r="I619" s="91" t="str">
        <f>HYPERLINK("https://filmfreeway.com/NewYorkLatinoFilmFestival","https://filmfreeway.com/NewYorkLatinoFilmFestival")</f>
        <v>https://filmfreeway.com/NewYorkLatinoFilmFestival</v>
      </c>
      <c r="J619" s="112"/>
      <c r="K619" s="113">
        <v>44055.0</v>
      </c>
      <c r="L619" s="113">
        <v>44059.0</v>
      </c>
      <c r="M619" s="130" t="s">
        <v>196</v>
      </c>
      <c r="N619" s="130" t="s">
        <v>29</v>
      </c>
      <c r="O619" s="113">
        <v>43905.0</v>
      </c>
      <c r="P619" s="113">
        <v>43966.0</v>
      </c>
      <c r="Q619" s="131"/>
      <c r="R619" s="132"/>
      <c r="S619" s="132"/>
      <c r="T619" s="118"/>
      <c r="U619" s="119"/>
      <c r="V619" s="119"/>
      <c r="W619" s="119"/>
      <c r="X619" s="119"/>
      <c r="Y619" s="134"/>
      <c r="Z619" s="119"/>
      <c r="AA619" s="119"/>
      <c r="AB619" s="119"/>
      <c r="AC619" s="551" t="s">
        <v>97</v>
      </c>
      <c r="AD619" s="119"/>
      <c r="AE619" s="119"/>
      <c r="AF619" s="119"/>
      <c r="AG619" s="119"/>
      <c r="AH619" s="121"/>
      <c r="AI619" s="121"/>
      <c r="AJ619" s="121"/>
      <c r="AK619" s="121"/>
      <c r="AL619" s="121"/>
      <c r="AM619" s="135"/>
      <c r="AN619" s="119"/>
      <c r="AO619" s="119"/>
      <c r="AP619" s="119"/>
      <c r="AQ619" s="119"/>
      <c r="AR619" s="119"/>
      <c r="AS619" s="119"/>
    </row>
    <row r="620">
      <c r="A620" s="101">
        <v>454.0</v>
      </c>
      <c r="B620" s="150"/>
      <c r="C620" s="104" t="s">
        <v>3740</v>
      </c>
      <c r="D620" s="105" t="s">
        <v>48</v>
      </c>
      <c r="E620" s="107" t="s">
        <v>48</v>
      </c>
      <c r="F620" s="101"/>
      <c r="G620" s="40" t="s">
        <v>3741</v>
      </c>
      <c r="H620" s="55" t="s">
        <v>3742</v>
      </c>
      <c r="I620" s="69" t="s">
        <v>3743</v>
      </c>
      <c r="J620" s="155"/>
      <c r="K620" s="37">
        <v>44003.0</v>
      </c>
      <c r="L620" s="37">
        <v>44010.0</v>
      </c>
      <c r="M620" s="73" t="s">
        <v>28</v>
      </c>
      <c r="N620" s="179" t="s">
        <v>29</v>
      </c>
      <c r="O620" s="113">
        <v>43689.0</v>
      </c>
      <c r="P620" s="37">
        <v>43962.0</v>
      </c>
      <c r="Q620" s="22"/>
      <c r="R620" s="22"/>
      <c r="S620" s="117"/>
      <c r="T620" s="236"/>
      <c r="U620" s="176" t="s">
        <v>97</v>
      </c>
      <c r="V620" s="161"/>
      <c r="W620" s="161"/>
      <c r="X620" s="161"/>
      <c r="Y620" s="161"/>
      <c r="Z620" s="161"/>
      <c r="AA620" s="161"/>
      <c r="AB620" s="161"/>
      <c r="AC620" s="161"/>
      <c r="AD620" s="161"/>
      <c r="AE620" s="161"/>
      <c r="AF620" s="161"/>
      <c r="AG620" s="161"/>
      <c r="AH620" s="163"/>
      <c r="AI620" s="163"/>
      <c r="AJ620" s="163"/>
      <c r="AK620" s="163"/>
      <c r="AL620" s="163"/>
      <c r="AM620" s="163"/>
      <c r="AN620" s="161"/>
      <c r="AO620" s="161"/>
      <c r="AP620" s="161"/>
      <c r="AQ620" s="161"/>
      <c r="AR620" s="161"/>
      <c r="AS620" s="119"/>
    </row>
    <row r="621">
      <c r="A621" s="137">
        <v>455.0</v>
      </c>
      <c r="B621" s="150"/>
      <c r="C621" s="104" t="s">
        <v>3744</v>
      </c>
      <c r="D621" s="296" t="s">
        <v>55</v>
      </c>
      <c r="E621" s="297" t="s">
        <v>55</v>
      </c>
      <c r="F621" s="101"/>
      <c r="G621" s="40" t="s">
        <v>3745</v>
      </c>
      <c r="H621" s="55" t="s">
        <v>3746</v>
      </c>
      <c r="I621" s="69" t="s">
        <v>3747</v>
      </c>
      <c r="J621" s="155"/>
      <c r="K621" s="37">
        <v>43879.0</v>
      </c>
      <c r="L621" s="37">
        <v>43888.0</v>
      </c>
      <c r="M621" s="156" t="s">
        <v>196</v>
      </c>
      <c r="N621" s="179" t="s">
        <v>29</v>
      </c>
      <c r="O621" s="113">
        <v>43729.0</v>
      </c>
      <c r="P621" s="37">
        <v>43729.0</v>
      </c>
      <c r="Q621" s="22"/>
      <c r="R621" s="22"/>
      <c r="S621" s="117"/>
      <c r="T621" s="236"/>
      <c r="U621" s="161"/>
      <c r="V621" s="161"/>
      <c r="W621" s="161"/>
      <c r="X621" s="161"/>
      <c r="Y621" s="161"/>
      <c r="Z621" s="299" t="s">
        <v>97</v>
      </c>
      <c r="AA621" s="161"/>
      <c r="AB621" s="161"/>
      <c r="AC621" s="161"/>
      <c r="AD621" s="161"/>
      <c r="AE621" s="161"/>
      <c r="AF621" s="161"/>
      <c r="AG621" s="161"/>
      <c r="AH621" s="163"/>
      <c r="AI621" s="163"/>
      <c r="AJ621" s="163"/>
      <c r="AK621" s="163"/>
      <c r="AL621" s="163"/>
      <c r="AM621" s="163"/>
      <c r="AN621" s="161"/>
      <c r="AO621" s="161"/>
      <c r="AP621" s="161"/>
      <c r="AQ621" s="161"/>
      <c r="AR621" s="161"/>
      <c r="AS621" s="119"/>
    </row>
    <row r="622">
      <c r="A622" s="137">
        <v>456.0</v>
      </c>
      <c r="B622" s="150"/>
      <c r="C622" s="104" t="s">
        <v>3748</v>
      </c>
      <c r="D622" s="105" t="s">
        <v>52</v>
      </c>
      <c r="E622" s="107" t="s">
        <v>52</v>
      </c>
      <c r="F622" s="101"/>
      <c r="G622" s="40" t="s">
        <v>3749</v>
      </c>
      <c r="H622" s="274" t="s">
        <v>3750</v>
      </c>
      <c r="I622" s="69" t="s">
        <v>3751</v>
      </c>
      <c r="J622" s="155"/>
      <c r="K622" s="37">
        <v>43980.0</v>
      </c>
      <c r="L622" s="37">
        <v>43986.0</v>
      </c>
      <c r="M622" s="156" t="s">
        <v>196</v>
      </c>
      <c r="N622" s="179" t="s">
        <v>29</v>
      </c>
      <c r="O622" s="113">
        <v>43847.0</v>
      </c>
      <c r="P622" s="37">
        <v>43938.0</v>
      </c>
      <c r="Q622" s="22"/>
      <c r="R622" s="22"/>
      <c r="S622" s="117"/>
      <c r="T622" s="236"/>
      <c r="U622" s="161"/>
      <c r="V622" s="161"/>
      <c r="W622" s="120" t="s">
        <v>97</v>
      </c>
      <c r="X622" s="161"/>
      <c r="Y622" s="161"/>
      <c r="Z622" s="161"/>
      <c r="AA622" s="161"/>
      <c r="AB622" s="161"/>
      <c r="AC622" s="161"/>
      <c r="AD622" s="161"/>
      <c r="AE622" s="161"/>
      <c r="AF622" s="161"/>
      <c r="AG622" s="161"/>
      <c r="AH622" s="163"/>
      <c r="AI622" s="163"/>
      <c r="AJ622" s="163"/>
      <c r="AK622" s="163"/>
      <c r="AL622" s="163"/>
      <c r="AM622" s="163"/>
      <c r="AN622" s="161"/>
      <c r="AO622" s="161"/>
      <c r="AP622" s="161"/>
      <c r="AQ622" s="161"/>
      <c r="AR622" s="161"/>
      <c r="AS622" s="119"/>
    </row>
    <row r="623">
      <c r="A623" s="137">
        <v>810.0</v>
      </c>
      <c r="B623" s="103"/>
      <c r="C623" s="104" t="s">
        <v>3752</v>
      </c>
      <c r="D623" s="105" t="s">
        <v>52</v>
      </c>
      <c r="E623" s="107" t="s">
        <v>52</v>
      </c>
      <c r="F623" s="109"/>
      <c r="G623" s="10" t="s">
        <v>3753</v>
      </c>
      <c r="H623" s="17" t="s">
        <v>3754</v>
      </c>
      <c r="I623" s="111" t="s">
        <v>3755</v>
      </c>
      <c r="J623" s="112"/>
      <c r="K623" s="113">
        <v>44099.0</v>
      </c>
      <c r="L623" s="113">
        <v>44100.0</v>
      </c>
      <c r="M623" s="24" t="s">
        <v>279</v>
      </c>
      <c r="N623" s="24" t="s">
        <v>29</v>
      </c>
      <c r="O623" s="114">
        <v>43799.0</v>
      </c>
      <c r="P623" s="114">
        <v>44045.0</v>
      </c>
      <c r="Q623" s="115"/>
      <c r="R623" s="115"/>
      <c r="S623" s="117"/>
      <c r="T623" s="118"/>
      <c r="U623" s="119"/>
      <c r="V623" s="119"/>
      <c r="W623" s="120" t="s">
        <v>97</v>
      </c>
      <c r="X623" s="119"/>
      <c r="Y623" s="119"/>
      <c r="Z623" s="119"/>
      <c r="AA623" s="119"/>
      <c r="AB623" s="119"/>
      <c r="AC623" s="119"/>
      <c r="AD623" s="119"/>
      <c r="AE623" s="119"/>
      <c r="AF623" s="119"/>
      <c r="AG623" s="119"/>
      <c r="AH623" s="121"/>
      <c r="AI623" s="121"/>
      <c r="AJ623" s="121"/>
      <c r="AK623" s="121"/>
      <c r="AL623" s="121"/>
      <c r="AM623" s="121"/>
      <c r="AN623" s="119"/>
      <c r="AO623" s="119"/>
      <c r="AP623" s="119"/>
      <c r="AQ623" s="119"/>
      <c r="AR623" s="119"/>
      <c r="AS623" s="119"/>
    </row>
    <row r="624">
      <c r="A624" s="101">
        <v>457.0</v>
      </c>
      <c r="B624" s="150"/>
      <c r="C624" s="104" t="s">
        <v>3756</v>
      </c>
      <c r="D624" s="138" t="s">
        <v>75</v>
      </c>
      <c r="E624" s="107" t="s">
        <v>345</v>
      </c>
      <c r="F624" s="101"/>
      <c r="G624" s="40" t="s">
        <v>3757</v>
      </c>
      <c r="H624" s="55" t="s">
        <v>3758</v>
      </c>
      <c r="I624" s="69" t="s">
        <v>3759</v>
      </c>
      <c r="J624" s="155"/>
      <c r="K624" s="37">
        <v>43888.0</v>
      </c>
      <c r="L624" s="37">
        <v>43891.0</v>
      </c>
      <c r="M624" s="156" t="s">
        <v>196</v>
      </c>
      <c r="N624" s="179" t="s">
        <v>29</v>
      </c>
      <c r="O624" s="113">
        <v>43626.0</v>
      </c>
      <c r="P624" s="37">
        <v>43738.0</v>
      </c>
      <c r="Q624" s="22"/>
      <c r="R624" s="22"/>
      <c r="S624" s="117"/>
      <c r="T624" s="236" t="s">
        <v>50</v>
      </c>
      <c r="U624" s="161"/>
      <c r="V624" s="161"/>
      <c r="W624" s="161"/>
      <c r="X624" s="161"/>
      <c r="Y624" s="161"/>
      <c r="Z624" s="161"/>
      <c r="AA624" s="161"/>
      <c r="AB624" s="161"/>
      <c r="AC624" s="161"/>
      <c r="AD624" s="161"/>
      <c r="AE624" s="161"/>
      <c r="AF624" s="161"/>
      <c r="AG624" s="161"/>
      <c r="AH624" s="163"/>
      <c r="AI624" s="163"/>
      <c r="AJ624" s="163"/>
      <c r="AK624" s="163"/>
      <c r="AL624" s="163"/>
      <c r="AM624" s="163"/>
      <c r="AN624" s="143" t="s">
        <v>97</v>
      </c>
      <c r="AO624" s="161"/>
      <c r="AP624" s="161"/>
      <c r="AQ624" s="161"/>
      <c r="AR624" s="161"/>
      <c r="AS624" s="119"/>
    </row>
    <row r="625">
      <c r="A625" s="137">
        <v>458.0</v>
      </c>
      <c r="B625" s="315">
        <v>6.0</v>
      </c>
      <c r="C625" s="104" t="s">
        <v>3760</v>
      </c>
      <c r="D625" s="138" t="s">
        <v>56</v>
      </c>
      <c r="E625" s="156" t="s">
        <v>227</v>
      </c>
      <c r="F625" s="178"/>
      <c r="G625" s="77" t="s">
        <v>3761</v>
      </c>
      <c r="H625" s="81" t="s">
        <v>3762</v>
      </c>
      <c r="I625" s="316" t="s">
        <v>24</v>
      </c>
      <c r="J625" s="155"/>
      <c r="K625" s="37">
        <v>44021.0</v>
      </c>
      <c r="L625" s="37">
        <v>44023.0</v>
      </c>
      <c r="M625" s="85" t="s">
        <v>3763</v>
      </c>
      <c r="N625" s="85" t="s">
        <v>412</v>
      </c>
      <c r="O625" s="37">
        <v>43908.0</v>
      </c>
      <c r="P625" s="37">
        <v>43908.0</v>
      </c>
      <c r="Q625" s="201"/>
      <c r="R625" s="201"/>
      <c r="S625" s="224"/>
      <c r="T625" s="181"/>
      <c r="U625" s="184"/>
      <c r="V625" s="184"/>
      <c r="W625" s="184"/>
      <c r="X625" s="184"/>
      <c r="Y625" s="184"/>
      <c r="Z625" s="184"/>
      <c r="AA625" s="398" t="s">
        <v>97</v>
      </c>
      <c r="AB625" s="184"/>
      <c r="AC625" s="184"/>
      <c r="AD625" s="186"/>
      <c r="AE625" s="187"/>
      <c r="AF625" s="184"/>
      <c r="AG625" s="187"/>
      <c r="AH625" s="189"/>
      <c r="AI625" s="189"/>
      <c r="AJ625" s="189"/>
      <c r="AK625" s="189"/>
      <c r="AL625" s="189"/>
      <c r="AM625" s="189"/>
      <c r="AN625" s="187"/>
      <c r="AO625" s="187"/>
      <c r="AP625" s="184"/>
      <c r="AQ625" s="187"/>
      <c r="AR625" s="187"/>
      <c r="AS625" s="119"/>
    </row>
    <row r="626">
      <c r="A626" s="137">
        <v>911.0</v>
      </c>
      <c r="B626" s="122">
        <v>9.0</v>
      </c>
      <c r="C626" s="123" t="s">
        <v>3764</v>
      </c>
      <c r="D626" s="124" t="s">
        <v>51</v>
      </c>
      <c r="E626" s="126" t="s">
        <v>51</v>
      </c>
      <c r="F626" s="312"/>
      <c r="G626" s="216" t="s">
        <v>3765</v>
      </c>
      <c r="H626" s="89" t="s">
        <v>3766</v>
      </c>
      <c r="I626" s="91" t="str">
        <f>HYPERLINK("https://filmfreeway.com/NewburyportDocumentaryFilmFestival","https://filmfreeway.com/NewburyportDocumentaryFilmFestival")</f>
        <v>https://filmfreeway.com/NewburyportDocumentaryFilmFestival</v>
      </c>
      <c r="J626" s="155"/>
      <c r="K626" s="37">
        <v>44092.0</v>
      </c>
      <c r="L626" s="37">
        <v>44094.0</v>
      </c>
      <c r="M626" s="130" t="s">
        <v>3767</v>
      </c>
      <c r="N626" s="130" t="s">
        <v>80</v>
      </c>
      <c r="O626" s="37">
        <v>43938.0</v>
      </c>
      <c r="P626" s="37">
        <v>44001.0</v>
      </c>
      <c r="Q626" s="131"/>
      <c r="R626" s="132"/>
      <c r="S626" s="148" t="s">
        <v>97</v>
      </c>
      <c r="T626" s="118"/>
      <c r="U626" s="119"/>
      <c r="V626" s="241" t="s">
        <v>97</v>
      </c>
      <c r="W626" s="119"/>
      <c r="X626" s="119"/>
      <c r="Y626" s="134"/>
      <c r="Z626" s="119"/>
      <c r="AA626" s="119"/>
      <c r="AB626" s="119"/>
      <c r="AC626" s="119"/>
      <c r="AD626" s="119"/>
      <c r="AE626" s="119"/>
      <c r="AF626" s="119"/>
      <c r="AG626" s="119"/>
      <c r="AH626" s="121"/>
      <c r="AI626" s="121"/>
      <c r="AJ626" s="121"/>
      <c r="AK626" s="121"/>
      <c r="AL626" s="121"/>
      <c r="AM626" s="135"/>
      <c r="AN626" s="119"/>
      <c r="AO626" s="119"/>
      <c r="AP626" s="119"/>
      <c r="AQ626" s="119"/>
      <c r="AR626" s="119"/>
      <c r="AS626" s="119"/>
    </row>
    <row r="627">
      <c r="A627" s="137">
        <v>879.0</v>
      </c>
      <c r="B627" s="730">
        <v>10.0</v>
      </c>
      <c r="C627" s="130" t="s">
        <v>3768</v>
      </c>
      <c r="D627" s="226" t="s">
        <v>54</v>
      </c>
      <c r="E627" s="227" t="s">
        <v>54</v>
      </c>
      <c r="F627" s="127"/>
      <c r="G627" s="128" t="s">
        <v>2042</v>
      </c>
      <c r="H627" s="278" t="s">
        <v>3769</v>
      </c>
      <c r="I627" s="280" t="s">
        <v>3770</v>
      </c>
      <c r="J627" s="155"/>
      <c r="K627" s="37">
        <v>44125.0</v>
      </c>
      <c r="L627" s="37">
        <v>44131.0</v>
      </c>
      <c r="M627" s="130" t="s">
        <v>3736</v>
      </c>
      <c r="N627" s="130" t="s">
        <v>29</v>
      </c>
      <c r="O627" s="37">
        <v>43942.0</v>
      </c>
      <c r="P627" s="37">
        <v>44039.0</v>
      </c>
      <c r="Q627" s="361"/>
      <c r="R627" s="361"/>
      <c r="S627" s="117"/>
      <c r="T627" s="265"/>
      <c r="U627" s="266"/>
      <c r="V627" s="266"/>
      <c r="W627" s="266"/>
      <c r="X627" s="266"/>
      <c r="Y627" s="603" t="s">
        <v>97</v>
      </c>
      <c r="Z627" s="266"/>
      <c r="AA627" s="266"/>
      <c r="AB627" s="266"/>
      <c r="AC627" s="266"/>
      <c r="AD627" s="266"/>
      <c r="AE627" s="266"/>
      <c r="AF627" s="266"/>
      <c r="AG627" s="266"/>
      <c r="AH627" s="266"/>
      <c r="AI627" s="266"/>
      <c r="AJ627" s="266"/>
      <c r="AK627" s="266"/>
      <c r="AL627" s="266"/>
      <c r="AM627" s="266"/>
      <c r="AN627" s="266"/>
      <c r="AO627" s="266"/>
      <c r="AP627" s="266"/>
      <c r="AQ627" s="266"/>
      <c r="AR627" s="266"/>
      <c r="AS627" s="119"/>
    </row>
    <row r="628">
      <c r="A628" s="137">
        <v>459.0</v>
      </c>
      <c r="B628" s="177"/>
      <c r="C628" s="104" t="s">
        <v>3771</v>
      </c>
      <c r="D628" s="105" t="s">
        <v>48</v>
      </c>
      <c r="E628" s="107" t="s">
        <v>48</v>
      </c>
      <c r="F628" s="178"/>
      <c r="G628" s="77" t="s">
        <v>569</v>
      </c>
      <c r="H628" s="81" t="s">
        <v>570</v>
      </c>
      <c r="I628" s="84" t="s">
        <v>574</v>
      </c>
      <c r="J628" s="20" t="s">
        <v>577</v>
      </c>
      <c r="K628" s="37">
        <v>43944.0</v>
      </c>
      <c r="L628" s="37">
        <v>43951.0</v>
      </c>
      <c r="M628" s="85" t="s">
        <v>578</v>
      </c>
      <c r="N628" s="85" t="s">
        <v>72</v>
      </c>
      <c r="O628" s="113">
        <v>43735.0</v>
      </c>
      <c r="P628" s="37">
        <v>43868.0</v>
      </c>
      <c r="Q628" s="22"/>
      <c r="R628" s="22"/>
      <c r="S628" s="117"/>
      <c r="T628" s="181"/>
      <c r="U628" s="182" t="s">
        <v>97</v>
      </c>
      <c r="V628" s="184"/>
      <c r="W628" s="184"/>
      <c r="X628" s="184"/>
      <c r="Y628" s="184"/>
      <c r="Z628" s="184"/>
      <c r="AA628" s="184"/>
      <c r="AB628" s="184"/>
      <c r="AC628" s="184"/>
      <c r="AD628" s="186"/>
      <c r="AE628" s="187"/>
      <c r="AF628" s="184"/>
      <c r="AG628" s="187"/>
      <c r="AH628" s="189"/>
      <c r="AI628" s="189"/>
      <c r="AJ628" s="189"/>
      <c r="AK628" s="189"/>
      <c r="AL628" s="189"/>
      <c r="AM628" s="189"/>
      <c r="AN628" s="187"/>
      <c r="AO628" s="187"/>
      <c r="AP628" s="184"/>
      <c r="AQ628" s="187"/>
      <c r="AR628" s="187"/>
      <c r="AS628" s="119"/>
    </row>
    <row r="629">
      <c r="A629" s="137">
        <v>983.0</v>
      </c>
      <c r="B629" s="122">
        <v>10.0</v>
      </c>
      <c r="C629" s="123" t="s">
        <v>3772</v>
      </c>
      <c r="D629" s="124" t="s">
        <v>70</v>
      </c>
      <c r="E629" s="126" t="s">
        <v>70</v>
      </c>
      <c r="F629" s="127"/>
      <c r="G629" s="128" t="s">
        <v>3773</v>
      </c>
      <c r="H629" s="89" t="s">
        <v>3774</v>
      </c>
      <c r="I629" s="91" t="str">
        <f>HYPERLINK("https://filmfreeway.com/NFFTY","https://filmfreeway.com/NFFTY")</f>
        <v>https://filmfreeway.com/NFFTY</v>
      </c>
      <c r="J629" s="155"/>
      <c r="K629" s="37">
        <v>44126.0</v>
      </c>
      <c r="L629" s="37">
        <v>44129.0</v>
      </c>
      <c r="M629" s="130" t="s">
        <v>250</v>
      </c>
      <c r="N629" s="130" t="s">
        <v>251</v>
      </c>
      <c r="O629" s="37">
        <v>43931.0</v>
      </c>
      <c r="P629" s="37">
        <v>44029.0</v>
      </c>
      <c r="Q629" s="131"/>
      <c r="R629" s="132"/>
      <c r="S629" s="132"/>
      <c r="T629" s="118"/>
      <c r="U629" s="119"/>
      <c r="V629" s="119"/>
      <c r="W629" s="119"/>
      <c r="X629" s="119"/>
      <c r="Y629" s="134"/>
      <c r="Z629" s="119"/>
      <c r="AA629" s="119"/>
      <c r="AB629" s="119"/>
      <c r="AC629" s="119"/>
      <c r="AD629" s="119"/>
      <c r="AE629" s="119"/>
      <c r="AF629" s="119"/>
      <c r="AG629" s="119"/>
      <c r="AH629" s="121"/>
      <c r="AI629" s="121"/>
      <c r="AJ629" s="121"/>
      <c r="AK629" s="121"/>
      <c r="AL629" s="149" t="s">
        <v>97</v>
      </c>
      <c r="AM629" s="135"/>
      <c r="AN629" s="119"/>
      <c r="AO629" s="119"/>
      <c r="AP629" s="119"/>
      <c r="AQ629" s="119"/>
      <c r="AR629" s="119"/>
      <c r="AS629" s="119"/>
    </row>
    <row r="630">
      <c r="A630" s="101">
        <v>460.0</v>
      </c>
      <c r="B630" s="150"/>
      <c r="C630" s="104" t="s">
        <v>3775</v>
      </c>
      <c r="D630" s="105" t="s">
        <v>51</v>
      </c>
      <c r="E630" s="107" t="s">
        <v>51</v>
      </c>
      <c r="F630" s="101"/>
      <c r="G630" s="40" t="s">
        <v>3776</v>
      </c>
      <c r="H630" s="55" t="s">
        <v>3777</v>
      </c>
      <c r="I630" s="69" t="s">
        <v>3778</v>
      </c>
      <c r="J630" s="155"/>
      <c r="K630" s="37">
        <v>43984.0</v>
      </c>
      <c r="L630" s="37">
        <v>43989.0</v>
      </c>
      <c r="M630" s="73" t="s">
        <v>3687</v>
      </c>
      <c r="N630" s="179" t="s">
        <v>339</v>
      </c>
      <c r="O630" s="113">
        <v>43831.0</v>
      </c>
      <c r="P630" s="37">
        <v>43946.0</v>
      </c>
      <c r="Q630" s="22"/>
      <c r="R630" s="22"/>
      <c r="S630" s="117"/>
      <c r="T630" s="236"/>
      <c r="U630" s="161"/>
      <c r="V630" s="241" t="s">
        <v>97</v>
      </c>
      <c r="W630" s="161"/>
      <c r="X630" s="161"/>
      <c r="Y630" s="161"/>
      <c r="Z630" s="161"/>
      <c r="AA630" s="161"/>
      <c r="AB630" s="161"/>
      <c r="AC630" s="161"/>
      <c r="AD630" s="161"/>
      <c r="AE630" s="161"/>
      <c r="AF630" s="161"/>
      <c r="AG630" s="161"/>
      <c r="AH630" s="163"/>
      <c r="AI630" s="163"/>
      <c r="AJ630" s="163"/>
      <c r="AK630" s="163"/>
      <c r="AL630" s="163"/>
      <c r="AM630" s="163"/>
      <c r="AN630" s="161"/>
      <c r="AO630" s="161"/>
      <c r="AP630" s="161"/>
      <c r="AQ630" s="161"/>
      <c r="AR630" s="161"/>
      <c r="AS630" s="119"/>
    </row>
    <row r="631">
      <c r="A631" s="137">
        <v>751.0</v>
      </c>
      <c r="B631" s="197">
        <v>10.0</v>
      </c>
      <c r="C631" s="104" t="s">
        <v>3779</v>
      </c>
      <c r="D631" s="105" t="s">
        <v>48</v>
      </c>
      <c r="E631" s="107" t="s">
        <v>48</v>
      </c>
      <c r="F631" s="109"/>
      <c r="G631" s="10" t="s">
        <v>2159</v>
      </c>
      <c r="H631" s="17" t="s">
        <v>3780</v>
      </c>
      <c r="I631" s="34" t="s">
        <v>3781</v>
      </c>
      <c r="J631" s="155"/>
      <c r="K631" s="37">
        <v>44125.0</v>
      </c>
      <c r="L631" s="37">
        <v>44128.0</v>
      </c>
      <c r="M631" s="24" t="s">
        <v>387</v>
      </c>
      <c r="N631" s="24" t="s">
        <v>102</v>
      </c>
      <c r="O631" s="37">
        <v>43938.0</v>
      </c>
      <c r="P631" s="37">
        <v>44104.0</v>
      </c>
      <c r="Q631" s="115"/>
      <c r="R631" s="115"/>
      <c r="S631" s="117"/>
      <c r="T631" s="118"/>
      <c r="U631" s="176" t="s">
        <v>97</v>
      </c>
      <c r="V631" s="119"/>
      <c r="W631" s="119"/>
      <c r="X631" s="119"/>
      <c r="Y631" s="119"/>
      <c r="Z631" s="119"/>
      <c r="AA631" s="119"/>
      <c r="AB631" s="119"/>
      <c r="AC631" s="119"/>
      <c r="AD631" s="119"/>
      <c r="AE631" s="119"/>
      <c r="AF631" s="119"/>
      <c r="AG631" s="119"/>
      <c r="AH631" s="121"/>
      <c r="AI631" s="121"/>
      <c r="AJ631" s="121"/>
      <c r="AK631" s="121"/>
      <c r="AL631" s="121"/>
      <c r="AM631" s="121"/>
      <c r="AN631" s="119"/>
      <c r="AO631" s="119"/>
      <c r="AP631" s="119"/>
      <c r="AQ631" s="119"/>
      <c r="AR631" s="119"/>
      <c r="AS631" s="119"/>
    </row>
    <row r="632">
      <c r="A632" s="137">
        <v>461.0</v>
      </c>
      <c r="B632" s="150">
        <v>10.0</v>
      </c>
      <c r="C632" s="104" t="s">
        <v>3782</v>
      </c>
      <c r="D632" s="105" t="s">
        <v>64</v>
      </c>
      <c r="E632" s="107" t="s">
        <v>64</v>
      </c>
      <c r="F632" s="101"/>
      <c r="G632" s="40" t="s">
        <v>3783</v>
      </c>
      <c r="H632" s="55" t="s">
        <v>3784</v>
      </c>
      <c r="I632" s="69" t="s">
        <v>3785</v>
      </c>
      <c r="J632" s="155"/>
      <c r="K632" s="37">
        <v>44126.0</v>
      </c>
      <c r="L632" s="37">
        <v>44129.0</v>
      </c>
      <c r="M632" s="73" t="s">
        <v>2194</v>
      </c>
      <c r="N632" s="179" t="s">
        <v>622</v>
      </c>
      <c r="O632" s="37">
        <v>43843.0</v>
      </c>
      <c r="P632" s="37">
        <v>44087.0</v>
      </c>
      <c r="Q632" s="22"/>
      <c r="R632" s="22"/>
      <c r="S632" s="117"/>
      <c r="T632" s="236"/>
      <c r="U632" s="161"/>
      <c r="V632" s="161"/>
      <c r="W632" s="161"/>
      <c r="X632" s="161"/>
      <c r="Y632" s="161"/>
      <c r="Z632" s="161"/>
      <c r="AA632" s="161"/>
      <c r="AB632" s="161"/>
      <c r="AC632" s="161"/>
      <c r="AD632" s="161"/>
      <c r="AE632" s="161"/>
      <c r="AF632" s="161"/>
      <c r="AG632" s="161"/>
      <c r="AH632" s="246" t="s">
        <v>97</v>
      </c>
      <c r="AI632" s="163"/>
      <c r="AJ632" s="163"/>
      <c r="AK632" s="163"/>
      <c r="AL632" s="163"/>
      <c r="AM632" s="163"/>
      <c r="AN632" s="161"/>
      <c r="AO632" s="161"/>
      <c r="AP632" s="161"/>
      <c r="AQ632" s="161"/>
      <c r="AR632" s="161"/>
      <c r="AS632" s="119"/>
    </row>
    <row r="633">
      <c r="A633" s="137">
        <v>928.0</v>
      </c>
      <c r="B633" s="122">
        <v>12.0</v>
      </c>
      <c r="C633" s="123" t="s">
        <v>3786</v>
      </c>
      <c r="D633" s="124" t="s">
        <v>71</v>
      </c>
      <c r="E633" s="126" t="s">
        <v>2614</v>
      </c>
      <c r="F633" s="127"/>
      <c r="G633" s="128" t="s">
        <v>3787</v>
      </c>
      <c r="H633" s="89" t="s">
        <v>3788</v>
      </c>
      <c r="I633" s="91" t="str">
        <f>HYPERLINK("https://filmfreeway.com/TheNihilistFilmFestival","https://filmfreeway.com/TheNihilistFilmFestival")</f>
        <v>https://filmfreeway.com/TheNihilistFilmFestival</v>
      </c>
      <c r="J633" s="155"/>
      <c r="K633" s="37">
        <v>44175.0</v>
      </c>
      <c r="L633" s="37">
        <v>44183.0</v>
      </c>
      <c r="M633" s="130" t="s">
        <v>221</v>
      </c>
      <c r="N633" s="130" t="s">
        <v>72</v>
      </c>
      <c r="O633" s="37">
        <v>44044.0</v>
      </c>
      <c r="P633" s="37">
        <v>44089.0</v>
      </c>
      <c r="Q633" s="131"/>
      <c r="R633" s="132"/>
      <c r="S633" s="132"/>
      <c r="T633" s="118"/>
      <c r="U633" s="119"/>
      <c r="V633" s="119"/>
      <c r="W633" s="120" t="s">
        <v>97</v>
      </c>
      <c r="X633" s="119"/>
      <c r="Y633" s="134"/>
      <c r="Z633" s="119"/>
      <c r="AA633" s="119"/>
      <c r="AB633" s="119"/>
      <c r="AC633" s="119"/>
      <c r="AD633" s="119"/>
      <c r="AE633" s="119"/>
      <c r="AF633" s="119"/>
      <c r="AG633" s="119"/>
      <c r="AH633" s="121"/>
      <c r="AI633" s="121"/>
      <c r="AJ633" s="121"/>
      <c r="AK633" s="121"/>
      <c r="AL633" s="121"/>
      <c r="AM633" s="165" t="s">
        <v>97</v>
      </c>
      <c r="AN633" s="119"/>
      <c r="AO633" s="119"/>
      <c r="AP633" s="119"/>
      <c r="AQ633" s="119"/>
      <c r="AR633" s="119"/>
      <c r="AS633" s="119"/>
    </row>
    <row r="634">
      <c r="A634" s="137">
        <v>851.0</v>
      </c>
      <c r="B634" s="103">
        <v>11.0</v>
      </c>
      <c r="C634" s="104" t="s">
        <v>3789</v>
      </c>
      <c r="D634" s="105" t="s">
        <v>52</v>
      </c>
      <c r="E634" s="107" t="s">
        <v>52</v>
      </c>
      <c r="F634" s="109"/>
      <c r="G634" s="10" t="s">
        <v>3790</v>
      </c>
      <c r="H634" s="17" t="s">
        <v>3791</v>
      </c>
      <c r="I634" s="111" t="s">
        <v>3792</v>
      </c>
      <c r="J634" s="155"/>
      <c r="K634" s="22" t="s">
        <v>27</v>
      </c>
      <c r="L634" s="22" t="s">
        <v>27</v>
      </c>
      <c r="M634" s="24" t="s">
        <v>28</v>
      </c>
      <c r="N634" s="24" t="s">
        <v>29</v>
      </c>
      <c r="O634" s="22" t="s">
        <v>27</v>
      </c>
      <c r="P634" s="22" t="s">
        <v>27</v>
      </c>
      <c r="Q634" s="223"/>
      <c r="R634" s="223"/>
      <c r="S634" s="224"/>
      <c r="T634" s="118"/>
      <c r="U634" s="119"/>
      <c r="V634" s="119"/>
      <c r="W634" s="120" t="s">
        <v>97</v>
      </c>
      <c r="X634" s="119"/>
      <c r="Y634" s="119"/>
      <c r="Z634" s="119"/>
      <c r="AA634" s="119"/>
      <c r="AB634" s="119"/>
      <c r="AC634" s="119"/>
      <c r="AD634" s="119"/>
      <c r="AE634" s="119"/>
      <c r="AF634" s="119"/>
      <c r="AG634" s="119"/>
      <c r="AH634" s="121"/>
      <c r="AI634" s="121"/>
      <c r="AJ634" s="121"/>
      <c r="AK634" s="121"/>
      <c r="AL634" s="121"/>
      <c r="AM634" s="121"/>
      <c r="AN634" s="119"/>
      <c r="AO634" s="119"/>
      <c r="AP634" s="119"/>
      <c r="AQ634" s="119"/>
      <c r="AR634" s="119"/>
      <c r="AS634" s="119"/>
    </row>
    <row r="635">
      <c r="A635" s="137">
        <v>462.0</v>
      </c>
      <c r="B635" s="150"/>
      <c r="C635" s="104" t="s">
        <v>3793</v>
      </c>
      <c r="D635" s="105" t="s">
        <v>64</v>
      </c>
      <c r="E635" s="107" t="s">
        <v>64</v>
      </c>
      <c r="F635" s="101"/>
      <c r="G635" s="40" t="s">
        <v>3794</v>
      </c>
      <c r="H635" s="55" t="s">
        <v>3795</v>
      </c>
      <c r="I635" s="69" t="s">
        <v>3796</v>
      </c>
      <c r="J635" s="155"/>
      <c r="K635" s="37">
        <v>44098.0</v>
      </c>
      <c r="L635" s="37">
        <v>44101.0</v>
      </c>
      <c r="M635" s="73" t="s">
        <v>536</v>
      </c>
      <c r="N635" s="179" t="s">
        <v>537</v>
      </c>
      <c r="O635" s="113">
        <v>43814.0</v>
      </c>
      <c r="P635" s="37">
        <v>44017.0</v>
      </c>
      <c r="Q635" s="22"/>
      <c r="R635" s="22"/>
      <c r="S635" s="193" t="s">
        <v>97</v>
      </c>
      <c r="T635" s="236"/>
      <c r="U635" s="161"/>
      <c r="V635" s="161"/>
      <c r="W635" s="161"/>
      <c r="X635" s="161"/>
      <c r="Y635" s="161"/>
      <c r="Z635" s="161"/>
      <c r="AA635" s="161"/>
      <c r="AB635" s="161"/>
      <c r="AC635" s="161"/>
      <c r="AD635" s="161"/>
      <c r="AE635" s="161"/>
      <c r="AF635" s="161"/>
      <c r="AG635" s="161"/>
      <c r="AH635" s="246" t="s">
        <v>97</v>
      </c>
      <c r="AI635" s="163"/>
      <c r="AJ635" s="163"/>
      <c r="AK635" s="163"/>
      <c r="AL635" s="163"/>
      <c r="AM635" s="163"/>
      <c r="AN635" s="161"/>
      <c r="AO635" s="161"/>
      <c r="AP635" s="161"/>
      <c r="AQ635" s="161"/>
      <c r="AR635" s="161"/>
      <c r="AS635" s="119"/>
    </row>
    <row r="636">
      <c r="A636" s="101">
        <v>979.0</v>
      </c>
      <c r="B636" s="284"/>
      <c r="C636" s="123" t="s">
        <v>3797</v>
      </c>
      <c r="D636" s="124" t="s">
        <v>64</v>
      </c>
      <c r="E636" s="126" t="s">
        <v>64</v>
      </c>
      <c r="F636" s="144"/>
      <c r="G636" s="87" t="s">
        <v>3798</v>
      </c>
      <c r="H636" s="89" t="s">
        <v>3799</v>
      </c>
      <c r="I636" s="91" t="str">
        <f>HYPERLINK("https://filmfreeway.com/NOLAHorrorFilmFest","https://filmfreeway.com/NOLAHorrorFilmFest")</f>
        <v>https://filmfreeway.com/NOLAHorrorFilmFest</v>
      </c>
      <c r="J636" s="288"/>
      <c r="K636" s="145">
        <v>44098.0</v>
      </c>
      <c r="L636" s="145">
        <v>44101.0</v>
      </c>
      <c r="M636" s="130" t="s">
        <v>536</v>
      </c>
      <c r="N636" s="130" t="s">
        <v>537</v>
      </c>
      <c r="O636" s="145">
        <v>43814.0</v>
      </c>
      <c r="P636" s="145">
        <v>44017.0</v>
      </c>
      <c r="Q636" s="131"/>
      <c r="R636" s="132"/>
      <c r="S636" s="148" t="s">
        <v>97</v>
      </c>
      <c r="T636" s="118"/>
      <c r="U636" s="119"/>
      <c r="V636" s="119"/>
      <c r="W636" s="119"/>
      <c r="X636" s="119"/>
      <c r="Y636" s="134"/>
      <c r="Z636" s="119"/>
      <c r="AA636" s="119"/>
      <c r="AB636" s="119"/>
      <c r="AC636" s="119"/>
      <c r="AD636" s="119"/>
      <c r="AE636" s="119"/>
      <c r="AF636" s="119"/>
      <c r="AG636" s="119"/>
      <c r="AH636" s="246" t="s">
        <v>97</v>
      </c>
      <c r="AI636" s="121"/>
      <c r="AJ636" s="121"/>
      <c r="AK636" s="121"/>
      <c r="AL636" s="121"/>
      <c r="AM636" s="135"/>
      <c r="AN636" s="119"/>
      <c r="AO636" s="119"/>
      <c r="AP636" s="119"/>
      <c r="AQ636" s="119"/>
      <c r="AR636" s="119"/>
      <c r="AS636" s="119"/>
    </row>
    <row r="637">
      <c r="A637" s="137">
        <v>463.0</v>
      </c>
      <c r="B637" s="150">
        <v>10.0</v>
      </c>
      <c r="C637" s="104" t="s">
        <v>3800</v>
      </c>
      <c r="D637" s="138" t="s">
        <v>62</v>
      </c>
      <c r="E637" s="107" t="s">
        <v>523</v>
      </c>
      <c r="F637" s="101"/>
      <c r="G637" s="40" t="s">
        <v>3801</v>
      </c>
      <c r="H637" s="55" t="s">
        <v>3802</v>
      </c>
      <c r="I637" s="69" t="s">
        <v>3803</v>
      </c>
      <c r="J637" s="155"/>
      <c r="K637" s="37">
        <v>44125.0</v>
      </c>
      <c r="L637" s="37">
        <v>44129.0</v>
      </c>
      <c r="M637" s="156" t="s">
        <v>196</v>
      </c>
      <c r="N637" s="179" t="s">
        <v>29</v>
      </c>
      <c r="O637" s="37">
        <v>43905.0</v>
      </c>
      <c r="P637" s="37">
        <v>44027.0</v>
      </c>
      <c r="Q637" s="22"/>
      <c r="R637" s="22"/>
      <c r="S637" s="117"/>
      <c r="T637" s="236"/>
      <c r="U637" s="161"/>
      <c r="V637" s="161"/>
      <c r="W637" s="161"/>
      <c r="X637" s="161"/>
      <c r="Y637" s="161"/>
      <c r="Z637" s="161"/>
      <c r="AA637" s="161"/>
      <c r="AB637" s="161"/>
      <c r="AC637" s="161"/>
      <c r="AD637" s="161"/>
      <c r="AE637" s="161"/>
      <c r="AF637" s="548" t="s">
        <v>97</v>
      </c>
      <c r="AG637" s="161"/>
      <c r="AH637" s="163"/>
      <c r="AI637" s="163"/>
      <c r="AJ637" s="163"/>
      <c r="AK637" s="163"/>
      <c r="AL637" s="163"/>
      <c r="AM637" s="163"/>
      <c r="AN637" s="161"/>
      <c r="AO637" s="161"/>
      <c r="AP637" s="161"/>
      <c r="AQ637" s="161"/>
      <c r="AR637" s="161"/>
      <c r="AS637" s="119"/>
    </row>
    <row r="638">
      <c r="A638" s="101">
        <v>464.0</v>
      </c>
      <c r="B638" s="150">
        <v>3.0</v>
      </c>
      <c r="C638" s="104" t="s">
        <v>3804</v>
      </c>
      <c r="D638" s="138" t="s">
        <v>56</v>
      </c>
      <c r="E638" s="156" t="s">
        <v>227</v>
      </c>
      <c r="F638" s="101"/>
      <c r="G638" s="40" t="s">
        <v>3805</v>
      </c>
      <c r="H638" s="55" t="s">
        <v>3806</v>
      </c>
      <c r="I638" s="69" t="s">
        <v>3807</v>
      </c>
      <c r="J638" s="155"/>
      <c r="K638" s="37">
        <v>43965.0</v>
      </c>
      <c r="L638" s="37">
        <v>43968.0</v>
      </c>
      <c r="M638" s="73" t="s">
        <v>1537</v>
      </c>
      <c r="N638" s="179" t="s">
        <v>159</v>
      </c>
      <c r="O638" s="37">
        <v>43898.0</v>
      </c>
      <c r="P638" s="37">
        <v>43946.0</v>
      </c>
      <c r="Q638" s="22"/>
      <c r="R638" s="22"/>
      <c r="S638" s="117"/>
      <c r="T638" s="236"/>
      <c r="U638" s="161"/>
      <c r="V638" s="161"/>
      <c r="W638" s="161"/>
      <c r="X638" s="161"/>
      <c r="Y638" s="161"/>
      <c r="Z638" s="161"/>
      <c r="AA638" s="218" t="s">
        <v>97</v>
      </c>
      <c r="AB638" s="161"/>
      <c r="AC638" s="161"/>
      <c r="AD638" s="161"/>
      <c r="AE638" s="161"/>
      <c r="AF638" s="161"/>
      <c r="AG638" s="161"/>
      <c r="AH638" s="163"/>
      <c r="AI638" s="163"/>
      <c r="AJ638" s="163"/>
      <c r="AK638" s="163"/>
      <c r="AL638" s="163"/>
      <c r="AM638" s="163"/>
      <c r="AN638" s="161"/>
      <c r="AO638" s="161"/>
      <c r="AP638" s="161"/>
      <c r="AQ638" s="161"/>
      <c r="AR638" s="161"/>
      <c r="AS638" s="119"/>
    </row>
    <row r="639">
      <c r="A639" s="137">
        <v>465.0</v>
      </c>
      <c r="B639" s="177"/>
      <c r="C639" s="104" t="s">
        <v>3808</v>
      </c>
      <c r="D639" s="226" t="s">
        <v>54</v>
      </c>
      <c r="E639" s="227" t="s">
        <v>54</v>
      </c>
      <c r="F639" s="178"/>
      <c r="G639" s="77" t="s">
        <v>3809</v>
      </c>
      <c r="H639" s="81" t="s">
        <v>3810</v>
      </c>
      <c r="I639" s="84" t="s">
        <v>3811</v>
      </c>
      <c r="J639" s="155"/>
      <c r="K639" s="37">
        <v>44056.0</v>
      </c>
      <c r="L639" s="37">
        <v>44059.0</v>
      </c>
      <c r="M639" s="85" t="s">
        <v>2936</v>
      </c>
      <c r="N639" s="85" t="s">
        <v>159</v>
      </c>
      <c r="O639" s="113">
        <v>43939.0</v>
      </c>
      <c r="P639" s="113">
        <v>43988.0</v>
      </c>
      <c r="Q639" s="373"/>
      <c r="R639" s="373"/>
      <c r="S639" s="224"/>
      <c r="T639" s="181"/>
      <c r="U639" s="184"/>
      <c r="V639" s="184"/>
      <c r="W639" s="184"/>
      <c r="X639" s="184"/>
      <c r="Y639" s="233" t="s">
        <v>97</v>
      </c>
      <c r="Z639" s="184"/>
      <c r="AA639" s="184"/>
      <c r="AB639" s="184"/>
      <c r="AC639" s="184"/>
      <c r="AD639" s="186"/>
      <c r="AE639" s="187"/>
      <c r="AF639" s="184"/>
      <c r="AG639" s="187"/>
      <c r="AH639" s="189"/>
      <c r="AI639" s="189"/>
      <c r="AJ639" s="189"/>
      <c r="AK639" s="189"/>
      <c r="AL639" s="189"/>
      <c r="AM639" s="189"/>
      <c r="AN639" s="187"/>
      <c r="AO639" s="187"/>
      <c r="AP639" s="184"/>
      <c r="AQ639" s="187"/>
      <c r="AR639" s="187"/>
      <c r="AS639" s="119"/>
    </row>
    <row r="640">
      <c r="A640" s="137">
        <v>466.0</v>
      </c>
      <c r="B640" s="743"/>
      <c r="C640" s="104" t="s">
        <v>2663</v>
      </c>
      <c r="D640" s="105" t="s">
        <v>48</v>
      </c>
      <c r="E640" s="107" t="s">
        <v>48</v>
      </c>
      <c r="F640" s="101"/>
      <c r="G640" s="40" t="s">
        <v>884</v>
      </c>
      <c r="H640" s="55" t="s">
        <v>885</v>
      </c>
      <c r="I640" s="744" t="s">
        <v>886</v>
      </c>
      <c r="J640" s="20" t="s">
        <v>78</v>
      </c>
      <c r="K640" s="37">
        <v>43930.0</v>
      </c>
      <c r="L640" s="37">
        <v>43937.0</v>
      </c>
      <c r="M640" s="73" t="s">
        <v>221</v>
      </c>
      <c r="N640" s="179" t="s">
        <v>72</v>
      </c>
      <c r="O640" s="113">
        <v>43640.0</v>
      </c>
      <c r="P640" s="37">
        <v>43863.0</v>
      </c>
      <c r="Q640" s="22"/>
      <c r="R640" s="22"/>
      <c r="S640" s="117"/>
      <c r="T640" s="236"/>
      <c r="U640" s="176" t="s">
        <v>97</v>
      </c>
      <c r="V640" s="161"/>
      <c r="W640" s="161"/>
      <c r="X640" s="161"/>
      <c r="Y640" s="161"/>
      <c r="Z640" s="161"/>
      <c r="AA640" s="161"/>
      <c r="AB640" s="161"/>
      <c r="AC640" s="161"/>
      <c r="AD640" s="161"/>
      <c r="AE640" s="161"/>
      <c r="AF640" s="161"/>
      <c r="AG640" s="161"/>
      <c r="AH640" s="163"/>
      <c r="AI640" s="163"/>
      <c r="AJ640" s="163"/>
      <c r="AK640" s="163"/>
      <c r="AL640" s="163"/>
      <c r="AM640" s="163"/>
      <c r="AN640" s="161"/>
      <c r="AO640" s="161"/>
      <c r="AP640" s="161"/>
      <c r="AQ640" s="161"/>
      <c r="AR640" s="161"/>
      <c r="AS640" s="119"/>
    </row>
    <row r="641">
      <c r="A641" s="137">
        <v>824.0</v>
      </c>
      <c r="B641" s="103">
        <v>9.0</v>
      </c>
      <c r="C641" s="104" t="s">
        <v>3812</v>
      </c>
      <c r="D641" s="226" t="s">
        <v>54</v>
      </c>
      <c r="E641" s="227" t="s">
        <v>54</v>
      </c>
      <c r="F641" s="109"/>
      <c r="G641" s="10" t="s">
        <v>3813</v>
      </c>
      <c r="H641" s="17" t="s">
        <v>3814</v>
      </c>
      <c r="I641" s="19" t="s">
        <v>24</v>
      </c>
      <c r="J641" s="155"/>
      <c r="K641" s="22" t="s">
        <v>27</v>
      </c>
      <c r="L641" s="22" t="s">
        <v>27</v>
      </c>
      <c r="M641" s="24" t="s">
        <v>3815</v>
      </c>
      <c r="N641" s="24" t="s">
        <v>537</v>
      </c>
      <c r="O641" s="22" t="s">
        <v>27</v>
      </c>
      <c r="P641" s="22" t="s">
        <v>27</v>
      </c>
      <c r="Q641" s="223"/>
      <c r="R641" s="223"/>
      <c r="S641" s="224"/>
      <c r="T641" s="118"/>
      <c r="U641" s="119"/>
      <c r="V641" s="119"/>
      <c r="W641" s="119"/>
      <c r="X641" s="119"/>
      <c r="Y641" s="374" t="s">
        <v>97</v>
      </c>
      <c r="Z641" s="119"/>
      <c r="AA641" s="119"/>
      <c r="AB641" s="119"/>
      <c r="AC641" s="119"/>
      <c r="AD641" s="119"/>
      <c r="AE641" s="119"/>
      <c r="AF641" s="119"/>
      <c r="AG641" s="119"/>
      <c r="AH641" s="121"/>
      <c r="AI641" s="121"/>
      <c r="AJ641" s="121"/>
      <c r="AK641" s="121"/>
      <c r="AL641" s="121"/>
      <c r="AM641" s="121"/>
      <c r="AN641" s="119"/>
      <c r="AO641" s="119"/>
      <c r="AP641" s="119"/>
      <c r="AQ641" s="119"/>
      <c r="AR641" s="119"/>
      <c r="AS641" s="119"/>
    </row>
    <row r="642">
      <c r="A642" s="101">
        <v>467.0</v>
      </c>
      <c r="B642" s="150"/>
      <c r="C642" s="104" t="s">
        <v>3816</v>
      </c>
      <c r="D642" s="105" t="s">
        <v>48</v>
      </c>
      <c r="E642" s="107" t="s">
        <v>48</v>
      </c>
      <c r="F642" s="101"/>
      <c r="G642" s="40" t="s">
        <v>3817</v>
      </c>
      <c r="H642" s="55" t="s">
        <v>3818</v>
      </c>
      <c r="I642" s="69" t="s">
        <v>3819</v>
      </c>
      <c r="J642" s="155"/>
      <c r="K642" s="37">
        <v>44085.0</v>
      </c>
      <c r="L642" s="37">
        <v>44087.0</v>
      </c>
      <c r="M642" s="73" t="s">
        <v>3820</v>
      </c>
      <c r="N642" s="179" t="s">
        <v>412</v>
      </c>
      <c r="O642" s="113">
        <v>43824.0</v>
      </c>
      <c r="P642" s="37">
        <v>44027.0</v>
      </c>
      <c r="Q642" s="22"/>
      <c r="R642" s="22"/>
      <c r="S642" s="117"/>
      <c r="T642" s="236"/>
      <c r="U642" s="176" t="s">
        <v>97</v>
      </c>
      <c r="V642" s="161"/>
      <c r="W642" s="161"/>
      <c r="X642" s="161"/>
      <c r="Y642" s="161"/>
      <c r="Z642" s="161"/>
      <c r="AA642" s="161"/>
      <c r="AB642" s="161"/>
      <c r="AC642" s="161"/>
      <c r="AD642" s="161"/>
      <c r="AE642" s="161"/>
      <c r="AF642" s="161"/>
      <c r="AG642" s="161"/>
      <c r="AH642" s="163"/>
      <c r="AI642" s="163"/>
      <c r="AJ642" s="163"/>
      <c r="AK642" s="163"/>
      <c r="AL642" s="163"/>
      <c r="AM642" s="163"/>
      <c r="AN642" s="161"/>
      <c r="AO642" s="161"/>
      <c r="AP642" s="161"/>
      <c r="AQ642" s="161"/>
      <c r="AR642" s="161"/>
      <c r="AS642" s="119"/>
    </row>
    <row r="643">
      <c r="A643" s="137">
        <v>468.0</v>
      </c>
      <c r="B643" s="150"/>
      <c r="C643" s="104" t="s">
        <v>3821</v>
      </c>
      <c r="D643" s="105" t="s">
        <v>64</v>
      </c>
      <c r="E643" s="107" t="s">
        <v>64</v>
      </c>
      <c r="F643" s="101"/>
      <c r="G643" s="40" t="s">
        <v>3822</v>
      </c>
      <c r="H643" s="55" t="s">
        <v>3823</v>
      </c>
      <c r="I643" s="69" t="s">
        <v>3824</v>
      </c>
      <c r="J643" s="344"/>
      <c r="K643" s="152">
        <v>44113.0</v>
      </c>
      <c r="L643" s="152">
        <v>44115.0</v>
      </c>
      <c r="M643" s="174" t="s">
        <v>3825</v>
      </c>
      <c r="N643" s="290" t="s">
        <v>350</v>
      </c>
      <c r="O643" s="114">
        <v>43890.0</v>
      </c>
      <c r="P643" s="152">
        <v>43988.0</v>
      </c>
      <c r="Q643" s="345"/>
      <c r="R643" s="345"/>
      <c r="S643" s="117"/>
      <c r="T643" s="141"/>
      <c r="U643" s="161"/>
      <c r="V643" s="161"/>
      <c r="W643" s="161"/>
      <c r="X643" s="161"/>
      <c r="Y643" s="161"/>
      <c r="Z643" s="161"/>
      <c r="AA643" s="161"/>
      <c r="AB643" s="161"/>
      <c r="AC643" s="161"/>
      <c r="AD643" s="161"/>
      <c r="AE643" s="161"/>
      <c r="AF643" s="161"/>
      <c r="AG643" s="161"/>
      <c r="AH643" s="246" t="s">
        <v>97</v>
      </c>
      <c r="AI643" s="163"/>
      <c r="AJ643" s="163"/>
      <c r="AK643" s="163"/>
      <c r="AL643" s="163"/>
      <c r="AM643" s="163"/>
      <c r="AN643" s="161"/>
      <c r="AO643" s="161"/>
      <c r="AP643" s="161"/>
      <c r="AQ643" s="161"/>
      <c r="AR643" s="161"/>
      <c r="AS643" s="119"/>
    </row>
    <row r="644">
      <c r="A644" s="137">
        <v>469.0</v>
      </c>
      <c r="B644" s="173"/>
      <c r="C644" s="104" t="s">
        <v>3826</v>
      </c>
      <c r="D644" s="296" t="s">
        <v>55</v>
      </c>
      <c r="E644" s="297" t="s">
        <v>55</v>
      </c>
      <c r="F644" s="101"/>
      <c r="G644" s="40" t="s">
        <v>3827</v>
      </c>
      <c r="H644" s="55" t="s">
        <v>3828</v>
      </c>
      <c r="I644" s="175" t="s">
        <v>3829</v>
      </c>
      <c r="J644" s="155"/>
      <c r="K644" s="37">
        <v>44140.0</v>
      </c>
      <c r="L644" s="37">
        <v>44150.0</v>
      </c>
      <c r="M644" s="174" t="s">
        <v>3830</v>
      </c>
      <c r="N644" s="290" t="s">
        <v>291</v>
      </c>
      <c r="O644" s="114">
        <v>43896.0</v>
      </c>
      <c r="P644" s="152">
        <v>43980.0</v>
      </c>
      <c r="Q644" s="345"/>
      <c r="R644" s="345"/>
      <c r="S644" s="117"/>
      <c r="T644" s="141"/>
      <c r="U644" s="119"/>
      <c r="V644" s="119"/>
      <c r="W644" s="119"/>
      <c r="X644" s="119"/>
      <c r="Y644" s="119"/>
      <c r="Z644" s="299" t="s">
        <v>97</v>
      </c>
      <c r="AA644" s="119"/>
      <c r="AB644" s="119"/>
      <c r="AC644" s="119"/>
      <c r="AD644" s="119"/>
      <c r="AE644" s="119"/>
      <c r="AF644" s="119"/>
      <c r="AG644" s="119"/>
      <c r="AH644" s="121"/>
      <c r="AI644" s="121"/>
      <c r="AJ644" s="121"/>
      <c r="AK644" s="121"/>
      <c r="AL644" s="121"/>
      <c r="AM644" s="121"/>
      <c r="AN644" s="119"/>
      <c r="AO644" s="119"/>
      <c r="AP644" s="119"/>
      <c r="AQ644" s="119"/>
      <c r="AR644" s="119"/>
      <c r="AS644" s="119"/>
    </row>
    <row r="645">
      <c r="A645" s="101">
        <v>470.0</v>
      </c>
      <c r="B645" s="150">
        <v>11.0</v>
      </c>
      <c r="C645" s="104" t="s">
        <v>3831</v>
      </c>
      <c r="D645" s="138" t="s">
        <v>62</v>
      </c>
      <c r="E645" s="107" t="s">
        <v>3832</v>
      </c>
      <c r="F645" s="101"/>
      <c r="G645" s="40" t="s">
        <v>3833</v>
      </c>
      <c r="H645" s="55" t="s">
        <v>3834</v>
      </c>
      <c r="I645" s="69" t="s">
        <v>3835</v>
      </c>
      <c r="J645" s="155"/>
      <c r="K645" s="37">
        <v>43972.0</v>
      </c>
      <c r="L645" s="37">
        <v>43973.0</v>
      </c>
      <c r="M645" s="156" t="s">
        <v>196</v>
      </c>
      <c r="N645" s="179" t="s">
        <v>29</v>
      </c>
      <c r="O645" s="37">
        <v>43821.0</v>
      </c>
      <c r="P645" s="37">
        <v>43891.0</v>
      </c>
      <c r="Q645" s="22"/>
      <c r="R645" s="22"/>
      <c r="S645" s="117"/>
      <c r="T645" s="236" t="s">
        <v>50</v>
      </c>
      <c r="U645" s="161"/>
      <c r="V645" s="161"/>
      <c r="W645" s="120" t="s">
        <v>97</v>
      </c>
      <c r="X645" s="161"/>
      <c r="Y645" s="161"/>
      <c r="Z645" s="161"/>
      <c r="AA645" s="161"/>
      <c r="AB645" s="161"/>
      <c r="AC645" s="161"/>
      <c r="AD645" s="161"/>
      <c r="AE645" s="161"/>
      <c r="AF645" s="548" t="s">
        <v>97</v>
      </c>
      <c r="AG645" s="161"/>
      <c r="AH645" s="163"/>
      <c r="AI645" s="163"/>
      <c r="AJ645" s="163"/>
      <c r="AK645" s="163"/>
      <c r="AL645" s="163"/>
      <c r="AM645" s="163"/>
      <c r="AN645" s="161"/>
      <c r="AO645" s="161"/>
      <c r="AP645" s="161"/>
      <c r="AQ645" s="161"/>
      <c r="AR645" s="161"/>
      <c r="AS645" s="119"/>
    </row>
    <row r="646">
      <c r="A646" s="137">
        <v>471.0</v>
      </c>
      <c r="B646" s="150"/>
      <c r="C646" s="104" t="s">
        <v>3836</v>
      </c>
      <c r="D646" s="105" t="s">
        <v>52</v>
      </c>
      <c r="E646" s="107" t="s">
        <v>52</v>
      </c>
      <c r="F646" s="101"/>
      <c r="G646" s="40" t="s">
        <v>3837</v>
      </c>
      <c r="H646" s="55" t="s">
        <v>3838</v>
      </c>
      <c r="I646" s="69" t="s">
        <v>3839</v>
      </c>
      <c r="J646" s="155"/>
      <c r="K646" s="37">
        <v>43992.0</v>
      </c>
      <c r="L646" s="37">
        <v>43995.0</v>
      </c>
      <c r="M646" s="156" t="s">
        <v>196</v>
      </c>
      <c r="N646" s="179" t="s">
        <v>29</v>
      </c>
      <c r="O646" s="113">
        <v>43983.0</v>
      </c>
      <c r="P646" s="37">
        <v>43983.0</v>
      </c>
      <c r="Q646" s="22"/>
      <c r="R646" s="22"/>
      <c r="S646" s="117"/>
      <c r="T646" s="236"/>
      <c r="U646" s="161"/>
      <c r="V646" s="161"/>
      <c r="W646" s="120" t="s">
        <v>97</v>
      </c>
      <c r="X646" s="161"/>
      <c r="Y646" s="161"/>
      <c r="Z646" s="161"/>
      <c r="AA646" s="161"/>
      <c r="AB646" s="161"/>
      <c r="AC646" s="161"/>
      <c r="AD646" s="161"/>
      <c r="AE646" s="161"/>
      <c r="AF646" s="161"/>
      <c r="AG646" s="161"/>
      <c r="AH646" s="163"/>
      <c r="AI646" s="163"/>
      <c r="AJ646" s="163"/>
      <c r="AK646" s="163"/>
      <c r="AL646" s="163"/>
      <c r="AM646" s="163"/>
      <c r="AN646" s="161"/>
      <c r="AO646" s="161"/>
      <c r="AP646" s="161"/>
      <c r="AQ646" s="161"/>
      <c r="AR646" s="161"/>
      <c r="AS646" s="119"/>
    </row>
    <row r="647">
      <c r="A647" s="101">
        <v>473.0</v>
      </c>
      <c r="B647" s="150"/>
      <c r="C647" s="104" t="s">
        <v>3720</v>
      </c>
      <c r="D647" s="105" t="s">
        <v>51</v>
      </c>
      <c r="E647" s="107" t="s">
        <v>1010</v>
      </c>
      <c r="F647" s="101"/>
      <c r="G647" s="40" t="s">
        <v>191</v>
      </c>
      <c r="H647" s="55" t="s">
        <v>192</v>
      </c>
      <c r="I647" s="69" t="s">
        <v>193</v>
      </c>
      <c r="J647" s="20" t="s">
        <v>194</v>
      </c>
      <c r="K647" s="37">
        <v>43912.0</v>
      </c>
      <c r="L647" s="37">
        <v>43912.0</v>
      </c>
      <c r="M647" s="156" t="s">
        <v>196</v>
      </c>
      <c r="N647" s="179" t="s">
        <v>29</v>
      </c>
      <c r="O647" s="113">
        <v>43677.0</v>
      </c>
      <c r="P647" s="37">
        <v>43861.0</v>
      </c>
      <c r="Q647" s="22"/>
      <c r="R647" s="22"/>
      <c r="S647" s="117"/>
      <c r="T647" s="236"/>
      <c r="U647" s="161"/>
      <c r="V647" s="241" t="s">
        <v>97</v>
      </c>
      <c r="W647" s="120" t="s">
        <v>97</v>
      </c>
      <c r="X647" s="161"/>
      <c r="Y647" s="161"/>
      <c r="Z647" s="161"/>
      <c r="AA647" s="161"/>
      <c r="AB647" s="161"/>
      <c r="AC647" s="161"/>
      <c r="AD647" s="161"/>
      <c r="AE647" s="161"/>
      <c r="AF647" s="161"/>
      <c r="AG647" s="161"/>
      <c r="AH647" s="163"/>
      <c r="AI647" s="163"/>
      <c r="AJ647" s="163"/>
      <c r="AK647" s="163"/>
      <c r="AL647" s="163"/>
      <c r="AM647" s="163"/>
      <c r="AN647" s="161"/>
      <c r="AO647" s="161"/>
      <c r="AP647" s="161"/>
      <c r="AQ647" s="161"/>
      <c r="AR647" s="161"/>
      <c r="AS647" s="119"/>
    </row>
    <row r="648">
      <c r="A648" s="137">
        <v>474.0</v>
      </c>
      <c r="B648" s="150"/>
      <c r="C648" s="104" t="s">
        <v>3840</v>
      </c>
      <c r="D648" s="105" t="s">
        <v>48</v>
      </c>
      <c r="E648" s="107" t="s">
        <v>48</v>
      </c>
      <c r="F648" s="101"/>
      <c r="G648" s="40" t="s">
        <v>3841</v>
      </c>
      <c r="H648" s="55" t="s">
        <v>3842</v>
      </c>
      <c r="I648" s="69" t="s">
        <v>3843</v>
      </c>
      <c r="J648" s="155"/>
      <c r="K648" s="37">
        <v>43986.0</v>
      </c>
      <c r="L648" s="37">
        <v>43989.0</v>
      </c>
      <c r="M648" s="174" t="s">
        <v>268</v>
      </c>
      <c r="N648" s="179" t="s">
        <v>102</v>
      </c>
      <c r="O648" s="113">
        <v>43864.0</v>
      </c>
      <c r="P648" s="37">
        <v>43934.0</v>
      </c>
      <c r="Q648" s="22"/>
      <c r="R648" s="22"/>
      <c r="S648" s="193" t="s">
        <v>97</v>
      </c>
      <c r="T648" s="236"/>
      <c r="U648" s="176" t="s">
        <v>97</v>
      </c>
      <c r="V648" s="161"/>
      <c r="W648" s="161"/>
      <c r="X648" s="161"/>
      <c r="Y648" s="161"/>
      <c r="Z648" s="161"/>
      <c r="AA648" s="161"/>
      <c r="AB648" s="161"/>
      <c r="AC648" s="161"/>
      <c r="AD648" s="161"/>
      <c r="AE648" s="161"/>
      <c r="AF648" s="161"/>
      <c r="AG648" s="161"/>
      <c r="AH648" s="163"/>
      <c r="AI648" s="163"/>
      <c r="AJ648" s="163"/>
      <c r="AK648" s="163"/>
      <c r="AL648" s="163"/>
      <c r="AM648" s="163"/>
      <c r="AN648" s="161"/>
      <c r="AO648" s="161"/>
      <c r="AP648" s="161"/>
      <c r="AQ648" s="161"/>
      <c r="AR648" s="161"/>
      <c r="AS648" s="119"/>
    </row>
    <row r="649">
      <c r="A649" s="137">
        <v>475.0</v>
      </c>
      <c r="B649" s="177">
        <v>9.0</v>
      </c>
      <c r="C649" s="104" t="s">
        <v>3844</v>
      </c>
      <c r="D649" s="105" t="s">
        <v>48</v>
      </c>
      <c r="E649" s="107" t="s">
        <v>48</v>
      </c>
      <c r="F649" s="178"/>
      <c r="G649" s="77" t="s">
        <v>3845</v>
      </c>
      <c r="H649" s="81" t="s">
        <v>3846</v>
      </c>
      <c r="I649" s="84" t="s">
        <v>3847</v>
      </c>
      <c r="J649" s="155"/>
      <c r="K649" s="22" t="s">
        <v>27</v>
      </c>
      <c r="L649" s="22" t="s">
        <v>27</v>
      </c>
      <c r="M649" s="85" t="s">
        <v>927</v>
      </c>
      <c r="N649" s="85" t="s">
        <v>72</v>
      </c>
      <c r="O649" s="22" t="s">
        <v>27</v>
      </c>
      <c r="P649" s="22" t="s">
        <v>27</v>
      </c>
      <c r="Q649" s="22"/>
      <c r="R649" s="22"/>
      <c r="S649" s="117"/>
      <c r="T649" s="181"/>
      <c r="U649" s="182" t="s">
        <v>97</v>
      </c>
      <c r="V649" s="184"/>
      <c r="W649" s="184"/>
      <c r="X649" s="184"/>
      <c r="Y649" s="184"/>
      <c r="Z649" s="184"/>
      <c r="AA649" s="184"/>
      <c r="AB649" s="184"/>
      <c r="AC649" s="184"/>
      <c r="AD649" s="186"/>
      <c r="AE649" s="187"/>
      <c r="AF649" s="184"/>
      <c r="AG649" s="187"/>
      <c r="AH649" s="189"/>
      <c r="AI649" s="189"/>
      <c r="AJ649" s="189"/>
      <c r="AK649" s="189"/>
      <c r="AL649" s="189"/>
      <c r="AM649" s="189"/>
      <c r="AN649" s="187"/>
      <c r="AO649" s="187"/>
      <c r="AP649" s="184"/>
      <c r="AQ649" s="187"/>
      <c r="AR649" s="187"/>
      <c r="AS649" s="119"/>
    </row>
    <row r="650">
      <c r="A650" s="101">
        <v>476.0</v>
      </c>
      <c r="B650" s="150">
        <v>8.0</v>
      </c>
      <c r="C650" s="104" t="s">
        <v>3848</v>
      </c>
      <c r="D650" s="105" t="s">
        <v>48</v>
      </c>
      <c r="E650" s="107" t="s">
        <v>48</v>
      </c>
      <c r="F650" s="101"/>
      <c r="G650" s="40" t="s">
        <v>3849</v>
      </c>
      <c r="H650" s="55" t="s">
        <v>3850</v>
      </c>
      <c r="I650" s="69" t="s">
        <v>3851</v>
      </c>
      <c r="J650" s="155"/>
      <c r="K650" s="22" t="s">
        <v>27</v>
      </c>
      <c r="L650" s="22" t="s">
        <v>27</v>
      </c>
      <c r="M650" s="73" t="s">
        <v>3852</v>
      </c>
      <c r="N650" s="179" t="s">
        <v>72</v>
      </c>
      <c r="O650" s="22" t="s">
        <v>27</v>
      </c>
      <c r="P650" s="22" t="s">
        <v>27</v>
      </c>
      <c r="Q650" s="22"/>
      <c r="R650" s="22"/>
      <c r="S650" s="117"/>
      <c r="T650" s="236"/>
      <c r="U650" s="176" t="s">
        <v>97</v>
      </c>
      <c r="V650" s="161"/>
      <c r="W650" s="161"/>
      <c r="X650" s="161"/>
      <c r="Y650" s="161"/>
      <c r="Z650" s="161"/>
      <c r="AA650" s="161"/>
      <c r="AB650" s="161"/>
      <c r="AC650" s="161"/>
      <c r="AD650" s="161"/>
      <c r="AE650" s="161"/>
      <c r="AF650" s="161"/>
      <c r="AG650" s="161"/>
      <c r="AH650" s="163"/>
      <c r="AI650" s="163"/>
      <c r="AJ650" s="163"/>
      <c r="AK650" s="163"/>
      <c r="AL650" s="163"/>
      <c r="AM650" s="163"/>
      <c r="AN650" s="161"/>
      <c r="AO650" s="161"/>
      <c r="AP650" s="161"/>
      <c r="AQ650" s="161"/>
      <c r="AR650" s="161"/>
      <c r="AS650" s="119"/>
    </row>
    <row r="651">
      <c r="A651" s="137">
        <v>477.0</v>
      </c>
      <c r="B651" s="150"/>
      <c r="C651" s="104" t="s">
        <v>3853</v>
      </c>
      <c r="D651" s="138" t="s">
        <v>71</v>
      </c>
      <c r="E651" s="107" t="s">
        <v>71</v>
      </c>
      <c r="F651" s="101"/>
      <c r="G651" s="40" t="s">
        <v>3854</v>
      </c>
      <c r="H651" s="55" t="s">
        <v>3855</v>
      </c>
      <c r="I651" s="69" t="s">
        <v>3856</v>
      </c>
      <c r="J651" s="155"/>
      <c r="K651" s="37">
        <v>43888.0</v>
      </c>
      <c r="L651" s="37">
        <v>43890.0</v>
      </c>
      <c r="M651" s="73" t="s">
        <v>3857</v>
      </c>
      <c r="N651" s="179" t="s">
        <v>19</v>
      </c>
      <c r="O651" s="113">
        <v>43800.0</v>
      </c>
      <c r="P651" s="37">
        <v>43800.0</v>
      </c>
      <c r="Q651" s="22"/>
      <c r="R651" s="22"/>
      <c r="S651" s="117"/>
      <c r="T651" s="236"/>
      <c r="U651" s="161"/>
      <c r="V651" s="161"/>
      <c r="W651" s="161"/>
      <c r="X651" s="161"/>
      <c r="Y651" s="161"/>
      <c r="Z651" s="161"/>
      <c r="AA651" s="161"/>
      <c r="AB651" s="161"/>
      <c r="AC651" s="161"/>
      <c r="AD651" s="161"/>
      <c r="AE651" s="161"/>
      <c r="AF651" s="161"/>
      <c r="AG651" s="161"/>
      <c r="AH651" s="163"/>
      <c r="AI651" s="163"/>
      <c r="AJ651" s="163"/>
      <c r="AK651" s="163"/>
      <c r="AL651" s="163"/>
      <c r="AM651" s="165" t="s">
        <v>97</v>
      </c>
      <c r="AN651" s="161"/>
      <c r="AO651" s="161"/>
      <c r="AP651" s="161"/>
      <c r="AQ651" s="161"/>
      <c r="AR651" s="161"/>
      <c r="AS651" s="119"/>
    </row>
    <row r="652">
      <c r="A652" s="137">
        <v>478.0</v>
      </c>
      <c r="B652" s="177">
        <v>11.0</v>
      </c>
      <c r="C652" s="104" t="s">
        <v>3858</v>
      </c>
      <c r="D652" s="105" t="s">
        <v>48</v>
      </c>
      <c r="E652" s="107" t="s">
        <v>48</v>
      </c>
      <c r="F652" s="178"/>
      <c r="G652" s="77" t="s">
        <v>3859</v>
      </c>
      <c r="H652" s="81" t="s">
        <v>3860</v>
      </c>
      <c r="I652" s="84" t="s">
        <v>3861</v>
      </c>
      <c r="J652" s="155"/>
      <c r="K652" s="22" t="s">
        <v>27</v>
      </c>
      <c r="L652" s="22" t="s">
        <v>27</v>
      </c>
      <c r="M652" s="85" t="s">
        <v>1090</v>
      </c>
      <c r="N652" s="85" t="s">
        <v>622</v>
      </c>
      <c r="O652" s="22" t="s">
        <v>27</v>
      </c>
      <c r="P652" s="22" t="s">
        <v>27</v>
      </c>
      <c r="Q652" s="373"/>
      <c r="R652" s="373"/>
      <c r="S652" s="224"/>
      <c r="T652" s="181"/>
      <c r="U652" s="182" t="s">
        <v>97</v>
      </c>
      <c r="V652" s="184"/>
      <c r="W652" s="184"/>
      <c r="X652" s="184"/>
      <c r="Y652" s="184"/>
      <c r="Z652" s="184"/>
      <c r="AA652" s="184"/>
      <c r="AB652" s="184"/>
      <c r="AC652" s="184"/>
      <c r="AD652" s="186"/>
      <c r="AE652" s="187"/>
      <c r="AF652" s="184"/>
      <c r="AG652" s="187"/>
      <c r="AH652" s="189"/>
      <c r="AI652" s="189"/>
      <c r="AJ652" s="189"/>
      <c r="AK652" s="189"/>
      <c r="AL652" s="189"/>
      <c r="AM652" s="189"/>
      <c r="AN652" s="187"/>
      <c r="AO652" s="187"/>
      <c r="AP652" s="184"/>
      <c r="AQ652" s="187"/>
      <c r="AR652" s="187"/>
      <c r="AS652" s="119"/>
    </row>
    <row r="653">
      <c r="A653" s="101">
        <v>479.0</v>
      </c>
      <c r="B653" s="150"/>
      <c r="C653" s="104" t="s">
        <v>3862</v>
      </c>
      <c r="D653" s="105" t="s">
        <v>48</v>
      </c>
      <c r="E653" s="107" t="s">
        <v>48</v>
      </c>
      <c r="F653" s="101"/>
      <c r="G653" s="40" t="s">
        <v>3863</v>
      </c>
      <c r="H653" s="55" t="s">
        <v>3864</v>
      </c>
      <c r="I653" s="69" t="s">
        <v>3865</v>
      </c>
      <c r="J653" s="155"/>
      <c r="K653" s="37">
        <v>44078.0</v>
      </c>
      <c r="L653" s="37">
        <v>44080.0</v>
      </c>
      <c r="M653" s="73" t="s">
        <v>3866</v>
      </c>
      <c r="N653" s="179" t="s">
        <v>212</v>
      </c>
      <c r="O653" s="113">
        <v>43878.0</v>
      </c>
      <c r="P653" s="37">
        <v>44046.0</v>
      </c>
      <c r="Q653" s="22"/>
      <c r="R653" s="22"/>
      <c r="S653" s="117"/>
      <c r="T653" s="236"/>
      <c r="U653" s="176" t="s">
        <v>97</v>
      </c>
      <c r="V653" s="161"/>
      <c r="W653" s="161"/>
      <c r="X653" s="161"/>
      <c r="Y653" s="161"/>
      <c r="Z653" s="161"/>
      <c r="AA653" s="161"/>
      <c r="AB653" s="161"/>
      <c r="AC653" s="161"/>
      <c r="AD653" s="161"/>
      <c r="AE653" s="161"/>
      <c r="AF653" s="161"/>
      <c r="AG653" s="161"/>
      <c r="AH653" s="163"/>
      <c r="AI653" s="163"/>
      <c r="AJ653" s="163"/>
      <c r="AK653" s="163"/>
      <c r="AL653" s="163"/>
      <c r="AM653" s="163"/>
      <c r="AN653" s="161"/>
      <c r="AO653" s="161"/>
      <c r="AP653" s="161"/>
      <c r="AQ653" s="161"/>
      <c r="AR653" s="161"/>
      <c r="AS653" s="119"/>
    </row>
    <row r="654">
      <c r="A654" s="137">
        <v>480.0</v>
      </c>
      <c r="B654" s="177">
        <v>10.0</v>
      </c>
      <c r="C654" s="104" t="s">
        <v>3867</v>
      </c>
      <c r="D654" s="105" t="s">
        <v>48</v>
      </c>
      <c r="E654" s="107" t="s">
        <v>48</v>
      </c>
      <c r="F654" s="178"/>
      <c r="G654" s="77" t="s">
        <v>3868</v>
      </c>
      <c r="H654" s="81" t="s">
        <v>3869</v>
      </c>
      <c r="I654" s="84" t="s">
        <v>3870</v>
      </c>
      <c r="J654" s="155"/>
      <c r="K654" s="22" t="s">
        <v>27</v>
      </c>
      <c r="L654" s="22" t="s">
        <v>27</v>
      </c>
      <c r="M654" s="85" t="s">
        <v>3871</v>
      </c>
      <c r="N654" s="85" t="s">
        <v>72</v>
      </c>
      <c r="O654" s="22" t="s">
        <v>27</v>
      </c>
      <c r="P654" s="22" t="s">
        <v>27</v>
      </c>
      <c r="Q654" s="373"/>
      <c r="R654" s="373"/>
      <c r="S654" s="224"/>
      <c r="T654" s="181"/>
      <c r="U654" s="182" t="s">
        <v>97</v>
      </c>
      <c r="V654" s="184"/>
      <c r="W654" s="184"/>
      <c r="X654" s="184"/>
      <c r="Y654" s="184"/>
      <c r="Z654" s="184"/>
      <c r="AA654" s="184"/>
      <c r="AB654" s="184"/>
      <c r="AC654" s="184"/>
      <c r="AD654" s="186"/>
      <c r="AE654" s="187"/>
      <c r="AF654" s="184"/>
      <c r="AG654" s="187"/>
      <c r="AH654" s="189"/>
      <c r="AI654" s="189"/>
      <c r="AJ654" s="189"/>
      <c r="AK654" s="189"/>
      <c r="AL654" s="189"/>
      <c r="AM654" s="189"/>
      <c r="AN654" s="187"/>
      <c r="AO654" s="187"/>
      <c r="AP654" s="184"/>
      <c r="AQ654" s="187"/>
      <c r="AR654" s="187"/>
      <c r="AS654" s="119"/>
    </row>
    <row r="655">
      <c r="A655" s="137">
        <v>481.0</v>
      </c>
      <c r="B655" s="150"/>
      <c r="C655" s="104" t="s">
        <v>3872</v>
      </c>
      <c r="D655" s="138" t="s">
        <v>59</v>
      </c>
      <c r="E655" s="107" t="s">
        <v>352</v>
      </c>
      <c r="F655" s="101"/>
      <c r="G655" s="40" t="s">
        <v>3873</v>
      </c>
      <c r="H655" s="55" t="s">
        <v>3874</v>
      </c>
      <c r="I655" s="69" t="s">
        <v>3875</v>
      </c>
      <c r="J655" s="155"/>
      <c r="K655" s="37">
        <v>43896.0</v>
      </c>
      <c r="L655" s="37">
        <v>43897.0</v>
      </c>
      <c r="M655" s="73" t="s">
        <v>2395</v>
      </c>
      <c r="N655" s="179" t="s">
        <v>283</v>
      </c>
      <c r="O655" s="113">
        <v>43836.0</v>
      </c>
      <c r="P655" s="37">
        <v>43864.0</v>
      </c>
      <c r="Q655" s="22"/>
      <c r="R655" s="22"/>
      <c r="S655" s="117"/>
      <c r="T655" s="236"/>
      <c r="U655" s="161"/>
      <c r="V655" s="161"/>
      <c r="W655" s="161"/>
      <c r="X655" s="161"/>
      <c r="Y655" s="161"/>
      <c r="Z655" s="161"/>
      <c r="AA655" s="161"/>
      <c r="AB655" s="161"/>
      <c r="AC655" s="551" t="s">
        <v>97</v>
      </c>
      <c r="AD655" s="161"/>
      <c r="AE655" s="161"/>
      <c r="AF655" s="161"/>
      <c r="AG655" s="161"/>
      <c r="AH655" s="163"/>
      <c r="AI655" s="163"/>
      <c r="AJ655" s="163"/>
      <c r="AK655" s="163"/>
      <c r="AL655" s="163"/>
      <c r="AM655" s="163"/>
      <c r="AN655" s="161"/>
      <c r="AO655" s="161"/>
      <c r="AP655" s="161"/>
      <c r="AQ655" s="161"/>
      <c r="AR655" s="161"/>
      <c r="AS655" s="119"/>
    </row>
    <row r="656">
      <c r="A656" s="101">
        <v>825.0</v>
      </c>
      <c r="B656" s="103">
        <v>11.0</v>
      </c>
      <c r="C656" s="745" t="s">
        <v>3876</v>
      </c>
      <c r="D656" s="138" t="s">
        <v>59</v>
      </c>
      <c r="E656" s="107" t="s">
        <v>352</v>
      </c>
      <c r="F656" s="109"/>
      <c r="G656" s="10" t="s">
        <v>3877</v>
      </c>
      <c r="H656" s="17" t="s">
        <v>3878</v>
      </c>
      <c r="I656" s="19" t="s">
        <v>24</v>
      </c>
      <c r="J656" s="155"/>
      <c r="K656" s="22" t="s">
        <v>27</v>
      </c>
      <c r="L656" s="22" t="s">
        <v>27</v>
      </c>
      <c r="M656" s="24" t="s">
        <v>3879</v>
      </c>
      <c r="N656" s="24" t="s">
        <v>29</v>
      </c>
      <c r="O656" s="22" t="s">
        <v>27</v>
      </c>
      <c r="P656" s="22" t="s">
        <v>27</v>
      </c>
      <c r="Q656" s="223"/>
      <c r="R656" s="223"/>
      <c r="S656" s="224"/>
      <c r="T656" s="118"/>
      <c r="U656" s="119"/>
      <c r="V656" s="119"/>
      <c r="W656" s="119"/>
      <c r="X656" s="119"/>
      <c r="Y656" s="119"/>
      <c r="Z656" s="119"/>
      <c r="AA656" s="119"/>
      <c r="AB656" s="119"/>
      <c r="AC656" s="551" t="s">
        <v>97</v>
      </c>
      <c r="AD656" s="119"/>
      <c r="AE656" s="119"/>
      <c r="AF656" s="119"/>
      <c r="AG656" s="119"/>
      <c r="AH656" s="121"/>
      <c r="AI656" s="121"/>
      <c r="AJ656" s="121"/>
      <c r="AK656" s="121"/>
      <c r="AL656" s="121"/>
      <c r="AM656" s="121"/>
      <c r="AN656" s="119"/>
      <c r="AO656" s="119"/>
      <c r="AP656" s="119"/>
      <c r="AQ656" s="119"/>
      <c r="AR656" s="119"/>
      <c r="AS656" s="119"/>
    </row>
    <row r="657">
      <c r="A657" s="101">
        <v>482.0</v>
      </c>
      <c r="B657" s="177"/>
      <c r="C657" s="104" t="s">
        <v>3880</v>
      </c>
      <c r="D657" s="105" t="s">
        <v>48</v>
      </c>
      <c r="E657" s="107" t="s">
        <v>48</v>
      </c>
      <c r="F657" s="178"/>
      <c r="G657" s="77" t="s">
        <v>3881</v>
      </c>
      <c r="H657" s="32" t="s">
        <v>3882</v>
      </c>
      <c r="I657" s="84" t="s">
        <v>3883</v>
      </c>
      <c r="J657" s="344"/>
      <c r="K657" s="152">
        <v>43938.0</v>
      </c>
      <c r="L657" s="152">
        <v>43946.0</v>
      </c>
      <c r="M657" s="85" t="s">
        <v>3884</v>
      </c>
      <c r="N657" s="85" t="s">
        <v>251</v>
      </c>
      <c r="O657" s="113">
        <v>43812.0</v>
      </c>
      <c r="P657" s="113">
        <v>43843.0</v>
      </c>
      <c r="Q657" s="373"/>
      <c r="R657" s="373"/>
      <c r="S657" s="224"/>
      <c r="T657" s="181"/>
      <c r="U657" s="182" t="s">
        <v>97</v>
      </c>
      <c r="V657" s="184"/>
      <c r="W657" s="184"/>
      <c r="X657" s="184"/>
      <c r="Y657" s="184"/>
      <c r="Z657" s="184"/>
      <c r="AA657" s="184"/>
      <c r="AB657" s="184"/>
      <c r="AC657" s="184"/>
      <c r="AD657" s="186"/>
      <c r="AE657" s="187"/>
      <c r="AF657" s="184"/>
      <c r="AG657" s="187"/>
      <c r="AH657" s="189"/>
      <c r="AI657" s="189"/>
      <c r="AJ657" s="189"/>
      <c r="AK657" s="189"/>
      <c r="AL657" s="189"/>
      <c r="AM657" s="189"/>
      <c r="AN657" s="187"/>
      <c r="AO657" s="187"/>
      <c r="AP657" s="184"/>
      <c r="AQ657" s="187"/>
      <c r="AR657" s="187"/>
      <c r="AS657" s="119"/>
    </row>
    <row r="658">
      <c r="A658" s="137">
        <v>483.0</v>
      </c>
      <c r="B658" s="177"/>
      <c r="C658" s="104" t="s">
        <v>3885</v>
      </c>
      <c r="D658" s="105" t="s">
        <v>48</v>
      </c>
      <c r="E658" s="107" t="s">
        <v>48</v>
      </c>
      <c r="F658" s="178"/>
      <c r="G658" s="77" t="s">
        <v>3886</v>
      </c>
      <c r="H658" s="81" t="s">
        <v>3887</v>
      </c>
      <c r="I658" s="84" t="s">
        <v>3888</v>
      </c>
      <c r="J658" s="155"/>
      <c r="K658" s="37">
        <v>43893.0</v>
      </c>
      <c r="L658" s="37">
        <v>43898.0</v>
      </c>
      <c r="M658" s="85" t="s">
        <v>2530</v>
      </c>
      <c r="N658" s="85" t="s">
        <v>2531</v>
      </c>
      <c r="O658" s="113">
        <v>43654.0</v>
      </c>
      <c r="P658" s="37">
        <v>43800.0</v>
      </c>
      <c r="Q658" s="22"/>
      <c r="R658" s="22"/>
      <c r="S658" s="193" t="s">
        <v>97</v>
      </c>
      <c r="T658" s="181"/>
      <c r="U658" s="182" t="s">
        <v>97</v>
      </c>
      <c r="V658" s="184"/>
      <c r="W658" s="184"/>
      <c r="X658" s="184"/>
      <c r="Y658" s="184"/>
      <c r="Z658" s="184"/>
      <c r="AA658" s="184"/>
      <c r="AB658" s="184"/>
      <c r="AC658" s="184"/>
      <c r="AD658" s="186"/>
      <c r="AE658" s="187"/>
      <c r="AF658" s="184"/>
      <c r="AG658" s="187"/>
      <c r="AH658" s="189"/>
      <c r="AI658" s="189"/>
      <c r="AJ658" s="189"/>
      <c r="AK658" s="189"/>
      <c r="AL658" s="189"/>
      <c r="AM658" s="189"/>
      <c r="AN658" s="187"/>
      <c r="AO658" s="187"/>
      <c r="AP658" s="184"/>
      <c r="AQ658" s="187"/>
      <c r="AR658" s="187"/>
      <c r="AS658" s="119"/>
    </row>
    <row r="659">
      <c r="A659" s="101">
        <v>800.0</v>
      </c>
      <c r="B659" s="103">
        <v>12.0</v>
      </c>
      <c r="C659" s="104" t="s">
        <v>3889</v>
      </c>
      <c r="D659" s="105" t="s">
        <v>52</v>
      </c>
      <c r="E659" s="107" t="s">
        <v>52</v>
      </c>
      <c r="F659" s="109"/>
      <c r="G659" s="10" t="s">
        <v>3890</v>
      </c>
      <c r="H659" s="17" t="s">
        <v>3891</v>
      </c>
      <c r="I659" s="111" t="s">
        <v>3892</v>
      </c>
      <c r="J659" s="155"/>
      <c r="K659" s="22" t="s">
        <v>27</v>
      </c>
      <c r="L659" s="22" t="s">
        <v>27</v>
      </c>
      <c r="M659" s="24" t="s">
        <v>3820</v>
      </c>
      <c r="N659" s="24" t="s">
        <v>412</v>
      </c>
      <c r="O659" s="22" t="s">
        <v>27</v>
      </c>
      <c r="P659" s="22" t="s">
        <v>27</v>
      </c>
      <c r="Q659" s="115"/>
      <c r="R659" s="115"/>
      <c r="S659" s="117"/>
      <c r="T659" s="118"/>
      <c r="U659" s="119"/>
      <c r="V659" s="119"/>
      <c r="W659" s="120" t="s">
        <v>97</v>
      </c>
      <c r="X659" s="119"/>
      <c r="Y659" s="119"/>
      <c r="Z659" s="119"/>
      <c r="AA659" s="119"/>
      <c r="AB659" s="119"/>
      <c r="AC659" s="119"/>
      <c r="AD659" s="119"/>
      <c r="AE659" s="119"/>
      <c r="AF659" s="119"/>
      <c r="AG659" s="119"/>
      <c r="AH659" s="121"/>
      <c r="AI659" s="121"/>
      <c r="AJ659" s="121"/>
      <c r="AK659" s="121"/>
      <c r="AL659" s="121"/>
      <c r="AM659" s="121"/>
      <c r="AN659" s="119"/>
      <c r="AO659" s="119"/>
      <c r="AP659" s="119"/>
      <c r="AQ659" s="119"/>
      <c r="AR659" s="119"/>
      <c r="AS659" s="119"/>
    </row>
    <row r="660">
      <c r="A660" s="137">
        <v>484.0</v>
      </c>
      <c r="B660" s="150"/>
      <c r="C660" s="104" t="s">
        <v>3893</v>
      </c>
      <c r="D660" s="105" t="s">
        <v>52</v>
      </c>
      <c r="E660" s="107" t="s">
        <v>52</v>
      </c>
      <c r="F660" s="101"/>
      <c r="G660" s="40" t="s">
        <v>3894</v>
      </c>
      <c r="H660" s="55" t="s">
        <v>3895</v>
      </c>
      <c r="I660" s="69" t="s">
        <v>3896</v>
      </c>
      <c r="J660" s="155"/>
      <c r="K660" s="37">
        <v>43887.0</v>
      </c>
      <c r="L660" s="37">
        <v>43887.0</v>
      </c>
      <c r="M660" s="156" t="s">
        <v>196</v>
      </c>
      <c r="N660" s="179" t="s">
        <v>29</v>
      </c>
      <c r="O660" s="113">
        <v>43796.0</v>
      </c>
      <c r="P660" s="37">
        <v>43816.0</v>
      </c>
      <c r="Q660" s="22"/>
      <c r="R660" s="22"/>
      <c r="S660" s="117"/>
      <c r="T660" s="236"/>
      <c r="U660" s="161"/>
      <c r="V660" s="161"/>
      <c r="W660" s="120" t="s">
        <v>97</v>
      </c>
      <c r="X660" s="161"/>
      <c r="Y660" s="161"/>
      <c r="Z660" s="161"/>
      <c r="AA660" s="161"/>
      <c r="AB660" s="161"/>
      <c r="AC660" s="161"/>
      <c r="AD660" s="161"/>
      <c r="AE660" s="161"/>
      <c r="AF660" s="161"/>
      <c r="AG660" s="161"/>
      <c r="AH660" s="163"/>
      <c r="AI660" s="163"/>
      <c r="AJ660" s="163"/>
      <c r="AK660" s="163"/>
      <c r="AL660" s="163"/>
      <c r="AM660" s="163"/>
      <c r="AN660" s="161"/>
      <c r="AO660" s="161"/>
      <c r="AP660" s="161"/>
      <c r="AQ660" s="161"/>
      <c r="AR660" s="161"/>
      <c r="AS660" s="119"/>
    </row>
    <row r="661">
      <c r="A661" s="137">
        <v>485.0</v>
      </c>
      <c r="B661" s="150"/>
      <c r="C661" s="104" t="s">
        <v>3897</v>
      </c>
      <c r="D661" s="105" t="s">
        <v>48</v>
      </c>
      <c r="E661" s="107" t="s">
        <v>48</v>
      </c>
      <c r="F661" s="101"/>
      <c r="G661" s="40" t="s">
        <v>3898</v>
      </c>
      <c r="H661" s="55" t="s">
        <v>3899</v>
      </c>
      <c r="I661" s="69" t="s">
        <v>3900</v>
      </c>
      <c r="J661" s="155"/>
      <c r="K661" s="37">
        <v>43874.0</v>
      </c>
      <c r="L661" s="37">
        <v>43877.0</v>
      </c>
      <c r="M661" s="73" t="s">
        <v>3901</v>
      </c>
      <c r="N661" s="179" t="s">
        <v>139</v>
      </c>
      <c r="O661" s="113">
        <v>43678.0</v>
      </c>
      <c r="P661" s="37">
        <v>43769.0</v>
      </c>
      <c r="Q661" s="22"/>
      <c r="R661" s="22"/>
      <c r="S661" s="117"/>
      <c r="T661" s="236"/>
      <c r="U661" s="176" t="s">
        <v>97</v>
      </c>
      <c r="V661" s="161"/>
      <c r="W661" s="161"/>
      <c r="X661" s="161"/>
      <c r="Y661" s="161"/>
      <c r="Z661" s="161"/>
      <c r="AA661" s="161"/>
      <c r="AB661" s="161"/>
      <c r="AC661" s="161"/>
      <c r="AD661" s="161"/>
      <c r="AE661" s="161"/>
      <c r="AF661" s="161"/>
      <c r="AG661" s="161"/>
      <c r="AH661" s="163"/>
      <c r="AI661" s="163"/>
      <c r="AJ661" s="163"/>
      <c r="AK661" s="163"/>
      <c r="AL661" s="163"/>
      <c r="AM661" s="163"/>
      <c r="AN661" s="161"/>
      <c r="AO661" s="161"/>
      <c r="AP661" s="161"/>
      <c r="AQ661" s="161"/>
      <c r="AR661" s="161"/>
      <c r="AS661" s="119"/>
    </row>
    <row r="662">
      <c r="A662" s="101">
        <v>486.0</v>
      </c>
      <c r="B662" s="150"/>
      <c r="C662" s="104" t="s">
        <v>3902</v>
      </c>
      <c r="D662" s="107" t="s">
        <v>91</v>
      </c>
      <c r="E662" s="107" t="s">
        <v>91</v>
      </c>
      <c r="F662" s="101"/>
      <c r="G662" s="40" t="s">
        <v>1310</v>
      </c>
      <c r="H662" s="55" t="s">
        <v>1311</v>
      </c>
      <c r="I662" s="69" t="s">
        <v>1313</v>
      </c>
      <c r="J662" s="20" t="s">
        <v>78</v>
      </c>
      <c r="K662" s="37">
        <v>43902.0</v>
      </c>
      <c r="L662" s="37">
        <v>43905.0</v>
      </c>
      <c r="M662" s="73" t="s">
        <v>230</v>
      </c>
      <c r="N662" s="179" t="s">
        <v>231</v>
      </c>
      <c r="O662" s="113">
        <v>43826.0</v>
      </c>
      <c r="P662" s="37">
        <v>43847.0</v>
      </c>
      <c r="Q662" s="22"/>
      <c r="R662" s="22"/>
      <c r="S662" s="117"/>
      <c r="T662" s="236"/>
      <c r="U662" s="161"/>
      <c r="V662" s="161"/>
      <c r="W662" s="161"/>
      <c r="X662" s="161"/>
      <c r="Y662" s="161"/>
      <c r="Z662" s="161"/>
      <c r="AA662" s="161"/>
      <c r="AB662" s="161"/>
      <c r="AC662" s="161"/>
      <c r="AD662" s="161"/>
      <c r="AE662" s="161"/>
      <c r="AF662" s="161"/>
      <c r="AG662" s="161"/>
      <c r="AH662" s="163"/>
      <c r="AI662" s="163"/>
      <c r="AJ662" s="163"/>
      <c r="AK662" s="163"/>
      <c r="AL662" s="163"/>
      <c r="AM662" s="165" t="s">
        <v>97</v>
      </c>
      <c r="AN662" s="161"/>
      <c r="AO662" s="161"/>
      <c r="AP662" s="161"/>
      <c r="AQ662" s="161"/>
      <c r="AR662" s="161"/>
      <c r="AS662" s="238" t="s">
        <v>97</v>
      </c>
    </row>
    <row r="663">
      <c r="A663" s="137">
        <v>487.0</v>
      </c>
      <c r="B663" s="315"/>
      <c r="C663" s="104" t="s">
        <v>3903</v>
      </c>
      <c r="D663" s="105" t="s">
        <v>48</v>
      </c>
      <c r="E663" s="107" t="s">
        <v>48</v>
      </c>
      <c r="F663" s="190"/>
      <c r="G663" s="192" t="s">
        <v>3904</v>
      </c>
      <c r="H663" s="81" t="s">
        <v>3905</v>
      </c>
      <c r="I663" s="316" t="s">
        <v>24</v>
      </c>
      <c r="J663" s="155"/>
      <c r="K663" s="37">
        <v>44112.0</v>
      </c>
      <c r="L663" s="37">
        <v>44116.0</v>
      </c>
      <c r="M663" s="73" t="s">
        <v>3906</v>
      </c>
      <c r="N663" s="73" t="s">
        <v>251</v>
      </c>
      <c r="O663" s="22" t="s">
        <v>27</v>
      </c>
      <c r="P663" s="22" t="s">
        <v>27</v>
      </c>
      <c r="Q663" s="201"/>
      <c r="R663" s="201"/>
      <c r="S663" s="224"/>
      <c r="T663" s="157"/>
      <c r="U663" s="293" t="s">
        <v>97</v>
      </c>
      <c r="V663" s="194"/>
      <c r="W663" s="194"/>
      <c r="X663" s="194"/>
      <c r="Y663" s="194"/>
      <c r="Z663" s="194"/>
      <c r="AA663" s="194"/>
      <c r="AB663" s="194"/>
      <c r="AC663" s="194"/>
      <c r="AD663" s="186"/>
      <c r="AE663" s="187"/>
      <c r="AF663" s="194"/>
      <c r="AG663" s="187"/>
      <c r="AH663" s="189"/>
      <c r="AI663" s="189"/>
      <c r="AJ663" s="189"/>
      <c r="AK663" s="189"/>
      <c r="AL663" s="189"/>
      <c r="AM663" s="189"/>
      <c r="AN663" s="187"/>
      <c r="AO663" s="187"/>
      <c r="AP663" s="194"/>
      <c r="AQ663" s="187"/>
      <c r="AR663" s="187"/>
      <c r="AS663" s="119"/>
    </row>
    <row r="664">
      <c r="A664" s="137">
        <v>488.0</v>
      </c>
      <c r="B664" s="150">
        <v>12.0</v>
      </c>
      <c r="C664" s="104" t="s">
        <v>3907</v>
      </c>
      <c r="D664" s="105" t="s">
        <v>51</v>
      </c>
      <c r="E664" s="107" t="s">
        <v>1010</v>
      </c>
      <c r="F664" s="101"/>
      <c r="G664" s="40" t="s">
        <v>3908</v>
      </c>
      <c r="H664" s="55" t="s">
        <v>3909</v>
      </c>
      <c r="I664" s="69" t="s">
        <v>3910</v>
      </c>
      <c r="J664" s="155"/>
      <c r="K664" s="22" t="s">
        <v>27</v>
      </c>
      <c r="L664" s="22" t="s">
        <v>27</v>
      </c>
      <c r="M664" s="73" t="s">
        <v>3911</v>
      </c>
      <c r="N664" s="179" t="s">
        <v>594</v>
      </c>
      <c r="O664" s="22" t="s">
        <v>27</v>
      </c>
      <c r="P664" s="22" t="s">
        <v>27</v>
      </c>
      <c r="Q664" s="22"/>
      <c r="R664" s="22"/>
      <c r="S664" s="117"/>
      <c r="T664" s="236"/>
      <c r="U664" s="161"/>
      <c r="V664" s="241" t="s">
        <v>97</v>
      </c>
      <c r="W664" s="120" t="s">
        <v>97</v>
      </c>
      <c r="X664" s="161"/>
      <c r="Y664" s="161"/>
      <c r="Z664" s="161"/>
      <c r="AA664" s="161"/>
      <c r="AB664" s="161"/>
      <c r="AC664" s="161"/>
      <c r="AD664" s="161"/>
      <c r="AE664" s="161"/>
      <c r="AF664" s="161"/>
      <c r="AG664" s="161"/>
      <c r="AH664" s="163"/>
      <c r="AI664" s="163"/>
      <c r="AJ664" s="163"/>
      <c r="AK664" s="163"/>
      <c r="AL664" s="163"/>
      <c r="AM664" s="163"/>
      <c r="AN664" s="161"/>
      <c r="AO664" s="161"/>
      <c r="AP664" s="161"/>
      <c r="AQ664" s="161"/>
      <c r="AR664" s="161"/>
      <c r="AS664" s="119"/>
    </row>
    <row r="665">
      <c r="A665" s="101">
        <v>489.0</v>
      </c>
      <c r="B665" s="292"/>
      <c r="C665" s="104" t="s">
        <v>3912</v>
      </c>
      <c r="D665" s="105" t="s">
        <v>48</v>
      </c>
      <c r="E665" s="107" t="s">
        <v>48</v>
      </c>
      <c r="F665" s="190"/>
      <c r="G665" s="192" t="s">
        <v>3913</v>
      </c>
      <c r="H665" s="81" t="s">
        <v>3914</v>
      </c>
      <c r="I665" s="158" t="s">
        <v>3915</v>
      </c>
      <c r="J665" s="155"/>
      <c r="K665" s="37">
        <v>44089.0</v>
      </c>
      <c r="L665" s="37">
        <v>44104.0</v>
      </c>
      <c r="M665" s="73" t="s">
        <v>593</v>
      </c>
      <c r="N665" s="73" t="s">
        <v>594</v>
      </c>
      <c r="O665" s="113">
        <v>43799.0</v>
      </c>
      <c r="P665" s="37">
        <v>44051.0</v>
      </c>
      <c r="Q665" s="22"/>
      <c r="R665" s="22"/>
      <c r="S665" s="117"/>
      <c r="T665" s="157"/>
      <c r="U665" s="293" t="s">
        <v>97</v>
      </c>
      <c r="V665" s="194"/>
      <c r="W665" s="194"/>
      <c r="X665" s="194"/>
      <c r="Y665" s="194"/>
      <c r="Z665" s="194"/>
      <c r="AA665" s="194"/>
      <c r="AB665" s="194"/>
      <c r="AC665" s="194"/>
      <c r="AD665" s="186"/>
      <c r="AE665" s="187"/>
      <c r="AF665" s="194"/>
      <c r="AG665" s="187"/>
      <c r="AH665" s="189"/>
      <c r="AI665" s="189"/>
      <c r="AJ665" s="189"/>
      <c r="AK665" s="189"/>
      <c r="AL665" s="189"/>
      <c r="AM665" s="189"/>
      <c r="AN665" s="187"/>
      <c r="AO665" s="187"/>
      <c r="AP665" s="194"/>
      <c r="AQ665" s="187"/>
      <c r="AR665" s="187"/>
      <c r="AS665" s="119"/>
    </row>
    <row r="666">
      <c r="A666" s="137">
        <v>490.0</v>
      </c>
      <c r="B666" s="150"/>
      <c r="C666" s="104" t="s">
        <v>3907</v>
      </c>
      <c r="D666" s="105" t="s">
        <v>52</v>
      </c>
      <c r="E666" s="107" t="s">
        <v>52</v>
      </c>
      <c r="F666" s="101"/>
      <c r="G666" s="40" t="s">
        <v>3916</v>
      </c>
      <c r="H666" s="55" t="s">
        <v>3917</v>
      </c>
      <c r="I666" s="69" t="s">
        <v>3918</v>
      </c>
      <c r="J666" s="155"/>
      <c r="K666" s="37">
        <v>43875.0</v>
      </c>
      <c r="L666" s="37">
        <v>43877.0</v>
      </c>
      <c r="M666" s="73" t="s">
        <v>3911</v>
      </c>
      <c r="N666" s="179" t="s">
        <v>594</v>
      </c>
      <c r="O666" s="113">
        <v>43677.0</v>
      </c>
      <c r="P666" s="37">
        <v>43830.0</v>
      </c>
      <c r="Q666" s="22"/>
      <c r="R666" s="22"/>
      <c r="S666" s="117"/>
      <c r="T666" s="236"/>
      <c r="U666" s="161"/>
      <c r="V666" s="161"/>
      <c r="W666" s="120" t="s">
        <v>97</v>
      </c>
      <c r="X666" s="161"/>
      <c r="Y666" s="161"/>
      <c r="Z666" s="161"/>
      <c r="AA666" s="161"/>
      <c r="AB666" s="161"/>
      <c r="AC666" s="161"/>
      <c r="AD666" s="161"/>
      <c r="AE666" s="161"/>
      <c r="AF666" s="161"/>
      <c r="AG666" s="161"/>
      <c r="AH666" s="163"/>
      <c r="AI666" s="163"/>
      <c r="AJ666" s="163"/>
      <c r="AK666" s="163"/>
      <c r="AL666" s="163"/>
      <c r="AM666" s="163"/>
      <c r="AN666" s="161"/>
      <c r="AO666" s="161"/>
      <c r="AP666" s="161"/>
      <c r="AQ666" s="161"/>
      <c r="AR666" s="161"/>
      <c r="AS666" s="119"/>
    </row>
    <row r="667">
      <c r="A667" s="137">
        <v>491.0</v>
      </c>
      <c r="B667" s="150">
        <v>6.0</v>
      </c>
      <c r="C667" s="104" t="s">
        <v>3919</v>
      </c>
      <c r="D667" s="138" t="s">
        <v>63</v>
      </c>
      <c r="E667" s="107" t="s">
        <v>1297</v>
      </c>
      <c r="F667" s="101"/>
      <c r="G667" s="40" t="s">
        <v>3920</v>
      </c>
      <c r="H667" s="55" t="s">
        <v>3921</v>
      </c>
      <c r="I667" s="69" t="s">
        <v>3922</v>
      </c>
      <c r="J667" s="155"/>
      <c r="K667" s="22" t="s">
        <v>27</v>
      </c>
      <c r="L667" s="22" t="s">
        <v>27</v>
      </c>
      <c r="M667" s="73" t="s">
        <v>2194</v>
      </c>
      <c r="N667" s="179" t="s">
        <v>622</v>
      </c>
      <c r="O667" s="22" t="s">
        <v>27</v>
      </c>
      <c r="P667" s="22" t="s">
        <v>27</v>
      </c>
      <c r="Q667" s="22"/>
      <c r="R667" s="22"/>
      <c r="S667" s="117"/>
      <c r="T667" s="236"/>
      <c r="U667" s="161"/>
      <c r="V667" s="161"/>
      <c r="W667" s="161"/>
      <c r="X667" s="161"/>
      <c r="Y667" s="161"/>
      <c r="Z667" s="161"/>
      <c r="AA667" s="161"/>
      <c r="AB667" s="161"/>
      <c r="AC667" s="161"/>
      <c r="AD667" s="161"/>
      <c r="AE667" s="161"/>
      <c r="AF667" s="161"/>
      <c r="AG667" s="275" t="s">
        <v>97</v>
      </c>
      <c r="AH667" s="163"/>
      <c r="AI667" s="163"/>
      <c r="AJ667" s="163"/>
      <c r="AK667" s="163"/>
      <c r="AL667" s="163"/>
      <c r="AM667" s="163"/>
      <c r="AN667" s="161"/>
      <c r="AO667" s="161"/>
      <c r="AP667" s="161"/>
      <c r="AQ667" s="161"/>
      <c r="AR667" s="161"/>
      <c r="AS667" s="119"/>
    </row>
    <row r="668">
      <c r="A668" s="101">
        <v>492.0</v>
      </c>
      <c r="B668" s="177">
        <v>10.0</v>
      </c>
      <c r="C668" s="104" t="s">
        <v>3923</v>
      </c>
      <c r="D668" s="105" t="s">
        <v>48</v>
      </c>
      <c r="E668" s="107" t="s">
        <v>48</v>
      </c>
      <c r="F668" s="178"/>
      <c r="G668" s="77" t="s">
        <v>3924</v>
      </c>
      <c r="H668" s="81" t="s">
        <v>3925</v>
      </c>
      <c r="I668" s="84" t="s">
        <v>3926</v>
      </c>
      <c r="J668" s="155"/>
      <c r="K668" s="22" t="s">
        <v>27</v>
      </c>
      <c r="L668" s="22" t="s">
        <v>27</v>
      </c>
      <c r="M668" s="85" t="s">
        <v>116</v>
      </c>
      <c r="N668" s="85" t="s">
        <v>46</v>
      </c>
      <c r="O668" s="22" t="s">
        <v>27</v>
      </c>
      <c r="P668" s="22" t="s">
        <v>27</v>
      </c>
      <c r="Q668" s="373"/>
      <c r="R668" s="373"/>
      <c r="S668" s="224"/>
      <c r="T668" s="181"/>
      <c r="U668" s="182" t="s">
        <v>97</v>
      </c>
      <c r="V668" s="184"/>
      <c r="W668" s="184"/>
      <c r="X668" s="184"/>
      <c r="Y668" s="184"/>
      <c r="Z668" s="184"/>
      <c r="AA668" s="184"/>
      <c r="AB668" s="184"/>
      <c r="AC668" s="184"/>
      <c r="AD668" s="186"/>
      <c r="AE668" s="187"/>
      <c r="AF668" s="184"/>
      <c r="AG668" s="187"/>
      <c r="AH668" s="189"/>
      <c r="AI668" s="189"/>
      <c r="AJ668" s="189"/>
      <c r="AK668" s="189"/>
      <c r="AL668" s="189"/>
      <c r="AM668" s="189"/>
      <c r="AN668" s="187"/>
      <c r="AO668" s="187"/>
      <c r="AP668" s="184"/>
      <c r="AQ668" s="187"/>
      <c r="AR668" s="187"/>
      <c r="AS668" s="119"/>
    </row>
    <row r="669">
      <c r="A669" s="137">
        <v>905.0</v>
      </c>
      <c r="B669" s="284"/>
      <c r="C669" s="123" t="s">
        <v>3927</v>
      </c>
      <c r="D669" s="285" t="s">
        <v>48</v>
      </c>
      <c r="E669" s="287" t="s">
        <v>48</v>
      </c>
      <c r="F669" s="144"/>
      <c r="G669" s="87" t="s">
        <v>86</v>
      </c>
      <c r="H669" s="89" t="s">
        <v>87</v>
      </c>
      <c r="I669" s="91" t="str">
        <f>HYPERLINK("https://filmfreeway.com/OrlandoInternationalFilmFestival","https://filmfreeway.com/OrlandoInternationalFilmFestival")</f>
        <v>https://filmfreeway.com/OrlandoInternationalFilmFestival</v>
      </c>
      <c r="J669" s="93" t="s">
        <v>26</v>
      </c>
      <c r="K669" s="145">
        <v>43974.0</v>
      </c>
      <c r="L669" s="145">
        <v>43977.0</v>
      </c>
      <c r="M669" s="130" t="s">
        <v>116</v>
      </c>
      <c r="N669" s="130" t="s">
        <v>46</v>
      </c>
      <c r="O669" s="145">
        <v>43723.0</v>
      </c>
      <c r="P669" s="145">
        <v>43867.0</v>
      </c>
      <c r="Q669" s="131"/>
      <c r="R669" s="132"/>
      <c r="S669" s="148" t="s">
        <v>97</v>
      </c>
      <c r="T669" s="118"/>
      <c r="U669" s="176" t="s">
        <v>97</v>
      </c>
      <c r="V669" s="119"/>
      <c r="W669" s="119"/>
      <c r="X669" s="119"/>
      <c r="Y669" s="134"/>
      <c r="Z669" s="119"/>
      <c r="AA669" s="119"/>
      <c r="AB669" s="119"/>
      <c r="AC669" s="119"/>
      <c r="AD669" s="119"/>
      <c r="AE669" s="119"/>
      <c r="AF669" s="119"/>
      <c r="AG669" s="119"/>
      <c r="AH669" s="121"/>
      <c r="AI669" s="121"/>
      <c r="AJ669" s="121"/>
      <c r="AK669" s="121"/>
      <c r="AL669" s="121"/>
      <c r="AM669" s="135"/>
      <c r="AN669" s="119"/>
      <c r="AO669" s="119"/>
      <c r="AP669" s="119"/>
      <c r="AQ669" s="119"/>
      <c r="AR669" s="119"/>
      <c r="AS669" s="119"/>
    </row>
    <row r="670">
      <c r="A670" s="137">
        <v>493.0</v>
      </c>
      <c r="B670" s="150"/>
      <c r="C670" s="104" t="s">
        <v>3928</v>
      </c>
      <c r="D670" s="138" t="s">
        <v>56</v>
      </c>
      <c r="E670" s="156" t="s">
        <v>227</v>
      </c>
      <c r="F670" s="101"/>
      <c r="G670" s="40" t="s">
        <v>3929</v>
      </c>
      <c r="H670" s="55" t="s">
        <v>3930</v>
      </c>
      <c r="I670" s="69" t="s">
        <v>3931</v>
      </c>
      <c r="J670" s="155"/>
      <c r="K670" s="37">
        <v>43976.0</v>
      </c>
      <c r="L670" s="37">
        <v>43976.0</v>
      </c>
      <c r="M670" s="73" t="s">
        <v>116</v>
      </c>
      <c r="N670" s="179" t="s">
        <v>46</v>
      </c>
      <c r="O670" s="22" t="s">
        <v>27</v>
      </c>
      <c r="P670" s="22" t="s">
        <v>27</v>
      </c>
      <c r="Q670" s="22"/>
      <c r="R670" s="22"/>
      <c r="S670" s="117"/>
      <c r="T670" s="236"/>
      <c r="U670" s="161"/>
      <c r="V670" s="161"/>
      <c r="W670" s="161"/>
      <c r="X670" s="161"/>
      <c r="Y670" s="161"/>
      <c r="Z670" s="161"/>
      <c r="AA670" s="218" t="s">
        <v>97</v>
      </c>
      <c r="AB670" s="161"/>
      <c r="AC670" s="161"/>
      <c r="AD670" s="161"/>
      <c r="AE670" s="161"/>
      <c r="AF670" s="161"/>
      <c r="AG670" s="161"/>
      <c r="AH670" s="163"/>
      <c r="AI670" s="163"/>
      <c r="AJ670" s="163"/>
      <c r="AK670" s="163"/>
      <c r="AL670" s="163"/>
      <c r="AM670" s="163"/>
      <c r="AN670" s="161"/>
      <c r="AO670" s="161"/>
      <c r="AP670" s="161"/>
      <c r="AQ670" s="161"/>
      <c r="AR670" s="161"/>
      <c r="AS670" s="119"/>
    </row>
    <row r="671">
      <c r="A671" s="137">
        <v>494.0</v>
      </c>
      <c r="B671" s="150"/>
      <c r="C671" s="104" t="s">
        <v>2659</v>
      </c>
      <c r="D671" s="105" t="s">
        <v>48</v>
      </c>
      <c r="E671" s="107" t="s">
        <v>48</v>
      </c>
      <c r="F671" s="101"/>
      <c r="G671" s="40" t="s">
        <v>3932</v>
      </c>
      <c r="H671" s="55" t="s">
        <v>3933</v>
      </c>
      <c r="I671" s="69" t="s">
        <v>3934</v>
      </c>
      <c r="J671" s="155"/>
      <c r="K671" s="37">
        <v>44106.0</v>
      </c>
      <c r="L671" s="37">
        <v>44108.0</v>
      </c>
      <c r="M671" s="73" t="s">
        <v>221</v>
      </c>
      <c r="N671" s="179" t="s">
        <v>72</v>
      </c>
      <c r="O671" s="113">
        <v>43905.0</v>
      </c>
      <c r="P671" s="37">
        <v>44075.0</v>
      </c>
      <c r="Q671" s="22"/>
      <c r="R671" s="22"/>
      <c r="S671" s="117"/>
      <c r="T671" s="236"/>
      <c r="U671" s="176" t="s">
        <v>97</v>
      </c>
      <c r="V671" s="161"/>
      <c r="W671" s="161"/>
      <c r="X671" s="161"/>
      <c r="Y671" s="161"/>
      <c r="Z671" s="161"/>
      <c r="AA671" s="161"/>
      <c r="AB671" s="161"/>
      <c r="AC671" s="161"/>
      <c r="AD671" s="161"/>
      <c r="AE671" s="161"/>
      <c r="AF671" s="161"/>
      <c r="AG671" s="161"/>
      <c r="AH671" s="163"/>
      <c r="AI671" s="163"/>
      <c r="AJ671" s="163"/>
      <c r="AK671" s="163"/>
      <c r="AL671" s="163"/>
      <c r="AM671" s="163"/>
      <c r="AN671" s="161"/>
      <c r="AO671" s="161"/>
      <c r="AP671" s="161"/>
      <c r="AQ671" s="161"/>
      <c r="AR671" s="161"/>
      <c r="AS671" s="119"/>
    </row>
    <row r="672">
      <c r="A672" s="137">
        <v>852.0</v>
      </c>
      <c r="B672" s="103">
        <v>12.0</v>
      </c>
      <c r="C672" s="104" t="s">
        <v>3935</v>
      </c>
      <c r="D672" s="138" t="s">
        <v>63</v>
      </c>
      <c r="E672" s="107" t="s">
        <v>1297</v>
      </c>
      <c r="F672" s="109"/>
      <c r="G672" s="10" t="s">
        <v>3936</v>
      </c>
      <c r="H672" s="17" t="s">
        <v>3937</v>
      </c>
      <c r="I672" s="111" t="s">
        <v>3938</v>
      </c>
      <c r="J672" s="155"/>
      <c r="K672" s="22" t="s">
        <v>27</v>
      </c>
      <c r="L672" s="22" t="s">
        <v>27</v>
      </c>
      <c r="M672" s="24" t="s">
        <v>165</v>
      </c>
      <c r="N672" s="24" t="s">
        <v>102</v>
      </c>
      <c r="O672" s="22" t="s">
        <v>27</v>
      </c>
      <c r="P672" s="22" t="s">
        <v>27</v>
      </c>
      <c r="Q672" s="223"/>
      <c r="R672" s="223"/>
      <c r="S672" s="203" t="s">
        <v>97</v>
      </c>
      <c r="T672" s="118"/>
      <c r="U672" s="119"/>
      <c r="V672" s="119"/>
      <c r="W672" s="119"/>
      <c r="X672" s="119"/>
      <c r="Y672" s="119"/>
      <c r="Z672" s="119"/>
      <c r="AA672" s="119"/>
      <c r="AB672" s="119"/>
      <c r="AC672" s="119"/>
      <c r="AD672" s="119"/>
      <c r="AE672" s="119"/>
      <c r="AF672" s="119"/>
      <c r="AG672" s="275" t="s">
        <v>97</v>
      </c>
      <c r="AH672" s="121"/>
      <c r="AI672" s="121"/>
      <c r="AJ672" s="121"/>
      <c r="AK672" s="121"/>
      <c r="AL672" s="121"/>
      <c r="AM672" s="121"/>
      <c r="AN672" s="119"/>
      <c r="AO672" s="119"/>
      <c r="AP672" s="119"/>
      <c r="AQ672" s="119"/>
      <c r="AR672" s="119"/>
      <c r="AS672" s="119"/>
    </row>
    <row r="673">
      <c r="A673" s="101">
        <v>495.0</v>
      </c>
      <c r="B673" s="150">
        <v>6.0</v>
      </c>
      <c r="C673" s="104" t="s">
        <v>3939</v>
      </c>
      <c r="D673" s="226" t="s">
        <v>54</v>
      </c>
      <c r="E673" s="227" t="s">
        <v>54</v>
      </c>
      <c r="F673" s="101"/>
      <c r="G673" s="40" t="s">
        <v>3940</v>
      </c>
      <c r="H673" s="55" t="s">
        <v>3941</v>
      </c>
      <c r="I673" s="69" t="s">
        <v>3942</v>
      </c>
      <c r="J673" s="155"/>
      <c r="K673" s="22" t="s">
        <v>27</v>
      </c>
      <c r="L673" s="664" t="s">
        <v>27</v>
      </c>
      <c r="M673" s="73" t="s">
        <v>721</v>
      </c>
      <c r="N673" s="179" t="s">
        <v>256</v>
      </c>
      <c r="O673" s="22" t="s">
        <v>27</v>
      </c>
      <c r="P673" s="664" t="s">
        <v>27</v>
      </c>
      <c r="Q673" s="22"/>
      <c r="R673" s="22"/>
      <c r="S673" s="117"/>
      <c r="T673" s="236"/>
      <c r="U673" s="161"/>
      <c r="V673" s="161"/>
      <c r="W673" s="161"/>
      <c r="X673" s="161"/>
      <c r="Y673" s="374" t="s">
        <v>97</v>
      </c>
      <c r="Z673" s="161"/>
      <c r="AA673" s="161"/>
      <c r="AB673" s="161"/>
      <c r="AC673" s="161"/>
      <c r="AD673" s="161"/>
      <c r="AE673" s="161"/>
      <c r="AF673" s="161"/>
      <c r="AG673" s="161"/>
      <c r="AH673" s="163"/>
      <c r="AI673" s="163"/>
      <c r="AJ673" s="163"/>
      <c r="AK673" s="163"/>
      <c r="AL673" s="163"/>
      <c r="AM673" s="163"/>
      <c r="AN673" s="161"/>
      <c r="AO673" s="161"/>
      <c r="AP673" s="161"/>
      <c r="AQ673" s="161"/>
      <c r="AR673" s="161"/>
      <c r="AS673" s="119"/>
    </row>
    <row r="674">
      <c r="A674" s="137">
        <v>496.0</v>
      </c>
      <c r="B674" s="177">
        <v>9.0</v>
      </c>
      <c r="C674" s="104" t="s">
        <v>3943</v>
      </c>
      <c r="D674" s="226" t="s">
        <v>54</v>
      </c>
      <c r="E674" s="227" t="s">
        <v>54</v>
      </c>
      <c r="F674" s="178"/>
      <c r="G674" s="77" t="s">
        <v>3944</v>
      </c>
      <c r="H674" s="81" t="s">
        <v>3945</v>
      </c>
      <c r="I674" s="84" t="s">
        <v>3946</v>
      </c>
      <c r="J674" s="155"/>
      <c r="K674" s="22" t="s">
        <v>27</v>
      </c>
      <c r="L674" s="22" t="s">
        <v>27</v>
      </c>
      <c r="M674" s="85" t="s">
        <v>322</v>
      </c>
      <c r="N674" s="85" t="s">
        <v>19</v>
      </c>
      <c r="O674" s="22" t="s">
        <v>27</v>
      </c>
      <c r="P674" s="22" t="s">
        <v>27</v>
      </c>
      <c r="Q674" s="22"/>
      <c r="R674" s="22"/>
      <c r="S674" s="117"/>
      <c r="T674" s="181"/>
      <c r="U674" s="184"/>
      <c r="V674" s="184"/>
      <c r="W674" s="184"/>
      <c r="X674" s="184"/>
      <c r="Y674" s="233" t="s">
        <v>97</v>
      </c>
      <c r="Z674" s="184"/>
      <c r="AA674" s="184"/>
      <c r="AB674" s="184"/>
      <c r="AC674" s="184"/>
      <c r="AD674" s="186"/>
      <c r="AE674" s="187"/>
      <c r="AF674" s="184"/>
      <c r="AG674" s="187"/>
      <c r="AH674" s="189"/>
      <c r="AI674" s="189"/>
      <c r="AJ674" s="189"/>
      <c r="AK674" s="189"/>
      <c r="AL674" s="189"/>
      <c r="AM674" s="189"/>
      <c r="AN674" s="187"/>
      <c r="AO674" s="187"/>
      <c r="AP674" s="184"/>
      <c r="AQ674" s="187"/>
      <c r="AR674" s="187"/>
      <c r="AS674" s="119"/>
    </row>
    <row r="675">
      <c r="A675" s="137">
        <v>497.0</v>
      </c>
      <c r="B675" s="150"/>
      <c r="C675" s="104" t="s">
        <v>3947</v>
      </c>
      <c r="D675" s="226" t="s">
        <v>54</v>
      </c>
      <c r="E675" s="227" t="s">
        <v>54</v>
      </c>
      <c r="F675" s="101"/>
      <c r="G675" s="40" t="s">
        <v>3948</v>
      </c>
      <c r="H675" s="55" t="s">
        <v>3949</v>
      </c>
      <c r="I675" s="69" t="s">
        <v>3950</v>
      </c>
      <c r="J675" s="155"/>
      <c r="K675" s="37">
        <v>43896.0</v>
      </c>
      <c r="L675" s="37">
        <v>43901.0</v>
      </c>
      <c r="M675" s="73" t="s">
        <v>221</v>
      </c>
      <c r="N675" s="179" t="s">
        <v>72</v>
      </c>
      <c r="O675" s="113">
        <v>43707.0</v>
      </c>
      <c r="P675" s="37">
        <v>43777.0</v>
      </c>
      <c r="Q675" s="22"/>
      <c r="R675" s="22"/>
      <c r="S675" s="117"/>
      <c r="T675" s="236"/>
      <c r="U675" s="161"/>
      <c r="V675" s="161"/>
      <c r="W675" s="161"/>
      <c r="X675" s="161"/>
      <c r="Y675" s="374" t="s">
        <v>97</v>
      </c>
      <c r="Z675" s="161"/>
      <c r="AA675" s="161"/>
      <c r="AB675" s="161"/>
      <c r="AC675" s="161"/>
      <c r="AD675" s="161"/>
      <c r="AE675" s="161"/>
      <c r="AF675" s="161"/>
      <c r="AG675" s="161"/>
      <c r="AH675" s="163"/>
      <c r="AI675" s="163"/>
      <c r="AJ675" s="163"/>
      <c r="AK675" s="163"/>
      <c r="AL675" s="163"/>
      <c r="AM675" s="163"/>
      <c r="AN675" s="161"/>
      <c r="AO675" s="161"/>
      <c r="AP675" s="161"/>
      <c r="AQ675" s="161"/>
      <c r="AR675" s="161"/>
      <c r="AS675" s="119"/>
    </row>
    <row r="676">
      <c r="A676" s="101">
        <v>498.0</v>
      </c>
      <c r="B676" s="150">
        <v>7.0</v>
      </c>
      <c r="C676" s="104" t="s">
        <v>3951</v>
      </c>
      <c r="D676" s="226" t="s">
        <v>54</v>
      </c>
      <c r="E676" s="227" t="s">
        <v>54</v>
      </c>
      <c r="F676" s="101"/>
      <c r="G676" s="40" t="s">
        <v>3952</v>
      </c>
      <c r="H676" s="55" t="s">
        <v>3949</v>
      </c>
      <c r="I676" s="69" t="s">
        <v>3953</v>
      </c>
      <c r="J676" s="710"/>
      <c r="K676" s="711">
        <v>44028.0</v>
      </c>
      <c r="L676" s="711">
        <v>44038.0</v>
      </c>
      <c r="M676" s="73" t="s">
        <v>221</v>
      </c>
      <c r="N676" s="179" t="s">
        <v>72</v>
      </c>
      <c r="O676" s="711">
        <v>43819.0</v>
      </c>
      <c r="P676" s="711">
        <v>43896.0</v>
      </c>
      <c r="Q676" s="200" t="s">
        <v>222</v>
      </c>
      <c r="R676" s="22"/>
      <c r="S676" s="117"/>
      <c r="T676" s="236"/>
      <c r="U676" s="161"/>
      <c r="V676" s="161"/>
      <c r="W676" s="161"/>
      <c r="X676" s="161"/>
      <c r="Y676" s="374" t="s">
        <v>97</v>
      </c>
      <c r="Z676" s="161"/>
      <c r="AA676" s="161"/>
      <c r="AB676" s="161"/>
      <c r="AC676" s="161"/>
      <c r="AD676" s="161"/>
      <c r="AE676" s="161"/>
      <c r="AF676" s="161"/>
      <c r="AG676" s="161"/>
      <c r="AH676" s="163"/>
      <c r="AI676" s="163"/>
      <c r="AJ676" s="163"/>
      <c r="AK676" s="163"/>
      <c r="AL676" s="163"/>
      <c r="AM676" s="163"/>
      <c r="AN676" s="161"/>
      <c r="AO676" s="161"/>
      <c r="AP676" s="161"/>
      <c r="AQ676" s="161"/>
      <c r="AR676" s="161"/>
      <c r="AS676" s="119"/>
    </row>
    <row r="677">
      <c r="A677" s="137">
        <v>499.0</v>
      </c>
      <c r="B677" s="177">
        <v>10.0</v>
      </c>
      <c r="C677" s="104" t="s">
        <v>3954</v>
      </c>
      <c r="D677" s="226" t="s">
        <v>54</v>
      </c>
      <c r="E677" s="227" t="s">
        <v>54</v>
      </c>
      <c r="F677" s="178"/>
      <c r="G677" s="77" t="s">
        <v>3955</v>
      </c>
      <c r="H677" s="81" t="s">
        <v>3956</v>
      </c>
      <c r="I677" s="84" t="s">
        <v>3957</v>
      </c>
      <c r="J677" s="155"/>
      <c r="K677" s="22" t="s">
        <v>27</v>
      </c>
      <c r="L677" s="22" t="s">
        <v>27</v>
      </c>
      <c r="M677" s="174" t="s">
        <v>3077</v>
      </c>
      <c r="N677" s="85" t="s">
        <v>303</v>
      </c>
      <c r="O677" s="22" t="s">
        <v>27</v>
      </c>
      <c r="P677" s="22" t="s">
        <v>27</v>
      </c>
      <c r="Q677" s="373"/>
      <c r="R677" s="373"/>
      <c r="S677" s="224"/>
      <c r="T677" s="181"/>
      <c r="U677" s="184"/>
      <c r="V677" s="184"/>
      <c r="W677" s="184"/>
      <c r="X677" s="184"/>
      <c r="Y677" s="233" t="s">
        <v>97</v>
      </c>
      <c r="Z677" s="184"/>
      <c r="AA677" s="184"/>
      <c r="AB677" s="184"/>
      <c r="AC677" s="184"/>
      <c r="AD677" s="186"/>
      <c r="AE677" s="187"/>
      <c r="AF677" s="184"/>
      <c r="AG677" s="187"/>
      <c r="AH677" s="189"/>
      <c r="AI677" s="189"/>
      <c r="AJ677" s="189"/>
      <c r="AK677" s="189"/>
      <c r="AL677" s="189"/>
      <c r="AM677" s="189"/>
      <c r="AN677" s="187"/>
      <c r="AO677" s="187"/>
      <c r="AP677" s="184"/>
      <c r="AQ677" s="187"/>
      <c r="AR677" s="187"/>
      <c r="AS677" s="119"/>
    </row>
    <row r="678">
      <c r="A678" s="137">
        <v>915.0</v>
      </c>
      <c r="B678" s="122">
        <v>10.0</v>
      </c>
      <c r="C678" s="123" t="s">
        <v>3958</v>
      </c>
      <c r="D678" s="124" t="s">
        <v>89</v>
      </c>
      <c r="E678" s="126" t="s">
        <v>3959</v>
      </c>
      <c r="F678" s="127"/>
      <c r="G678" s="128" t="s">
        <v>3960</v>
      </c>
      <c r="H678" s="89" t="s">
        <v>3961</v>
      </c>
      <c r="I678" s="91" t="str">
        <f>HYPERLINK("https://filmfreeway.com/TheOutletDanceProject","https://filmfreeway.com/TheOutletDanceProject")</f>
        <v>https://filmfreeway.com/TheOutletDanceProject</v>
      </c>
      <c r="J678" s="155"/>
      <c r="K678" s="22" t="s">
        <v>27</v>
      </c>
      <c r="L678" s="22" t="s">
        <v>27</v>
      </c>
      <c r="M678" s="130" t="s">
        <v>3962</v>
      </c>
      <c r="N678" s="130" t="s">
        <v>412</v>
      </c>
      <c r="O678" s="22" t="s">
        <v>27</v>
      </c>
      <c r="P678" s="22" t="s">
        <v>27</v>
      </c>
      <c r="Q678" s="131"/>
      <c r="R678" s="132"/>
      <c r="S678" s="132"/>
      <c r="T678" s="118"/>
      <c r="U678" s="119"/>
      <c r="V678" s="119"/>
      <c r="W678" s="120" t="s">
        <v>97</v>
      </c>
      <c r="X678" s="401" t="s">
        <v>97</v>
      </c>
      <c r="Y678" s="134"/>
      <c r="Z678" s="119"/>
      <c r="AA678" s="119"/>
      <c r="AB678" s="119"/>
      <c r="AC678" s="119"/>
      <c r="AD678" s="119"/>
      <c r="AE678" s="119"/>
      <c r="AF678" s="119"/>
      <c r="AG678" s="119"/>
      <c r="AH678" s="121"/>
      <c r="AI678" s="121"/>
      <c r="AJ678" s="121"/>
      <c r="AK678" s="121"/>
      <c r="AL678" s="121"/>
      <c r="AM678" s="135"/>
      <c r="AN678" s="119"/>
      <c r="AO678" s="119"/>
      <c r="AP678" s="119"/>
      <c r="AQ678" s="172" t="s">
        <v>97</v>
      </c>
      <c r="AR678" s="119"/>
      <c r="AS678" s="119"/>
    </row>
    <row r="679">
      <c r="A679" s="137">
        <v>500.0</v>
      </c>
      <c r="B679" s="746"/>
      <c r="C679" s="104" t="s">
        <v>3963</v>
      </c>
      <c r="D679" s="226" t="s">
        <v>54</v>
      </c>
      <c r="E679" s="227" t="s">
        <v>54</v>
      </c>
      <c r="F679" s="747"/>
      <c r="G679" s="352" t="s">
        <v>3964</v>
      </c>
      <c r="H679" s="250" t="s">
        <v>877</v>
      </c>
      <c r="I679" s="354" t="s">
        <v>3965</v>
      </c>
      <c r="J679" s="112"/>
      <c r="K679" s="113">
        <v>44112.0</v>
      </c>
      <c r="L679" s="113">
        <v>44122.0</v>
      </c>
      <c r="M679" s="356" t="s">
        <v>3966</v>
      </c>
      <c r="N679" s="356" t="s">
        <v>46</v>
      </c>
      <c r="O679" s="22" t="s">
        <v>27</v>
      </c>
      <c r="P679" s="22" t="s">
        <v>27</v>
      </c>
      <c r="Q679" s="535"/>
      <c r="R679" s="535"/>
      <c r="S679" s="117"/>
      <c r="T679" s="157"/>
      <c r="U679" s="194"/>
      <c r="V679" s="194"/>
      <c r="W679" s="194"/>
      <c r="X679" s="194"/>
      <c r="Y679" s="748" t="s">
        <v>97</v>
      </c>
      <c r="Z679" s="194"/>
      <c r="AA679" s="194"/>
      <c r="AB679" s="194"/>
      <c r="AC679" s="194"/>
      <c r="AD679" s="186"/>
      <c r="AE679" s="187"/>
      <c r="AF679" s="194"/>
      <c r="AG679" s="187"/>
      <c r="AH679" s="189"/>
      <c r="AI679" s="189"/>
      <c r="AJ679" s="189"/>
      <c r="AK679" s="189"/>
      <c r="AL679" s="189"/>
      <c r="AM679" s="189"/>
      <c r="AN679" s="187"/>
      <c r="AO679" s="187"/>
      <c r="AP679" s="194"/>
      <c r="AQ679" s="187"/>
      <c r="AR679" s="187"/>
      <c r="AS679" s="119"/>
    </row>
    <row r="680">
      <c r="A680" s="101">
        <v>501.0</v>
      </c>
      <c r="B680" s="746"/>
      <c r="C680" s="104" t="s">
        <v>3967</v>
      </c>
      <c r="D680" s="226" t="s">
        <v>54</v>
      </c>
      <c r="E680" s="227" t="s">
        <v>54</v>
      </c>
      <c r="F680" s="747"/>
      <c r="G680" s="352" t="s">
        <v>876</v>
      </c>
      <c r="H680" s="250" t="s">
        <v>877</v>
      </c>
      <c r="I680" s="354" t="s">
        <v>878</v>
      </c>
      <c r="J680" s="222" t="s">
        <v>78</v>
      </c>
      <c r="K680" s="113">
        <v>43937.0</v>
      </c>
      <c r="L680" s="113">
        <v>43947.0</v>
      </c>
      <c r="M680" s="356" t="s">
        <v>880</v>
      </c>
      <c r="N680" s="356" t="s">
        <v>46</v>
      </c>
      <c r="O680" s="113">
        <v>43834.0</v>
      </c>
      <c r="P680" s="113">
        <v>43891.0</v>
      </c>
      <c r="Q680" s="535"/>
      <c r="R680" s="535"/>
      <c r="S680" s="117"/>
      <c r="T680" s="157"/>
      <c r="U680" s="194"/>
      <c r="V680" s="194"/>
      <c r="W680" s="194"/>
      <c r="X680" s="194"/>
      <c r="Y680" s="748" t="s">
        <v>97</v>
      </c>
      <c r="Z680" s="194"/>
      <c r="AA680" s="194"/>
      <c r="AB680" s="194"/>
      <c r="AC680" s="194"/>
      <c r="AD680" s="186"/>
      <c r="AE680" s="187"/>
      <c r="AF680" s="194"/>
      <c r="AG680" s="187"/>
      <c r="AH680" s="189"/>
      <c r="AI680" s="189"/>
      <c r="AJ680" s="189"/>
      <c r="AK680" s="189"/>
      <c r="AL680" s="189"/>
      <c r="AM680" s="189"/>
      <c r="AN680" s="187"/>
      <c r="AO680" s="187"/>
      <c r="AP680" s="194"/>
      <c r="AQ680" s="187"/>
      <c r="AR680" s="187"/>
      <c r="AS680" s="119"/>
    </row>
    <row r="681">
      <c r="A681" s="137">
        <v>777.0</v>
      </c>
      <c r="B681" s="103">
        <v>10.0</v>
      </c>
      <c r="C681" s="104" t="s">
        <v>3968</v>
      </c>
      <c r="D681" s="138" t="s">
        <v>71</v>
      </c>
      <c r="E681" s="107" t="s">
        <v>71</v>
      </c>
      <c r="F681" s="109"/>
      <c r="G681" s="10" t="s">
        <v>3969</v>
      </c>
      <c r="H681" s="17" t="s">
        <v>3970</v>
      </c>
      <c r="I681" s="111" t="s">
        <v>3971</v>
      </c>
      <c r="J681" s="155"/>
      <c r="K681" s="22" t="s">
        <v>27</v>
      </c>
      <c r="L681" s="22" t="s">
        <v>27</v>
      </c>
      <c r="M681" s="24" t="s">
        <v>621</v>
      </c>
      <c r="N681" s="24" t="s">
        <v>622</v>
      </c>
      <c r="O681" s="22" t="s">
        <v>27</v>
      </c>
      <c r="P681" s="22" t="s">
        <v>27</v>
      </c>
      <c r="Q681" s="115"/>
      <c r="R681" s="115"/>
      <c r="S681" s="117"/>
      <c r="T681" s="118"/>
      <c r="U681" s="119"/>
      <c r="V681" s="119"/>
      <c r="W681" s="119"/>
      <c r="X681" s="119"/>
      <c r="Y681" s="119"/>
      <c r="Z681" s="119"/>
      <c r="AA681" s="119"/>
      <c r="AB681" s="119"/>
      <c r="AC681" s="119"/>
      <c r="AD681" s="119"/>
      <c r="AE681" s="119"/>
      <c r="AF681" s="119"/>
      <c r="AG681" s="119"/>
      <c r="AH681" s="121"/>
      <c r="AI681" s="121"/>
      <c r="AJ681" s="121"/>
      <c r="AK681" s="121"/>
      <c r="AL681" s="121"/>
      <c r="AM681" s="165" t="s">
        <v>97</v>
      </c>
      <c r="AN681" s="119"/>
      <c r="AO681" s="119"/>
      <c r="AP681" s="119"/>
      <c r="AQ681" s="119"/>
      <c r="AR681" s="119"/>
      <c r="AS681" s="119"/>
    </row>
    <row r="682">
      <c r="A682" s="137">
        <v>980.0</v>
      </c>
      <c r="B682" s="122">
        <v>8.0</v>
      </c>
      <c r="C682" s="123" t="s">
        <v>3972</v>
      </c>
      <c r="D682" s="124" t="s">
        <v>66</v>
      </c>
      <c r="E682" s="126" t="s">
        <v>66</v>
      </c>
      <c r="F682" s="127"/>
      <c r="G682" s="128" t="s">
        <v>3973</v>
      </c>
      <c r="H682" s="89" t="s">
        <v>3974</v>
      </c>
      <c r="I682" s="91" t="str">
        <f>HYPERLINK("https://filmfreeway.com/OvermountainAnimationFestival","https://filmfreeway.com/OvermountainAnimationFestival")</f>
        <v>https://filmfreeway.com/OvermountainAnimationFestival</v>
      </c>
      <c r="J682" s="155"/>
      <c r="K682" s="22" t="s">
        <v>27</v>
      </c>
      <c r="L682" s="22" t="s">
        <v>27</v>
      </c>
      <c r="M682" s="130" t="s">
        <v>3975</v>
      </c>
      <c r="N682" s="130" t="s">
        <v>303</v>
      </c>
      <c r="O682" s="22" t="s">
        <v>27</v>
      </c>
      <c r="P682" s="22" t="s">
        <v>27</v>
      </c>
      <c r="Q682" s="131"/>
      <c r="R682" s="132"/>
      <c r="S682" s="132"/>
      <c r="T682" s="118"/>
      <c r="U682" s="119"/>
      <c r="V682" s="119"/>
      <c r="W682" s="119"/>
      <c r="X682" s="119"/>
      <c r="Y682" s="134"/>
      <c r="Z682" s="119"/>
      <c r="AA682" s="119"/>
      <c r="AB682" s="119"/>
      <c r="AC682" s="119"/>
      <c r="AD682" s="119"/>
      <c r="AE682" s="119"/>
      <c r="AF682" s="119"/>
      <c r="AG682" s="119"/>
      <c r="AH682" s="121"/>
      <c r="AI682" s="121"/>
      <c r="AJ682" s="242" t="s">
        <v>97</v>
      </c>
      <c r="AK682" s="121"/>
      <c r="AL682" s="121"/>
      <c r="AM682" s="135"/>
      <c r="AN682" s="119"/>
      <c r="AO682" s="119"/>
      <c r="AP682" s="119"/>
      <c r="AQ682" s="119"/>
      <c r="AR682" s="119"/>
      <c r="AS682" s="119"/>
    </row>
    <row r="683">
      <c r="A683" s="137">
        <v>502.0</v>
      </c>
      <c r="B683" s="292"/>
      <c r="C683" s="104" t="s">
        <v>3976</v>
      </c>
      <c r="D683" s="105" t="s">
        <v>48</v>
      </c>
      <c r="E683" s="107" t="s">
        <v>48</v>
      </c>
      <c r="F683" s="518"/>
      <c r="G683" s="153" t="s">
        <v>1213</v>
      </c>
      <c r="H683" s="81" t="s">
        <v>1214</v>
      </c>
      <c r="I683" s="158" t="s">
        <v>1216</v>
      </c>
      <c r="J683" s="20" t="s">
        <v>78</v>
      </c>
      <c r="K683" s="37">
        <v>43908.0</v>
      </c>
      <c r="L683" s="37">
        <v>43912.0</v>
      </c>
      <c r="M683" s="73" t="s">
        <v>1218</v>
      </c>
      <c r="N683" s="73" t="s">
        <v>405</v>
      </c>
      <c r="O683" s="113">
        <v>43738.0</v>
      </c>
      <c r="P683" s="113">
        <v>43830.0</v>
      </c>
      <c r="Q683" s="373"/>
      <c r="R683" s="373"/>
      <c r="S683" s="203" t="s">
        <v>97</v>
      </c>
      <c r="T683" s="157"/>
      <c r="U683" s="293" t="s">
        <v>97</v>
      </c>
      <c r="V683" s="194"/>
      <c r="W683" s="194"/>
      <c r="X683" s="194"/>
      <c r="Y683" s="194"/>
      <c r="Z683" s="194"/>
      <c r="AA683" s="194"/>
      <c r="AB683" s="194"/>
      <c r="AC683" s="194"/>
      <c r="AD683" s="186"/>
      <c r="AE683" s="187"/>
      <c r="AF683" s="194"/>
      <c r="AG683" s="187"/>
      <c r="AH683" s="189"/>
      <c r="AI683" s="189"/>
      <c r="AJ683" s="189"/>
      <c r="AK683" s="189"/>
      <c r="AL683" s="189"/>
      <c r="AM683" s="189"/>
      <c r="AN683" s="187"/>
      <c r="AO683" s="187"/>
      <c r="AP683" s="194"/>
      <c r="AQ683" s="187"/>
      <c r="AR683" s="187"/>
      <c r="AS683" s="119"/>
    </row>
    <row r="684">
      <c r="A684" s="137">
        <v>503.0</v>
      </c>
      <c r="B684" s="150">
        <v>4.0</v>
      </c>
      <c r="C684" s="104" t="s">
        <v>3977</v>
      </c>
      <c r="D684" s="105" t="s">
        <v>48</v>
      </c>
      <c r="E684" s="107" t="s">
        <v>48</v>
      </c>
      <c r="F684" s="101"/>
      <c r="G684" s="40" t="s">
        <v>3978</v>
      </c>
      <c r="H684" s="55" t="s">
        <v>3979</v>
      </c>
      <c r="I684" s="69" t="s">
        <v>3980</v>
      </c>
      <c r="J684" s="155"/>
      <c r="K684" s="22" t="s">
        <v>27</v>
      </c>
      <c r="L684" s="22" t="s">
        <v>27</v>
      </c>
      <c r="M684" s="73" t="s">
        <v>3981</v>
      </c>
      <c r="N684" s="179" t="s">
        <v>626</v>
      </c>
      <c r="O684" s="22" t="s">
        <v>27</v>
      </c>
      <c r="P684" s="22" t="s">
        <v>27</v>
      </c>
      <c r="Q684" s="22"/>
      <c r="R684" s="22"/>
      <c r="S684" s="117"/>
      <c r="T684" s="236"/>
      <c r="U684" s="176" t="s">
        <v>97</v>
      </c>
      <c r="V684" s="161"/>
      <c r="W684" s="161"/>
      <c r="X684" s="161"/>
      <c r="Y684" s="161"/>
      <c r="Z684" s="161"/>
      <c r="AA684" s="161"/>
      <c r="AB684" s="161"/>
      <c r="AC684" s="161"/>
      <c r="AD684" s="161"/>
      <c r="AE684" s="161"/>
      <c r="AF684" s="161"/>
      <c r="AG684" s="161"/>
      <c r="AH684" s="163"/>
      <c r="AI684" s="163"/>
      <c r="AJ684" s="163"/>
      <c r="AK684" s="163"/>
      <c r="AL684" s="163"/>
      <c r="AM684" s="163"/>
      <c r="AN684" s="161"/>
      <c r="AO684" s="161"/>
      <c r="AP684" s="161"/>
      <c r="AQ684" s="161"/>
      <c r="AR684" s="161"/>
      <c r="AS684" s="119"/>
    </row>
    <row r="685">
      <c r="A685" s="101">
        <v>504.0</v>
      </c>
      <c r="B685" s="150"/>
      <c r="C685" s="104" t="s">
        <v>3982</v>
      </c>
      <c r="D685" s="296" t="s">
        <v>55</v>
      </c>
      <c r="E685" s="297" t="s">
        <v>55</v>
      </c>
      <c r="F685" s="101"/>
      <c r="G685" s="40" t="s">
        <v>3983</v>
      </c>
      <c r="H685" s="55" t="s">
        <v>3984</v>
      </c>
      <c r="I685" s="69" t="s">
        <v>3985</v>
      </c>
      <c r="J685" s="155"/>
      <c r="K685" s="37">
        <v>43856.0</v>
      </c>
      <c r="L685" s="37">
        <v>43877.0</v>
      </c>
      <c r="M685" s="73" t="s">
        <v>3986</v>
      </c>
      <c r="N685" s="179" t="s">
        <v>46</v>
      </c>
      <c r="O685" s="113">
        <v>43770.0</v>
      </c>
      <c r="P685" s="37">
        <v>43770.0</v>
      </c>
      <c r="Q685" s="22"/>
      <c r="R685" s="22"/>
      <c r="S685" s="117"/>
      <c r="T685" s="236"/>
      <c r="U685" s="161"/>
      <c r="V685" s="161"/>
      <c r="W685" s="161"/>
      <c r="X685" s="161"/>
      <c r="Y685" s="161"/>
      <c r="Z685" s="299" t="s">
        <v>97</v>
      </c>
      <c r="AA685" s="161"/>
      <c r="AB685" s="161"/>
      <c r="AC685" s="161"/>
      <c r="AD685" s="161"/>
      <c r="AE685" s="161"/>
      <c r="AF685" s="161"/>
      <c r="AG685" s="161"/>
      <c r="AH685" s="163"/>
      <c r="AI685" s="163"/>
      <c r="AJ685" s="163"/>
      <c r="AK685" s="163"/>
      <c r="AL685" s="163"/>
      <c r="AM685" s="163"/>
      <c r="AN685" s="161"/>
      <c r="AO685" s="161"/>
      <c r="AP685" s="161"/>
      <c r="AQ685" s="161"/>
      <c r="AR685" s="161"/>
      <c r="AS685" s="119"/>
    </row>
    <row r="686">
      <c r="A686" s="137">
        <v>505.0</v>
      </c>
      <c r="B686" s="177"/>
      <c r="C686" s="104" t="s">
        <v>3987</v>
      </c>
      <c r="D686" s="105" t="s">
        <v>48</v>
      </c>
      <c r="E686" s="107" t="s">
        <v>48</v>
      </c>
      <c r="F686" s="178"/>
      <c r="G686" s="77" t="s">
        <v>3988</v>
      </c>
      <c r="H686" s="81" t="s">
        <v>3989</v>
      </c>
      <c r="I686" s="84" t="s">
        <v>3990</v>
      </c>
      <c r="J686" s="155"/>
      <c r="K686" s="37">
        <v>43832.0</v>
      </c>
      <c r="L686" s="749" t="s">
        <v>3991</v>
      </c>
      <c r="M686" s="85" t="s">
        <v>372</v>
      </c>
      <c r="N686" s="85" t="s">
        <v>72</v>
      </c>
      <c r="O686" s="113">
        <v>43678.0</v>
      </c>
      <c r="P686" s="37">
        <v>43709.0</v>
      </c>
      <c r="Q686" s="22"/>
      <c r="R686" s="22"/>
      <c r="S686" s="117"/>
      <c r="T686" s="181"/>
      <c r="U686" s="182" t="s">
        <v>97</v>
      </c>
      <c r="V686" s="184"/>
      <c r="W686" s="184"/>
      <c r="X686" s="184"/>
      <c r="Y686" s="184"/>
      <c r="Z686" s="184"/>
      <c r="AA686" s="184"/>
      <c r="AB686" s="184"/>
      <c r="AC686" s="184"/>
      <c r="AD686" s="186"/>
      <c r="AE686" s="187"/>
      <c r="AF686" s="184"/>
      <c r="AG686" s="187"/>
      <c r="AH686" s="189"/>
      <c r="AI686" s="189"/>
      <c r="AJ686" s="189"/>
      <c r="AK686" s="189"/>
      <c r="AL686" s="189"/>
      <c r="AM686" s="189"/>
      <c r="AN686" s="187"/>
      <c r="AO686" s="187"/>
      <c r="AP686" s="184"/>
      <c r="AQ686" s="187"/>
      <c r="AR686" s="187"/>
      <c r="AS686" s="119"/>
    </row>
    <row r="687">
      <c r="A687" s="137">
        <v>506.0</v>
      </c>
      <c r="B687" s="292"/>
      <c r="C687" s="104" t="s">
        <v>3992</v>
      </c>
      <c r="D687" s="105" t="s">
        <v>52</v>
      </c>
      <c r="E687" s="107" t="s">
        <v>52</v>
      </c>
      <c r="F687" s="750" t="str">
        <f>IMAGE(GOOGLEANALYTICS("UA-149355390-1", "2020 Film Festival Database &amp; Calendar",sheetName()))</f>
        <v/>
      </c>
      <c r="G687" s="192" t="s">
        <v>3993</v>
      </c>
      <c r="H687" s="81" t="s">
        <v>3994</v>
      </c>
      <c r="I687" s="158" t="s">
        <v>3995</v>
      </c>
      <c r="J687" s="155"/>
      <c r="K687" s="37">
        <v>43998.0</v>
      </c>
      <c r="L687" s="37">
        <v>44004.0</v>
      </c>
      <c r="M687" s="73" t="s">
        <v>372</v>
      </c>
      <c r="N687" s="73" t="s">
        <v>72</v>
      </c>
      <c r="O687" s="113">
        <v>43801.0</v>
      </c>
      <c r="P687" s="37">
        <v>43885.0</v>
      </c>
      <c r="Q687" s="200" t="s">
        <v>222</v>
      </c>
      <c r="R687" s="200" t="s">
        <v>222</v>
      </c>
      <c r="S687" s="224"/>
      <c r="T687" s="157"/>
      <c r="U687" s="194"/>
      <c r="V687" s="194"/>
      <c r="W687" s="672" t="s">
        <v>97</v>
      </c>
      <c r="X687" s="194"/>
      <c r="Y687" s="194"/>
      <c r="Z687" s="194"/>
      <c r="AA687" s="194"/>
      <c r="AB687" s="194"/>
      <c r="AC687" s="194"/>
      <c r="AD687" s="186"/>
      <c r="AE687" s="187"/>
      <c r="AF687" s="194"/>
      <c r="AG687" s="187"/>
      <c r="AH687" s="189"/>
      <c r="AI687" s="189"/>
      <c r="AJ687" s="189"/>
      <c r="AK687" s="189"/>
      <c r="AL687" s="189"/>
      <c r="AM687" s="189"/>
      <c r="AN687" s="187"/>
      <c r="AO687" s="187"/>
      <c r="AP687" s="194"/>
      <c r="AQ687" s="187"/>
      <c r="AR687" s="187"/>
      <c r="AS687" s="119"/>
    </row>
    <row r="688">
      <c r="A688" s="137">
        <v>507.0</v>
      </c>
      <c r="B688" s="173">
        <v>3.0</v>
      </c>
      <c r="C688" s="104" t="s">
        <v>3996</v>
      </c>
      <c r="D688" s="296" t="s">
        <v>55</v>
      </c>
      <c r="E688" s="297" t="s">
        <v>55</v>
      </c>
      <c r="F688" s="101"/>
      <c r="G688" s="40" t="s">
        <v>3997</v>
      </c>
      <c r="H688" s="55" t="s">
        <v>3998</v>
      </c>
      <c r="I688" s="175" t="s">
        <v>3999</v>
      </c>
      <c r="J688" s="155"/>
      <c r="K688" s="22" t="s">
        <v>27</v>
      </c>
      <c r="L688" s="22" t="s">
        <v>27</v>
      </c>
      <c r="M688" s="290" t="s">
        <v>372</v>
      </c>
      <c r="N688" s="290" t="s">
        <v>72</v>
      </c>
      <c r="O688" s="22" t="s">
        <v>27</v>
      </c>
      <c r="P688" s="22" t="s">
        <v>27</v>
      </c>
      <c r="Q688" s="345"/>
      <c r="R688" s="345"/>
      <c r="S688" s="117"/>
      <c r="T688" s="141"/>
      <c r="U688" s="119"/>
      <c r="V688" s="119"/>
      <c r="W688" s="119"/>
      <c r="X688" s="119"/>
      <c r="Y688" s="119"/>
      <c r="Z688" s="299" t="s">
        <v>97</v>
      </c>
      <c r="AA688" s="119"/>
      <c r="AB688" s="119"/>
      <c r="AC688" s="119"/>
      <c r="AD688" s="119"/>
      <c r="AE688" s="119"/>
      <c r="AF688" s="119"/>
      <c r="AG688" s="119"/>
      <c r="AH688" s="121"/>
      <c r="AI688" s="121"/>
      <c r="AJ688" s="121"/>
      <c r="AK688" s="121"/>
      <c r="AL688" s="121"/>
      <c r="AM688" s="121"/>
      <c r="AN688" s="119"/>
      <c r="AO688" s="119"/>
      <c r="AP688" s="119"/>
      <c r="AQ688" s="119"/>
      <c r="AR688" s="119"/>
      <c r="AS688" s="119"/>
    </row>
    <row r="689">
      <c r="A689" s="101">
        <v>508.0</v>
      </c>
      <c r="B689" s="177"/>
      <c r="C689" s="104" t="s">
        <v>4000</v>
      </c>
      <c r="D689" s="138" t="s">
        <v>56</v>
      </c>
      <c r="E689" s="156" t="s">
        <v>227</v>
      </c>
      <c r="F689" s="178"/>
      <c r="G689" s="77" t="s">
        <v>4001</v>
      </c>
      <c r="H689" s="32" t="s">
        <v>4002</v>
      </c>
      <c r="I689" s="84" t="s">
        <v>4003</v>
      </c>
      <c r="J689" s="155"/>
      <c r="K689" s="37">
        <v>43867.0</v>
      </c>
      <c r="L689" s="37">
        <v>43878.0</v>
      </c>
      <c r="M689" s="85" t="s">
        <v>221</v>
      </c>
      <c r="N689" s="85" t="s">
        <v>72</v>
      </c>
      <c r="O689" s="113">
        <v>43656.0</v>
      </c>
      <c r="P689" s="37">
        <v>43819.0</v>
      </c>
      <c r="Q689" s="200" t="s">
        <v>222</v>
      </c>
      <c r="R689" s="22"/>
      <c r="S689" s="117"/>
      <c r="T689" s="181"/>
      <c r="U689" s="184"/>
      <c r="V689" s="184"/>
      <c r="W689" s="184"/>
      <c r="X689" s="184"/>
      <c r="Y689" s="184"/>
      <c r="Z689" s="184"/>
      <c r="AA689" s="398" t="s">
        <v>97</v>
      </c>
      <c r="AB689" s="184"/>
      <c r="AC689" s="184"/>
      <c r="AD689" s="186"/>
      <c r="AE689" s="187"/>
      <c r="AF689" s="184"/>
      <c r="AG689" s="187"/>
      <c r="AH689" s="189"/>
      <c r="AI689" s="189"/>
      <c r="AJ689" s="189"/>
      <c r="AK689" s="189"/>
      <c r="AL689" s="189"/>
      <c r="AM689" s="189"/>
      <c r="AN689" s="187"/>
      <c r="AO689" s="187"/>
      <c r="AP689" s="184"/>
      <c r="AQ689" s="187"/>
      <c r="AR689" s="187"/>
      <c r="AS689" s="119"/>
    </row>
    <row r="690">
      <c r="A690" s="137">
        <v>509.0</v>
      </c>
      <c r="B690" s="150"/>
      <c r="C690" s="104" t="s">
        <v>4004</v>
      </c>
      <c r="D690" s="105" t="s">
        <v>64</v>
      </c>
      <c r="E690" s="107" t="s">
        <v>64</v>
      </c>
      <c r="F690" s="101"/>
      <c r="G690" s="40" t="s">
        <v>4005</v>
      </c>
      <c r="H690" s="55" t="s">
        <v>4006</v>
      </c>
      <c r="I690" s="69" t="s">
        <v>4007</v>
      </c>
      <c r="J690" s="155"/>
      <c r="K690" s="37">
        <v>43854.0</v>
      </c>
      <c r="L690" s="37">
        <v>43860.0</v>
      </c>
      <c r="M690" s="85" t="s">
        <v>721</v>
      </c>
      <c r="N690" s="179" t="s">
        <v>256</v>
      </c>
      <c r="O690" s="113">
        <v>43739.0</v>
      </c>
      <c r="P690" s="37">
        <v>43794.0</v>
      </c>
      <c r="Q690" s="22"/>
      <c r="R690" s="22"/>
      <c r="S690" s="117"/>
      <c r="T690" s="236"/>
      <c r="U690" s="161"/>
      <c r="V690" s="161"/>
      <c r="W690" s="161"/>
      <c r="X690" s="161"/>
      <c r="Y690" s="161"/>
      <c r="Z690" s="161"/>
      <c r="AA690" s="161"/>
      <c r="AB690" s="161"/>
      <c r="AC690" s="161"/>
      <c r="AD690" s="161"/>
      <c r="AE690" s="161"/>
      <c r="AF690" s="161"/>
      <c r="AG690" s="161"/>
      <c r="AH690" s="246" t="s">
        <v>97</v>
      </c>
      <c r="AI690" s="163"/>
      <c r="AJ690" s="163"/>
      <c r="AK690" s="163"/>
      <c r="AL690" s="163"/>
      <c r="AM690" s="163"/>
      <c r="AN690" s="161"/>
      <c r="AO690" s="161"/>
      <c r="AP690" s="161"/>
      <c r="AQ690" s="161"/>
      <c r="AR690" s="161"/>
      <c r="AS690" s="119"/>
    </row>
    <row r="691">
      <c r="A691" s="137">
        <v>510.0</v>
      </c>
      <c r="B691" s="150"/>
      <c r="C691" s="104" t="s">
        <v>4008</v>
      </c>
      <c r="D691" s="105" t="s">
        <v>48</v>
      </c>
      <c r="E691" s="107" t="s">
        <v>48</v>
      </c>
      <c r="F691" s="101"/>
      <c r="G691" s="40" t="s">
        <v>539</v>
      </c>
      <c r="H691" s="55" t="s">
        <v>540</v>
      </c>
      <c r="I691" s="69" t="s">
        <v>542</v>
      </c>
      <c r="J691" s="20" t="s">
        <v>544</v>
      </c>
      <c r="K691" s="37">
        <v>43901.0</v>
      </c>
      <c r="L691" s="37">
        <v>43909.0</v>
      </c>
      <c r="M691" s="73" t="s">
        <v>545</v>
      </c>
      <c r="N691" s="179" t="s">
        <v>72</v>
      </c>
      <c r="O691" s="113">
        <v>43679.0</v>
      </c>
      <c r="P691" s="37">
        <v>43854.0</v>
      </c>
      <c r="Q691" s="22"/>
      <c r="R691" s="22"/>
      <c r="S691" s="117"/>
      <c r="T691" s="236"/>
      <c r="U691" s="176" t="s">
        <v>97</v>
      </c>
      <c r="V691" s="161"/>
      <c r="W691" s="161"/>
      <c r="X691" s="161"/>
      <c r="Y691" s="161"/>
      <c r="Z691" s="161"/>
      <c r="AA691" s="161"/>
      <c r="AB691" s="161"/>
      <c r="AC691" s="161"/>
      <c r="AD691" s="161"/>
      <c r="AE691" s="161"/>
      <c r="AF691" s="161"/>
      <c r="AG691" s="161"/>
      <c r="AH691" s="163"/>
      <c r="AI691" s="163"/>
      <c r="AJ691" s="163"/>
      <c r="AK691" s="163"/>
      <c r="AL691" s="163"/>
      <c r="AM691" s="163"/>
      <c r="AN691" s="161"/>
      <c r="AO691" s="161"/>
      <c r="AP691" s="161"/>
      <c r="AQ691" s="161"/>
      <c r="AR691" s="161"/>
      <c r="AS691" s="119"/>
    </row>
    <row r="692">
      <c r="A692" s="137">
        <v>890.0</v>
      </c>
      <c r="B692" s="122">
        <v>10.0</v>
      </c>
      <c r="C692" s="123" t="s">
        <v>4009</v>
      </c>
      <c r="D692" s="124" t="s">
        <v>48</v>
      </c>
      <c r="E692" s="126" t="s">
        <v>48</v>
      </c>
      <c r="F692" s="127"/>
      <c r="G692" s="128" t="s">
        <v>4010</v>
      </c>
      <c r="H692" s="89" t="s">
        <v>4011</v>
      </c>
      <c r="I692" s="91" t="str">
        <f>HYPERLINK("https://filmfreeway.com/PeachtreeVillageInternationalFilmFestival","https://filmfreeway.com/PeachtreeVillageInternationalFilmFestival")</f>
        <v>https://filmfreeway.com/PeachtreeVillageInternationalFilmFestival</v>
      </c>
      <c r="J692" s="155"/>
      <c r="K692" s="22" t="s">
        <v>27</v>
      </c>
      <c r="L692" s="22" t="s">
        <v>27</v>
      </c>
      <c r="M692" s="130" t="s">
        <v>322</v>
      </c>
      <c r="N692" s="130" t="s">
        <v>19</v>
      </c>
      <c r="O692" s="22" t="s">
        <v>27</v>
      </c>
      <c r="P692" s="22" t="s">
        <v>27</v>
      </c>
      <c r="Q692" s="131"/>
      <c r="R692" s="132"/>
      <c r="S692" s="132"/>
      <c r="T692" s="118"/>
      <c r="U692" s="176" t="s">
        <v>97</v>
      </c>
      <c r="V692" s="119"/>
      <c r="W692" s="119"/>
      <c r="X692" s="119"/>
      <c r="Y692" s="134"/>
      <c r="Z692" s="119"/>
      <c r="AA692" s="119"/>
      <c r="AB692" s="119"/>
      <c r="AC692" s="119"/>
      <c r="AD692" s="119"/>
      <c r="AE692" s="119"/>
      <c r="AF692" s="119"/>
      <c r="AG692" s="119"/>
      <c r="AH692" s="121"/>
      <c r="AI692" s="121"/>
      <c r="AJ692" s="121"/>
      <c r="AK692" s="121"/>
      <c r="AL692" s="121"/>
      <c r="AM692" s="135"/>
      <c r="AN692" s="119"/>
      <c r="AO692" s="119"/>
      <c r="AP692" s="119"/>
      <c r="AQ692" s="119"/>
      <c r="AR692" s="119"/>
      <c r="AS692" s="119"/>
    </row>
    <row r="693">
      <c r="A693" s="101">
        <v>511.0</v>
      </c>
      <c r="B693" s="150"/>
      <c r="C693" s="104" t="s">
        <v>4012</v>
      </c>
      <c r="D693" s="105" t="s">
        <v>52</v>
      </c>
      <c r="E693" s="107" t="s">
        <v>52</v>
      </c>
      <c r="F693" s="101"/>
      <c r="G693" s="40" t="s">
        <v>4013</v>
      </c>
      <c r="H693" s="55" t="s">
        <v>4014</v>
      </c>
      <c r="I693" s="69" t="s">
        <v>4015</v>
      </c>
      <c r="J693" s="155"/>
      <c r="K693" s="37">
        <v>43889.0</v>
      </c>
      <c r="L693" s="37">
        <v>43891.0</v>
      </c>
      <c r="M693" s="73" t="s">
        <v>4016</v>
      </c>
      <c r="N693" s="179" t="s">
        <v>46</v>
      </c>
      <c r="O693" s="113">
        <v>43693.0</v>
      </c>
      <c r="P693" s="37">
        <v>43784.0</v>
      </c>
      <c r="Q693" s="22"/>
      <c r="R693" s="22"/>
      <c r="S693" s="117"/>
      <c r="T693" s="236"/>
      <c r="U693" s="161"/>
      <c r="V693" s="161"/>
      <c r="W693" s="120" t="s">
        <v>97</v>
      </c>
      <c r="X693" s="161"/>
      <c r="Y693" s="161"/>
      <c r="Z693" s="161"/>
      <c r="AA693" s="161"/>
      <c r="AB693" s="161"/>
      <c r="AC693" s="161"/>
      <c r="AD693" s="161"/>
      <c r="AE693" s="161"/>
      <c r="AF693" s="161"/>
      <c r="AG693" s="161"/>
      <c r="AH693" s="163"/>
      <c r="AI693" s="163"/>
      <c r="AJ693" s="163"/>
      <c r="AK693" s="163"/>
      <c r="AL693" s="163"/>
      <c r="AM693" s="163"/>
      <c r="AN693" s="161"/>
      <c r="AO693" s="161"/>
      <c r="AP693" s="161"/>
      <c r="AQ693" s="161"/>
      <c r="AR693" s="161"/>
      <c r="AS693" s="119"/>
    </row>
    <row r="694">
      <c r="A694" s="101">
        <v>768.0</v>
      </c>
      <c r="B694" s="103"/>
      <c r="C694" s="104" t="s">
        <v>4017</v>
      </c>
      <c r="D694" s="105" t="s">
        <v>48</v>
      </c>
      <c r="E694" s="107" t="s">
        <v>48</v>
      </c>
      <c r="F694" s="109"/>
      <c r="G694" s="10" t="s">
        <v>4018</v>
      </c>
      <c r="H694" s="17" t="s">
        <v>4019</v>
      </c>
      <c r="I694" s="111" t="s">
        <v>4020</v>
      </c>
      <c r="J694" s="112"/>
      <c r="K694" s="113">
        <v>43979.0</v>
      </c>
      <c r="L694" s="113">
        <v>43981.0</v>
      </c>
      <c r="M694" s="24" t="s">
        <v>4021</v>
      </c>
      <c r="N694" s="24" t="s">
        <v>29</v>
      </c>
      <c r="O694" s="114">
        <v>43786.0</v>
      </c>
      <c r="P694" s="114">
        <v>43912.0</v>
      </c>
      <c r="Q694" s="115"/>
      <c r="R694" s="115"/>
      <c r="S694" s="117"/>
      <c r="T694" s="118"/>
      <c r="U694" s="176" t="s">
        <v>97</v>
      </c>
      <c r="V694" s="119"/>
      <c r="W694" s="119"/>
      <c r="X694" s="119"/>
      <c r="Y694" s="119"/>
      <c r="Z694" s="119"/>
      <c r="AA694" s="119"/>
      <c r="AB694" s="119"/>
      <c r="AC694" s="119"/>
      <c r="AD694" s="119"/>
      <c r="AE694" s="119"/>
      <c r="AF694" s="119"/>
      <c r="AG694" s="119"/>
      <c r="AH694" s="121"/>
      <c r="AI694" s="121"/>
      <c r="AJ694" s="121"/>
      <c r="AK694" s="121"/>
      <c r="AL694" s="121"/>
      <c r="AM694" s="121"/>
      <c r="AN694" s="119"/>
      <c r="AO694" s="119"/>
      <c r="AP694" s="119"/>
      <c r="AQ694" s="119"/>
      <c r="AR694" s="119"/>
      <c r="AS694" s="119"/>
    </row>
    <row r="695">
      <c r="A695" s="137">
        <v>512.0</v>
      </c>
      <c r="B695" s="150"/>
      <c r="C695" s="104" t="s">
        <v>4022</v>
      </c>
      <c r="D695" s="105" t="s">
        <v>70</v>
      </c>
      <c r="E695" s="107" t="s">
        <v>70</v>
      </c>
      <c r="F695" s="101"/>
      <c r="G695" s="40" t="s">
        <v>4023</v>
      </c>
      <c r="H695" s="55" t="s">
        <v>4024</v>
      </c>
      <c r="I695" s="69" t="s">
        <v>4025</v>
      </c>
      <c r="J695" s="155"/>
      <c r="K695" s="37">
        <v>43976.0</v>
      </c>
      <c r="L695" s="37">
        <v>43976.0</v>
      </c>
      <c r="M695" s="73" t="s">
        <v>658</v>
      </c>
      <c r="N695" s="179" t="s">
        <v>561</v>
      </c>
      <c r="O695" s="113">
        <v>43862.0</v>
      </c>
      <c r="P695" s="37">
        <v>43862.0</v>
      </c>
      <c r="Q695" s="22"/>
      <c r="R695" s="22"/>
      <c r="S695" s="117"/>
      <c r="T695" s="236"/>
      <c r="U695" s="161"/>
      <c r="V695" s="161"/>
      <c r="W695" s="161"/>
      <c r="X695" s="161"/>
      <c r="Y695" s="161"/>
      <c r="Z695" s="161"/>
      <c r="AA695" s="161"/>
      <c r="AB695" s="161"/>
      <c r="AC695" s="161"/>
      <c r="AD695" s="161"/>
      <c r="AE695" s="161"/>
      <c r="AF695" s="161"/>
      <c r="AG695" s="161"/>
      <c r="AH695" s="163"/>
      <c r="AI695" s="163"/>
      <c r="AJ695" s="163"/>
      <c r="AK695" s="163"/>
      <c r="AL695" s="149" t="s">
        <v>97</v>
      </c>
      <c r="AM695" s="163"/>
      <c r="AN695" s="161"/>
      <c r="AO695" s="161"/>
      <c r="AP695" s="161"/>
      <c r="AQ695" s="161"/>
      <c r="AR695" s="161"/>
      <c r="AS695" s="119"/>
    </row>
    <row r="696">
      <c r="A696" s="101">
        <v>853.0</v>
      </c>
      <c r="B696" s="103">
        <v>11.0</v>
      </c>
      <c r="C696" s="104" t="s">
        <v>4026</v>
      </c>
      <c r="D696" s="138" t="s">
        <v>57</v>
      </c>
      <c r="E696" s="107" t="s">
        <v>306</v>
      </c>
      <c r="F696" s="109"/>
      <c r="G696" s="10" t="s">
        <v>4027</v>
      </c>
      <c r="H696" s="17" t="s">
        <v>4028</v>
      </c>
      <c r="I696" s="111" t="s">
        <v>4029</v>
      </c>
      <c r="J696" s="155"/>
      <c r="K696" s="37">
        <v>44140.0</v>
      </c>
      <c r="L696" s="37">
        <v>44150.0</v>
      </c>
      <c r="M696" s="24" t="s">
        <v>772</v>
      </c>
      <c r="N696" s="24" t="s">
        <v>212</v>
      </c>
      <c r="O696" s="37">
        <v>43936.0</v>
      </c>
      <c r="P696" s="37">
        <v>44017.0</v>
      </c>
      <c r="Q696" s="223"/>
      <c r="R696" s="223"/>
      <c r="S696" s="224"/>
      <c r="T696" s="118"/>
      <c r="U696" s="119"/>
      <c r="V696" s="119"/>
      <c r="W696" s="119"/>
      <c r="X696" s="119"/>
      <c r="Y696" s="119"/>
      <c r="Z696" s="119"/>
      <c r="AA696" s="119"/>
      <c r="AB696" s="307" t="s">
        <v>97</v>
      </c>
      <c r="AC696" s="119"/>
      <c r="AD696" s="119"/>
      <c r="AE696" s="119"/>
      <c r="AF696" s="119"/>
      <c r="AG696" s="119"/>
      <c r="AH696" s="121"/>
      <c r="AI696" s="121"/>
      <c r="AJ696" s="121"/>
      <c r="AK696" s="121"/>
      <c r="AL696" s="121"/>
      <c r="AM696" s="121"/>
      <c r="AN696" s="119"/>
      <c r="AO696" s="119"/>
      <c r="AP696" s="119"/>
      <c r="AQ696" s="119"/>
      <c r="AR696" s="119"/>
      <c r="AS696" s="119"/>
    </row>
    <row r="697">
      <c r="A697" s="137">
        <v>1003.0</v>
      </c>
      <c r="B697" s="284"/>
      <c r="C697" s="123" t="s">
        <v>4030</v>
      </c>
      <c r="D697" s="138" t="s">
        <v>75</v>
      </c>
      <c r="E697" s="138" t="s">
        <v>75</v>
      </c>
      <c r="F697" s="144"/>
      <c r="G697" s="87" t="s">
        <v>1103</v>
      </c>
      <c r="H697" s="89" t="s">
        <v>1104</v>
      </c>
      <c r="I697" s="91" t="str">
        <f>HYPERLINK("https://filmfreeway.com/PhiladelphiaEnvironmentalFilmFestival","https://filmfreeway.com/PhiladelphiaEnvironmentalFilmFestival")</f>
        <v>https://filmfreeway.com/PhiladelphiaEnvironmentalFilmFestival</v>
      </c>
      <c r="J697" s="93" t="s">
        <v>1108</v>
      </c>
      <c r="K697" s="145">
        <v>43922.0</v>
      </c>
      <c r="L697" s="145">
        <v>43926.0</v>
      </c>
      <c r="M697" s="264" t="s">
        <v>772</v>
      </c>
      <c r="N697" s="264" t="s">
        <v>212</v>
      </c>
      <c r="O697" s="145">
        <v>43475.0</v>
      </c>
      <c r="P697" s="145">
        <v>43840.0</v>
      </c>
      <c r="Q697" s="131"/>
      <c r="R697" s="132"/>
      <c r="S697" s="148" t="s">
        <v>97</v>
      </c>
      <c r="T697" s="118"/>
      <c r="U697" s="119"/>
      <c r="V697" s="119"/>
      <c r="W697" s="119"/>
      <c r="X697" s="119"/>
      <c r="Y697" s="134"/>
      <c r="Z697" s="119"/>
      <c r="AA697" s="119"/>
      <c r="AB697" s="119"/>
      <c r="AC697" s="119"/>
      <c r="AD697" s="119"/>
      <c r="AE697" s="119"/>
      <c r="AF697" s="119"/>
      <c r="AG697" s="119"/>
      <c r="AH697" s="121"/>
      <c r="AI697" s="121"/>
      <c r="AJ697" s="121"/>
      <c r="AK697" s="121"/>
      <c r="AL697" s="121"/>
      <c r="AM697" s="135"/>
      <c r="AN697" s="143" t="s">
        <v>97</v>
      </c>
      <c r="AO697" s="119"/>
      <c r="AP697" s="119"/>
      <c r="AQ697" s="119"/>
      <c r="AR697" s="119"/>
      <c r="AS697" s="119"/>
    </row>
    <row r="698">
      <c r="A698" s="137">
        <v>513.0</v>
      </c>
      <c r="B698" s="177">
        <v>10.0</v>
      </c>
      <c r="C698" s="104" t="s">
        <v>4031</v>
      </c>
      <c r="D698" s="105" t="s">
        <v>48</v>
      </c>
      <c r="E698" s="107" t="s">
        <v>48</v>
      </c>
      <c r="F698" s="178"/>
      <c r="G698" s="77" t="s">
        <v>4032</v>
      </c>
      <c r="H698" s="81" t="s">
        <v>4033</v>
      </c>
      <c r="I698" s="84" t="s">
        <v>4034</v>
      </c>
      <c r="J698" s="155"/>
      <c r="K698" s="37">
        <v>44126.0</v>
      </c>
      <c r="L698" s="37">
        <v>44136.0</v>
      </c>
      <c r="M698" s="85" t="s">
        <v>4035</v>
      </c>
      <c r="N698" s="85" t="s">
        <v>212</v>
      </c>
      <c r="O698" s="37">
        <v>43977.0</v>
      </c>
      <c r="P698" s="37">
        <v>44060.0</v>
      </c>
      <c r="Q698" s="373"/>
      <c r="R698" s="373"/>
      <c r="S698" s="203" t="s">
        <v>97</v>
      </c>
      <c r="T698" s="181"/>
      <c r="U698" s="182" t="s">
        <v>97</v>
      </c>
      <c r="V698" s="184"/>
      <c r="W698" s="184"/>
      <c r="X698" s="184"/>
      <c r="Y698" s="184"/>
      <c r="Z698" s="184"/>
      <c r="AA698" s="184"/>
      <c r="AB698" s="184"/>
      <c r="AC698" s="184"/>
      <c r="AD698" s="186"/>
      <c r="AE698" s="187"/>
      <c r="AF698" s="184"/>
      <c r="AG698" s="187"/>
      <c r="AH698" s="189"/>
      <c r="AI698" s="189"/>
      <c r="AJ698" s="189"/>
      <c r="AK698" s="189"/>
      <c r="AL698" s="189"/>
      <c r="AM698" s="189"/>
      <c r="AN698" s="187"/>
      <c r="AO698" s="187"/>
      <c r="AP698" s="184"/>
      <c r="AQ698" s="187"/>
      <c r="AR698" s="187"/>
      <c r="AS698" s="119"/>
    </row>
    <row r="699">
      <c r="A699" s="101">
        <v>514.0</v>
      </c>
      <c r="B699" s="150"/>
      <c r="C699" s="104" t="s">
        <v>4036</v>
      </c>
      <c r="D699" s="105" t="s">
        <v>48</v>
      </c>
      <c r="E699" s="107" t="s">
        <v>48</v>
      </c>
      <c r="F699" s="101"/>
      <c r="G699" s="40" t="s">
        <v>4037</v>
      </c>
      <c r="H699" s="55" t="s">
        <v>4038</v>
      </c>
      <c r="I699" s="69" t="s">
        <v>4039</v>
      </c>
      <c r="J699" s="155"/>
      <c r="K699" s="37">
        <v>43957.0</v>
      </c>
      <c r="L699" s="37">
        <v>43960.0</v>
      </c>
      <c r="M699" s="73" t="s">
        <v>772</v>
      </c>
      <c r="N699" s="179" t="s">
        <v>212</v>
      </c>
      <c r="O699" s="113">
        <v>43788.0</v>
      </c>
      <c r="P699" s="37">
        <v>43922.0</v>
      </c>
      <c r="Q699" s="22"/>
      <c r="R699" s="22"/>
      <c r="S699" s="117"/>
      <c r="T699" s="236"/>
      <c r="U699" s="176" t="s">
        <v>97</v>
      </c>
      <c r="V699" s="161"/>
      <c r="W699" s="161"/>
      <c r="X699" s="161"/>
      <c r="Y699" s="161"/>
      <c r="Z699" s="161"/>
      <c r="AA699" s="161"/>
      <c r="AB699" s="161"/>
      <c r="AC699" s="161"/>
      <c r="AD699" s="161"/>
      <c r="AE699" s="161"/>
      <c r="AF699" s="161"/>
      <c r="AG699" s="161"/>
      <c r="AH699" s="163"/>
      <c r="AI699" s="163"/>
      <c r="AJ699" s="163"/>
      <c r="AK699" s="163"/>
      <c r="AL699" s="163"/>
      <c r="AM699" s="163"/>
      <c r="AN699" s="161"/>
      <c r="AO699" s="161"/>
      <c r="AP699" s="161"/>
      <c r="AQ699" s="161"/>
      <c r="AR699" s="161"/>
      <c r="AS699" s="119"/>
    </row>
    <row r="700">
      <c r="A700" s="137">
        <v>515.0</v>
      </c>
      <c r="B700" s="197">
        <v>11.0</v>
      </c>
      <c r="C700" s="104" t="s">
        <v>4040</v>
      </c>
      <c r="D700" s="296" t="s">
        <v>55</v>
      </c>
      <c r="E700" s="297" t="s">
        <v>55</v>
      </c>
      <c r="F700" s="178"/>
      <c r="G700" s="77" t="s">
        <v>2145</v>
      </c>
      <c r="H700" s="81" t="s">
        <v>4041</v>
      </c>
      <c r="I700" s="175" t="s">
        <v>4042</v>
      </c>
      <c r="J700" s="155"/>
      <c r="K700" s="37">
        <v>44142.0</v>
      </c>
      <c r="L700" s="37">
        <v>44156.0</v>
      </c>
      <c r="M700" s="85" t="s">
        <v>772</v>
      </c>
      <c r="N700" s="85" t="s">
        <v>212</v>
      </c>
      <c r="O700" s="113" t="s">
        <v>4043</v>
      </c>
      <c r="P700" s="37" t="s">
        <v>4043</v>
      </c>
      <c r="Q700" s="201"/>
      <c r="R700" s="201"/>
      <c r="S700" s="203" t="s">
        <v>97</v>
      </c>
      <c r="T700" s="181"/>
      <c r="U700" s="184"/>
      <c r="V700" s="184"/>
      <c r="W700" s="184"/>
      <c r="X700" s="184"/>
      <c r="Y700" s="184"/>
      <c r="Z700" s="420" t="s">
        <v>97</v>
      </c>
      <c r="AA700" s="184"/>
      <c r="AB700" s="184"/>
      <c r="AC700" s="184"/>
      <c r="AD700" s="186"/>
      <c r="AE700" s="187"/>
      <c r="AF700" s="184"/>
      <c r="AG700" s="187"/>
      <c r="AH700" s="189"/>
      <c r="AI700" s="189"/>
      <c r="AJ700" s="189"/>
      <c r="AK700" s="189"/>
      <c r="AL700" s="189"/>
      <c r="AM700" s="189"/>
      <c r="AN700" s="187"/>
      <c r="AO700" s="187"/>
      <c r="AP700" s="184"/>
      <c r="AQ700" s="187"/>
      <c r="AR700" s="187"/>
      <c r="AS700" s="119"/>
    </row>
    <row r="701">
      <c r="A701" s="137">
        <v>516.0</v>
      </c>
      <c r="B701" s="177"/>
      <c r="C701" s="104" t="s">
        <v>4044</v>
      </c>
      <c r="D701" s="138" t="s">
        <v>59</v>
      </c>
      <c r="E701" s="107" t="s">
        <v>352</v>
      </c>
      <c r="F701" s="178"/>
      <c r="G701" s="77" t="s">
        <v>4045</v>
      </c>
      <c r="H701" s="81" t="s">
        <v>4046</v>
      </c>
      <c r="I701" s="84" t="s">
        <v>4047</v>
      </c>
      <c r="J701" s="155"/>
      <c r="K701" s="37">
        <v>43986.0</v>
      </c>
      <c r="L701" s="37">
        <v>43989.0</v>
      </c>
      <c r="M701" s="85" t="s">
        <v>772</v>
      </c>
      <c r="N701" s="85" t="s">
        <v>212</v>
      </c>
      <c r="O701" s="113">
        <v>43861.0</v>
      </c>
      <c r="P701" s="37">
        <v>43891.0</v>
      </c>
      <c r="Q701" s="22"/>
      <c r="R701" s="22"/>
      <c r="S701" s="117"/>
      <c r="T701" s="181"/>
      <c r="U701" s="184"/>
      <c r="V701" s="184"/>
      <c r="W701" s="319" t="s">
        <v>97</v>
      </c>
      <c r="X701" s="184"/>
      <c r="Y701" s="184"/>
      <c r="Z701" s="184"/>
      <c r="AA701" s="184"/>
      <c r="AB701" s="184"/>
      <c r="AC701" s="421" t="s">
        <v>97</v>
      </c>
      <c r="AD701" s="186"/>
      <c r="AE701" s="187"/>
      <c r="AF701" s="184"/>
      <c r="AG701" s="187"/>
      <c r="AH701" s="189"/>
      <c r="AI701" s="189"/>
      <c r="AJ701" s="189"/>
      <c r="AK701" s="189"/>
      <c r="AL701" s="189"/>
      <c r="AM701" s="189"/>
      <c r="AN701" s="187"/>
      <c r="AO701" s="187"/>
      <c r="AP701" s="184"/>
      <c r="AQ701" s="187"/>
      <c r="AR701" s="187"/>
      <c r="AS701" s="119"/>
    </row>
    <row r="702">
      <c r="A702" s="101">
        <v>517.0</v>
      </c>
      <c r="B702" s="150"/>
      <c r="C702" s="104" t="s">
        <v>4048</v>
      </c>
      <c r="D702" s="138" t="s">
        <v>63</v>
      </c>
      <c r="E702" s="107" t="s">
        <v>1297</v>
      </c>
      <c r="F702" s="101"/>
      <c r="G702" s="40" t="s">
        <v>4049</v>
      </c>
      <c r="H702" s="55" t="s">
        <v>4050</v>
      </c>
      <c r="I702" s="69" t="s">
        <v>4051</v>
      </c>
      <c r="J702" s="155"/>
      <c r="K702" s="37">
        <v>43894.0</v>
      </c>
      <c r="L702" s="37">
        <v>43898.0</v>
      </c>
      <c r="M702" s="73" t="s">
        <v>4052</v>
      </c>
      <c r="N702" s="179" t="s">
        <v>29</v>
      </c>
      <c r="O702" s="113">
        <v>43616.0</v>
      </c>
      <c r="P702" s="37">
        <v>43784.0</v>
      </c>
      <c r="Q702" s="22"/>
      <c r="R702" s="22"/>
      <c r="S702" s="117"/>
      <c r="T702" s="236"/>
      <c r="U702" s="161"/>
      <c r="V702" s="161"/>
      <c r="W702" s="161"/>
      <c r="X702" s="161"/>
      <c r="Y702" s="161"/>
      <c r="Z702" s="161"/>
      <c r="AA702" s="161"/>
      <c r="AB702" s="161"/>
      <c r="AC702" s="161"/>
      <c r="AD702" s="161"/>
      <c r="AE702" s="161"/>
      <c r="AF702" s="161"/>
      <c r="AG702" s="275" t="s">
        <v>97</v>
      </c>
      <c r="AH702" s="163"/>
      <c r="AI702" s="163"/>
      <c r="AJ702" s="163"/>
      <c r="AK702" s="163"/>
      <c r="AL702" s="163"/>
      <c r="AM702" s="163"/>
      <c r="AN702" s="161"/>
      <c r="AO702" s="161"/>
      <c r="AP702" s="161"/>
      <c r="AQ702" s="161"/>
      <c r="AR702" s="161"/>
      <c r="AS702" s="119"/>
    </row>
    <row r="703">
      <c r="A703" s="137">
        <v>518.0</v>
      </c>
      <c r="B703" s="177"/>
      <c r="C703" s="104" t="s">
        <v>3121</v>
      </c>
      <c r="D703" s="105" t="s">
        <v>48</v>
      </c>
      <c r="E703" s="107" t="s">
        <v>48</v>
      </c>
      <c r="F703" s="178"/>
      <c r="G703" s="77" t="s">
        <v>639</v>
      </c>
      <c r="H703" s="81" t="s">
        <v>640</v>
      </c>
      <c r="I703" s="84" t="s">
        <v>644</v>
      </c>
      <c r="J703" s="20" t="s">
        <v>78</v>
      </c>
      <c r="K703" s="37">
        <v>43916.0</v>
      </c>
      <c r="L703" s="37">
        <v>43926.0</v>
      </c>
      <c r="M703" s="85" t="s">
        <v>646</v>
      </c>
      <c r="N703" s="85" t="s">
        <v>179</v>
      </c>
      <c r="O703" s="113">
        <v>43721.0</v>
      </c>
      <c r="P703" s="37">
        <v>43815.0</v>
      </c>
      <c r="Q703" s="22"/>
      <c r="R703" s="22"/>
      <c r="S703" s="193" t="s">
        <v>97</v>
      </c>
      <c r="T703" s="181"/>
      <c r="U703" s="182" t="s">
        <v>97</v>
      </c>
      <c r="V703" s="184"/>
      <c r="W703" s="184"/>
      <c r="X703" s="184"/>
      <c r="Y703" s="184"/>
      <c r="Z703" s="184"/>
      <c r="AA703" s="184"/>
      <c r="AB703" s="184"/>
      <c r="AC703" s="184"/>
      <c r="AD703" s="186"/>
      <c r="AE703" s="187"/>
      <c r="AF703" s="184"/>
      <c r="AG703" s="187"/>
      <c r="AH703" s="189"/>
      <c r="AI703" s="189"/>
      <c r="AJ703" s="189"/>
      <c r="AK703" s="189"/>
      <c r="AL703" s="189"/>
      <c r="AM703" s="189"/>
      <c r="AN703" s="187"/>
      <c r="AO703" s="187"/>
      <c r="AP703" s="184"/>
      <c r="AQ703" s="187"/>
      <c r="AR703" s="187"/>
      <c r="AS703" s="119"/>
    </row>
    <row r="704">
      <c r="A704" s="137">
        <v>519.0</v>
      </c>
      <c r="B704" s="315"/>
      <c r="C704" s="104" t="s">
        <v>4053</v>
      </c>
      <c r="D704" s="296" t="s">
        <v>55</v>
      </c>
      <c r="E704" s="297" t="s">
        <v>55</v>
      </c>
      <c r="F704" s="178"/>
      <c r="G704" s="77" t="s">
        <v>4054</v>
      </c>
      <c r="H704" s="81" t="s">
        <v>4055</v>
      </c>
      <c r="I704" s="175" t="s">
        <v>4056</v>
      </c>
      <c r="J704" s="155"/>
      <c r="K704" s="37">
        <v>43870.0</v>
      </c>
      <c r="L704" s="37">
        <v>43884.0</v>
      </c>
      <c r="M704" s="85" t="s">
        <v>556</v>
      </c>
      <c r="N704" s="85" t="s">
        <v>179</v>
      </c>
      <c r="O704" s="114" t="s">
        <v>24</v>
      </c>
      <c r="P704" s="114" t="s">
        <v>24</v>
      </c>
      <c r="Q704" s="223"/>
      <c r="R704" s="223"/>
      <c r="S704" s="224"/>
      <c r="T704" s="181"/>
      <c r="U704" s="184"/>
      <c r="V704" s="184"/>
      <c r="W704" s="184"/>
      <c r="X704" s="184"/>
      <c r="Y704" s="184"/>
      <c r="Z704" s="420" t="s">
        <v>97</v>
      </c>
      <c r="AA704" s="184"/>
      <c r="AB704" s="184"/>
      <c r="AC704" s="184"/>
      <c r="AD704" s="186"/>
      <c r="AE704" s="187"/>
      <c r="AF704" s="184"/>
      <c r="AG704" s="187"/>
      <c r="AH704" s="189"/>
      <c r="AI704" s="189"/>
      <c r="AJ704" s="189"/>
      <c r="AK704" s="189"/>
      <c r="AL704" s="189"/>
      <c r="AM704" s="189"/>
      <c r="AN704" s="187"/>
      <c r="AO704" s="187"/>
      <c r="AP704" s="184"/>
      <c r="AQ704" s="187"/>
      <c r="AR704" s="187"/>
      <c r="AS704" s="119"/>
    </row>
    <row r="705">
      <c r="A705" s="101">
        <v>520.0</v>
      </c>
      <c r="B705" s="150"/>
      <c r="C705" s="104" t="s">
        <v>4057</v>
      </c>
      <c r="D705" s="105" t="s">
        <v>52</v>
      </c>
      <c r="E705" s="107" t="s">
        <v>52</v>
      </c>
      <c r="F705" s="101"/>
      <c r="G705" s="40" t="s">
        <v>4058</v>
      </c>
      <c r="H705" s="55" t="s">
        <v>4059</v>
      </c>
      <c r="I705" s="69" t="s">
        <v>4060</v>
      </c>
      <c r="J705" s="155"/>
      <c r="K705" s="37">
        <v>44142.0</v>
      </c>
      <c r="L705" s="37">
        <v>44142.0</v>
      </c>
      <c r="M705" s="73" t="s">
        <v>399</v>
      </c>
      <c r="N705" s="179" t="s">
        <v>72</v>
      </c>
      <c r="O705" s="113">
        <v>43834.0</v>
      </c>
      <c r="P705" s="37">
        <v>44105.0</v>
      </c>
      <c r="Q705" s="22"/>
      <c r="R705" s="22"/>
      <c r="S705" s="117"/>
      <c r="T705" s="236"/>
      <c r="U705" s="161"/>
      <c r="V705" s="161"/>
      <c r="W705" s="120" t="s">
        <v>97</v>
      </c>
      <c r="X705" s="161"/>
      <c r="Y705" s="161"/>
      <c r="Z705" s="161"/>
      <c r="AA705" s="161"/>
      <c r="AB705" s="161"/>
      <c r="AC705" s="161"/>
      <c r="AD705" s="161"/>
      <c r="AE705" s="161"/>
      <c r="AF705" s="161"/>
      <c r="AG705" s="161"/>
      <c r="AH705" s="163"/>
      <c r="AI705" s="163"/>
      <c r="AJ705" s="163"/>
      <c r="AK705" s="163"/>
      <c r="AL705" s="163"/>
      <c r="AM705" s="163"/>
      <c r="AN705" s="161"/>
      <c r="AO705" s="161"/>
      <c r="AP705" s="161"/>
      <c r="AQ705" s="161"/>
      <c r="AR705" s="161"/>
      <c r="AS705" s="119"/>
    </row>
    <row r="706">
      <c r="A706" s="137">
        <v>521.0</v>
      </c>
      <c r="B706" s="173"/>
      <c r="C706" s="104" t="s">
        <v>4061</v>
      </c>
      <c r="D706" s="296" t="s">
        <v>55</v>
      </c>
      <c r="E706" s="297" t="s">
        <v>55</v>
      </c>
      <c r="F706" s="101"/>
      <c r="G706" s="40" t="s">
        <v>1096</v>
      </c>
      <c r="H706" s="55" t="s">
        <v>1097</v>
      </c>
      <c r="I706" s="289" t="s">
        <v>24</v>
      </c>
      <c r="J706" s="20" t="s">
        <v>78</v>
      </c>
      <c r="K706" s="37">
        <v>43915.0</v>
      </c>
      <c r="L706" s="37">
        <v>43926.0</v>
      </c>
      <c r="M706" s="290" t="s">
        <v>1098</v>
      </c>
      <c r="N706" s="290" t="s">
        <v>80</v>
      </c>
      <c r="O706" s="113" t="s">
        <v>24</v>
      </c>
      <c r="P706" s="113" t="s">
        <v>24</v>
      </c>
      <c r="Q706" s="373"/>
      <c r="R706" s="373"/>
      <c r="S706" s="224"/>
      <c r="T706" s="141"/>
      <c r="U706" s="119"/>
      <c r="V706" s="119"/>
      <c r="W706" s="119"/>
      <c r="X706" s="119"/>
      <c r="Y706" s="119"/>
      <c r="Z706" s="299" t="s">
        <v>97</v>
      </c>
      <c r="AA706" s="119"/>
      <c r="AB706" s="119"/>
      <c r="AC706" s="119"/>
      <c r="AD706" s="119"/>
      <c r="AE706" s="119"/>
      <c r="AF706" s="119"/>
      <c r="AG706" s="119"/>
      <c r="AH706" s="121"/>
      <c r="AI706" s="121"/>
      <c r="AJ706" s="121"/>
      <c r="AK706" s="121"/>
      <c r="AL706" s="121"/>
      <c r="AM706" s="121"/>
      <c r="AN706" s="119"/>
      <c r="AO706" s="119"/>
      <c r="AP706" s="119"/>
      <c r="AQ706" s="119"/>
      <c r="AR706" s="119"/>
      <c r="AS706" s="119"/>
    </row>
    <row r="707">
      <c r="A707" s="137">
        <v>522.0</v>
      </c>
      <c r="B707" s="150"/>
      <c r="C707" s="104" t="s">
        <v>4062</v>
      </c>
      <c r="D707" s="105" t="s">
        <v>48</v>
      </c>
      <c r="E707" s="107" t="s">
        <v>48</v>
      </c>
      <c r="F707" s="101"/>
      <c r="G707" s="40" t="s">
        <v>4063</v>
      </c>
      <c r="H707" s="55" t="s">
        <v>4064</v>
      </c>
      <c r="I707" s="69" t="s">
        <v>4065</v>
      </c>
      <c r="J707" s="155"/>
      <c r="K707" s="37">
        <v>44008.0</v>
      </c>
      <c r="L707" s="37">
        <v>44010.0</v>
      </c>
      <c r="M707" s="73" t="s">
        <v>4066</v>
      </c>
      <c r="N707" s="179" t="s">
        <v>212</v>
      </c>
      <c r="O707" s="113">
        <v>43655.0</v>
      </c>
      <c r="P707" s="37">
        <v>43981.0</v>
      </c>
      <c r="Q707" s="22"/>
      <c r="R707" s="22"/>
      <c r="S707" s="117"/>
      <c r="T707" s="236"/>
      <c r="U707" s="176" t="s">
        <v>97</v>
      </c>
      <c r="V707" s="161"/>
      <c r="W707" s="161"/>
      <c r="X707" s="161"/>
      <c r="Y707" s="161"/>
      <c r="Z707" s="161"/>
      <c r="AA707" s="161"/>
      <c r="AB707" s="161"/>
      <c r="AC707" s="161"/>
      <c r="AD707" s="161"/>
      <c r="AE707" s="161"/>
      <c r="AF707" s="161"/>
      <c r="AG707" s="161"/>
      <c r="AH707" s="163"/>
      <c r="AI707" s="163"/>
      <c r="AJ707" s="163"/>
      <c r="AK707" s="163"/>
      <c r="AL707" s="163"/>
      <c r="AM707" s="163"/>
      <c r="AN707" s="161"/>
      <c r="AO707" s="161"/>
      <c r="AP707" s="161"/>
      <c r="AQ707" s="161"/>
      <c r="AR707" s="161"/>
      <c r="AS707" s="119"/>
    </row>
    <row r="708">
      <c r="A708" s="101">
        <v>523.0</v>
      </c>
      <c r="B708" s="197">
        <v>10.0</v>
      </c>
      <c r="C708" s="104" t="s">
        <v>4067</v>
      </c>
      <c r="D708" s="226" t="s">
        <v>54</v>
      </c>
      <c r="E708" s="227" t="s">
        <v>54</v>
      </c>
      <c r="F708" s="178"/>
      <c r="G708" s="77" t="s">
        <v>4068</v>
      </c>
      <c r="H708" s="250" t="s">
        <v>4069</v>
      </c>
      <c r="I708" s="34" t="s">
        <v>4070</v>
      </c>
      <c r="J708" s="155"/>
      <c r="K708" s="37">
        <v>44105.0</v>
      </c>
      <c r="L708" s="37">
        <v>44114.0</v>
      </c>
      <c r="M708" s="85" t="s">
        <v>211</v>
      </c>
      <c r="N708" s="85" t="s">
        <v>212</v>
      </c>
      <c r="O708" s="37">
        <v>44012.0</v>
      </c>
      <c r="P708" s="37">
        <v>44012.0</v>
      </c>
      <c r="Q708" s="201"/>
      <c r="R708" s="201"/>
      <c r="S708" s="224"/>
      <c r="T708" s="181"/>
      <c r="U708" s="184"/>
      <c r="V708" s="184"/>
      <c r="W708" s="184"/>
      <c r="X708" s="184"/>
      <c r="Y708" s="233" t="s">
        <v>97</v>
      </c>
      <c r="Z708" s="184"/>
      <c r="AA708" s="184"/>
      <c r="AB708" s="184"/>
      <c r="AC708" s="184"/>
      <c r="AD708" s="186"/>
      <c r="AE708" s="187"/>
      <c r="AF708" s="184"/>
      <c r="AG708" s="187"/>
      <c r="AH708" s="189"/>
      <c r="AI708" s="189"/>
      <c r="AJ708" s="189"/>
      <c r="AK708" s="189"/>
      <c r="AL708" s="189"/>
      <c r="AM708" s="189"/>
      <c r="AN708" s="187"/>
      <c r="AO708" s="187"/>
      <c r="AP708" s="184"/>
      <c r="AQ708" s="187"/>
      <c r="AR708" s="187"/>
      <c r="AS708" s="119"/>
    </row>
    <row r="709">
      <c r="A709" s="137">
        <v>1018.0</v>
      </c>
      <c r="B709" s="173"/>
      <c r="C709" s="170" t="s">
        <v>4071</v>
      </c>
      <c r="D709" s="622" t="s">
        <v>52</v>
      </c>
      <c r="E709" s="622" t="s">
        <v>52</v>
      </c>
      <c r="F709" s="101"/>
      <c r="G709" s="256" t="s">
        <v>1940</v>
      </c>
      <c r="H709" s="89" t="s">
        <v>4072</v>
      </c>
      <c r="I709" s="259" t="s">
        <v>4073</v>
      </c>
      <c r="J709" s="155"/>
      <c r="K709" s="37">
        <v>44146.0</v>
      </c>
      <c r="L709" s="37">
        <v>44150.0</v>
      </c>
      <c r="M709" s="254" t="s">
        <v>211</v>
      </c>
      <c r="N709" s="254" t="s">
        <v>212</v>
      </c>
      <c r="O709" s="37">
        <v>44012.0</v>
      </c>
      <c r="P709" s="37">
        <v>44074.0</v>
      </c>
      <c r="Q709" s="132"/>
      <c r="R709" s="132"/>
      <c r="S709" s="132"/>
      <c r="T709" s="236"/>
      <c r="U709" s="161"/>
      <c r="V709" s="161"/>
      <c r="W709" s="120" t="s">
        <v>97</v>
      </c>
      <c r="X709" s="161"/>
      <c r="Y709" s="161"/>
      <c r="Z709" s="161"/>
      <c r="AA709" s="161"/>
      <c r="AB709" s="161"/>
      <c r="AC709" s="161"/>
      <c r="AD709" s="161"/>
      <c r="AE709" s="161"/>
      <c r="AF709" s="161"/>
      <c r="AG709" s="237"/>
      <c r="AH709" s="163"/>
      <c r="AI709" s="163"/>
      <c r="AJ709" s="163"/>
      <c r="AK709" s="163"/>
      <c r="AL709" s="163"/>
      <c r="AM709" s="163"/>
      <c r="AN709" s="161"/>
      <c r="AO709" s="161"/>
      <c r="AP709" s="161"/>
      <c r="AQ709" s="161"/>
      <c r="AR709" s="161"/>
      <c r="AS709" s="119"/>
    </row>
    <row r="710">
      <c r="A710" s="137">
        <v>524.0</v>
      </c>
      <c r="B710" s="177">
        <v>10.0</v>
      </c>
      <c r="C710" s="104" t="s">
        <v>4074</v>
      </c>
      <c r="D710" s="105" t="s">
        <v>48</v>
      </c>
      <c r="E710" s="107" t="s">
        <v>48</v>
      </c>
      <c r="F710" s="178"/>
      <c r="G710" s="77" t="s">
        <v>4075</v>
      </c>
      <c r="H710" s="81" t="s">
        <v>4076</v>
      </c>
      <c r="I710" s="84" t="s">
        <v>4077</v>
      </c>
      <c r="J710" s="155"/>
      <c r="K710" s="22" t="s">
        <v>27</v>
      </c>
      <c r="L710" s="22" t="s">
        <v>27</v>
      </c>
      <c r="M710" s="85" t="s">
        <v>4078</v>
      </c>
      <c r="N710" s="85" t="s">
        <v>212</v>
      </c>
      <c r="O710" s="22" t="s">
        <v>27</v>
      </c>
      <c r="P710" s="22" t="s">
        <v>27</v>
      </c>
      <c r="Q710" s="373"/>
      <c r="R710" s="373"/>
      <c r="S710" s="224"/>
      <c r="T710" s="181"/>
      <c r="U710" s="182" t="s">
        <v>97</v>
      </c>
      <c r="V710" s="184"/>
      <c r="W710" s="184"/>
      <c r="X710" s="184"/>
      <c r="Y710" s="184"/>
      <c r="Z710" s="184"/>
      <c r="AA710" s="184"/>
      <c r="AB710" s="184"/>
      <c r="AC710" s="184"/>
      <c r="AD710" s="186"/>
      <c r="AE710" s="187"/>
      <c r="AF710" s="184"/>
      <c r="AG710" s="187"/>
      <c r="AH710" s="189"/>
      <c r="AI710" s="189"/>
      <c r="AJ710" s="189"/>
      <c r="AK710" s="189"/>
      <c r="AL710" s="189"/>
      <c r="AM710" s="189"/>
      <c r="AN710" s="187"/>
      <c r="AO710" s="187"/>
      <c r="AP710" s="184"/>
      <c r="AQ710" s="187"/>
      <c r="AR710" s="187"/>
      <c r="AS710" s="119"/>
    </row>
    <row r="711">
      <c r="A711" s="137">
        <v>525.0</v>
      </c>
      <c r="B711" s="177">
        <v>10.0</v>
      </c>
      <c r="C711" s="104" t="s">
        <v>4079</v>
      </c>
      <c r="D711" s="138" t="s">
        <v>62</v>
      </c>
      <c r="E711" s="107" t="s">
        <v>523</v>
      </c>
      <c r="F711" s="178"/>
      <c r="G711" s="77" t="s">
        <v>4080</v>
      </c>
      <c r="H711" s="81" t="s">
        <v>4081</v>
      </c>
      <c r="I711" s="84" t="s">
        <v>4082</v>
      </c>
      <c r="J711" s="155"/>
      <c r="K711" s="22" t="s">
        <v>27</v>
      </c>
      <c r="L711" s="22" t="s">
        <v>27</v>
      </c>
      <c r="M711" s="85" t="s">
        <v>3603</v>
      </c>
      <c r="N711" s="85" t="s">
        <v>72</v>
      </c>
      <c r="O711" s="22" t="s">
        <v>27</v>
      </c>
      <c r="P711" s="22" t="s">
        <v>27</v>
      </c>
      <c r="Q711" s="22"/>
      <c r="R711" s="22"/>
      <c r="S711" s="117"/>
      <c r="T711" s="181"/>
      <c r="U711" s="184"/>
      <c r="V711" s="184"/>
      <c r="W711" s="184"/>
      <c r="X711" s="184"/>
      <c r="Y711" s="184"/>
      <c r="Z711" s="184"/>
      <c r="AA711" s="184"/>
      <c r="AB711" s="184"/>
      <c r="AC711" s="184"/>
      <c r="AD711" s="186"/>
      <c r="AE711" s="187"/>
      <c r="AF711" s="415" t="s">
        <v>97</v>
      </c>
      <c r="AG711" s="187"/>
      <c r="AH711" s="189"/>
      <c r="AI711" s="189"/>
      <c r="AJ711" s="189"/>
      <c r="AK711" s="189"/>
      <c r="AL711" s="189"/>
      <c r="AM711" s="189"/>
      <c r="AN711" s="187"/>
      <c r="AO711" s="187"/>
      <c r="AP711" s="184"/>
      <c r="AQ711" s="187"/>
      <c r="AR711" s="187"/>
      <c r="AS711" s="119"/>
    </row>
    <row r="712">
      <c r="A712" s="101">
        <v>526.0</v>
      </c>
      <c r="B712" s="150"/>
      <c r="C712" s="104" t="s">
        <v>4083</v>
      </c>
      <c r="D712" s="105" t="s">
        <v>64</v>
      </c>
      <c r="E712" s="107" t="s">
        <v>64</v>
      </c>
      <c r="F712" s="101"/>
      <c r="G712" s="40" t="s">
        <v>4084</v>
      </c>
      <c r="H712" s="55" t="s">
        <v>4085</v>
      </c>
      <c r="I712" s="69" t="s">
        <v>4086</v>
      </c>
      <c r="J712" s="155"/>
      <c r="K712" s="37">
        <v>44049.0</v>
      </c>
      <c r="L712" s="37">
        <v>44057.0</v>
      </c>
      <c r="M712" s="73" t="s">
        <v>2721</v>
      </c>
      <c r="N712" s="179" t="s">
        <v>46</v>
      </c>
      <c r="O712" s="113">
        <v>43830.0</v>
      </c>
      <c r="P712" s="37">
        <v>44008.0</v>
      </c>
      <c r="Q712" s="22"/>
      <c r="R712" s="22"/>
      <c r="S712" s="117"/>
      <c r="T712" s="236"/>
      <c r="U712" s="161"/>
      <c r="V712" s="161"/>
      <c r="W712" s="161"/>
      <c r="X712" s="161"/>
      <c r="Y712" s="161"/>
      <c r="Z712" s="161"/>
      <c r="AA712" s="161"/>
      <c r="AB712" s="161"/>
      <c r="AC712" s="161"/>
      <c r="AD712" s="161"/>
      <c r="AE712" s="161"/>
      <c r="AF712" s="161"/>
      <c r="AG712" s="161"/>
      <c r="AH712" s="246" t="s">
        <v>97</v>
      </c>
      <c r="AI712" s="163"/>
      <c r="AJ712" s="163"/>
      <c r="AK712" s="163"/>
      <c r="AL712" s="163"/>
      <c r="AM712" s="163"/>
      <c r="AN712" s="161"/>
      <c r="AO712" s="161"/>
      <c r="AP712" s="161"/>
      <c r="AQ712" s="161"/>
      <c r="AR712" s="161"/>
      <c r="AS712" s="119"/>
    </row>
    <row r="713">
      <c r="A713" s="137">
        <v>527.0</v>
      </c>
      <c r="B713" s="751"/>
      <c r="C713" s="104" t="s">
        <v>4087</v>
      </c>
      <c r="D713" s="105" t="s">
        <v>48</v>
      </c>
      <c r="E713" s="107" t="s">
        <v>48</v>
      </c>
      <c r="F713" s="731"/>
      <c r="G713" s="364" t="s">
        <v>898</v>
      </c>
      <c r="H713" s="81" t="s">
        <v>899</v>
      </c>
      <c r="I713" s="365" t="s">
        <v>902</v>
      </c>
      <c r="J713" s="20" t="s">
        <v>26</v>
      </c>
      <c r="K713" s="37">
        <v>43922.0</v>
      </c>
      <c r="L713" s="37">
        <v>43929.0</v>
      </c>
      <c r="M713" s="366" t="s">
        <v>906</v>
      </c>
      <c r="N713" s="366" t="s">
        <v>72</v>
      </c>
      <c r="O713" s="113">
        <v>43627.0</v>
      </c>
      <c r="P713" s="37">
        <v>43766.0</v>
      </c>
      <c r="Q713" s="22"/>
      <c r="R713" s="22"/>
      <c r="S713" s="193" t="s">
        <v>97</v>
      </c>
      <c r="T713" s="732"/>
      <c r="U713" s="752" t="s">
        <v>97</v>
      </c>
      <c r="V713" s="733"/>
      <c r="W713" s="733"/>
      <c r="X713" s="733"/>
      <c r="Y713" s="733"/>
      <c r="Z713" s="733"/>
      <c r="AA713" s="733"/>
      <c r="AB713" s="733"/>
      <c r="AC713" s="733"/>
      <c r="AD713" s="186"/>
      <c r="AE713" s="187"/>
      <c r="AF713" s="733"/>
      <c r="AG713" s="187"/>
      <c r="AH713" s="189"/>
      <c r="AI713" s="189"/>
      <c r="AJ713" s="189"/>
      <c r="AK713" s="189"/>
      <c r="AL713" s="189"/>
      <c r="AM713" s="189"/>
      <c r="AN713" s="187"/>
      <c r="AO713" s="187"/>
      <c r="AP713" s="733"/>
      <c r="AQ713" s="187"/>
      <c r="AR713" s="187"/>
      <c r="AS713" s="119"/>
    </row>
    <row r="714">
      <c r="A714" s="137">
        <v>528.0</v>
      </c>
      <c r="B714" s="177"/>
      <c r="C714" s="104" t="s">
        <v>4088</v>
      </c>
      <c r="D714" s="105" t="s">
        <v>48</v>
      </c>
      <c r="E714" s="107" t="s">
        <v>48</v>
      </c>
      <c r="F714" s="178"/>
      <c r="G714" s="77" t="s">
        <v>4089</v>
      </c>
      <c r="H714" s="81" t="s">
        <v>4090</v>
      </c>
      <c r="I714" s="84" t="s">
        <v>4091</v>
      </c>
      <c r="J714" s="155"/>
      <c r="K714" s="37">
        <v>44098.0</v>
      </c>
      <c r="L714" s="37">
        <v>44101.0</v>
      </c>
      <c r="M714" s="85" t="s">
        <v>4092</v>
      </c>
      <c r="N714" s="85" t="s">
        <v>251</v>
      </c>
      <c r="O714" s="22" t="s">
        <v>27</v>
      </c>
      <c r="P714" s="22" t="s">
        <v>27</v>
      </c>
      <c r="Q714" s="22"/>
      <c r="R714" s="22"/>
      <c r="S714" s="193" t="s">
        <v>97</v>
      </c>
      <c r="T714" s="181"/>
      <c r="U714" s="182" t="s">
        <v>97</v>
      </c>
      <c r="V714" s="184"/>
      <c r="W714" s="184"/>
      <c r="X714" s="184"/>
      <c r="Y714" s="184"/>
      <c r="Z714" s="184"/>
      <c r="AA714" s="184"/>
      <c r="AB714" s="184"/>
      <c r="AC714" s="184"/>
      <c r="AD714" s="186"/>
      <c r="AE714" s="187"/>
      <c r="AF714" s="184"/>
      <c r="AG714" s="187"/>
      <c r="AH714" s="189"/>
      <c r="AI714" s="189"/>
      <c r="AJ714" s="189"/>
      <c r="AK714" s="189"/>
      <c r="AL714" s="189"/>
      <c r="AM714" s="189"/>
      <c r="AN714" s="187"/>
      <c r="AO714" s="187"/>
      <c r="AP714" s="184"/>
      <c r="AQ714" s="187"/>
      <c r="AR714" s="187"/>
      <c r="AS714" s="119"/>
    </row>
    <row r="715">
      <c r="A715" s="137">
        <v>529.0</v>
      </c>
      <c r="B715" s="150"/>
      <c r="C715" s="104" t="s">
        <v>3907</v>
      </c>
      <c r="D715" s="105" t="s">
        <v>69</v>
      </c>
      <c r="E715" s="107" t="s">
        <v>834</v>
      </c>
      <c r="F715" s="101"/>
      <c r="G715" s="40" t="s">
        <v>4093</v>
      </c>
      <c r="H715" s="55" t="s">
        <v>4094</v>
      </c>
      <c r="I715" s="69" t="s">
        <v>4095</v>
      </c>
      <c r="J715" s="155"/>
      <c r="K715" s="37">
        <v>43966.0</v>
      </c>
      <c r="L715" s="37">
        <v>43968.0</v>
      </c>
      <c r="M715" s="73" t="s">
        <v>3911</v>
      </c>
      <c r="N715" s="179" t="s">
        <v>594</v>
      </c>
      <c r="O715" s="113">
        <v>43769.0</v>
      </c>
      <c r="P715" s="37">
        <v>43921.0</v>
      </c>
      <c r="Q715" s="22"/>
      <c r="R715" s="22"/>
      <c r="S715" s="117"/>
      <c r="T715" s="236"/>
      <c r="U715" s="161"/>
      <c r="V715" s="161"/>
      <c r="W715" s="120" t="s">
        <v>97</v>
      </c>
      <c r="X715" s="161"/>
      <c r="Y715" s="161"/>
      <c r="Z715" s="161"/>
      <c r="AA715" s="161"/>
      <c r="AB715" s="161"/>
      <c r="AC715" s="161"/>
      <c r="AD715" s="161"/>
      <c r="AE715" s="161"/>
      <c r="AF715" s="161"/>
      <c r="AG715" s="161"/>
      <c r="AH715" s="163"/>
      <c r="AI715" s="163"/>
      <c r="AJ715" s="163"/>
      <c r="AK715" s="332" t="s">
        <v>97</v>
      </c>
      <c r="AL715" s="163"/>
      <c r="AM715" s="163"/>
      <c r="AN715" s="161"/>
      <c r="AO715" s="161"/>
      <c r="AP715" s="161"/>
      <c r="AQ715" s="161"/>
      <c r="AR715" s="161"/>
      <c r="AS715" s="119"/>
    </row>
    <row r="716">
      <c r="A716" s="101">
        <v>816.0</v>
      </c>
      <c r="B716" s="103">
        <v>9.0</v>
      </c>
      <c r="C716" s="104" t="s">
        <v>4096</v>
      </c>
      <c r="D716" s="138" t="s">
        <v>75</v>
      </c>
      <c r="E716" s="107" t="s">
        <v>345</v>
      </c>
      <c r="F716" s="109"/>
      <c r="G716" s="10" t="s">
        <v>4097</v>
      </c>
      <c r="H716" s="17" t="s">
        <v>4098</v>
      </c>
      <c r="I716" s="111" t="s">
        <v>4099</v>
      </c>
      <c r="J716" s="155"/>
      <c r="K716" s="37">
        <v>44098.0</v>
      </c>
      <c r="L716" s="37">
        <v>44101.0</v>
      </c>
      <c r="M716" s="24" t="s">
        <v>850</v>
      </c>
      <c r="N716" s="24" t="s">
        <v>594</v>
      </c>
      <c r="O716" s="37">
        <v>43922.0</v>
      </c>
      <c r="P716" s="37">
        <v>44027.0</v>
      </c>
      <c r="Q716" s="223"/>
      <c r="R716" s="223"/>
      <c r="S716" s="203" t="s">
        <v>97</v>
      </c>
      <c r="T716" s="141" t="s">
        <v>50</v>
      </c>
      <c r="U716" s="119"/>
      <c r="V716" s="119"/>
      <c r="W716" s="119"/>
      <c r="X716" s="119"/>
      <c r="Y716" s="119"/>
      <c r="Z716" s="119"/>
      <c r="AA716" s="119"/>
      <c r="AB716" s="119"/>
      <c r="AC716" s="119"/>
      <c r="AD716" s="119"/>
      <c r="AE716" s="119"/>
      <c r="AF716" s="119"/>
      <c r="AG716" s="119"/>
      <c r="AH716" s="121"/>
      <c r="AI716" s="121"/>
      <c r="AJ716" s="121"/>
      <c r="AK716" s="121"/>
      <c r="AL716" s="121"/>
      <c r="AM716" s="121"/>
      <c r="AN716" s="143" t="s">
        <v>97</v>
      </c>
      <c r="AO716" s="119"/>
      <c r="AP716" s="119"/>
      <c r="AQ716" s="119"/>
      <c r="AR716" s="119"/>
      <c r="AS716" s="119"/>
    </row>
    <row r="717">
      <c r="A717" s="101">
        <v>530.0</v>
      </c>
      <c r="B717" s="292"/>
      <c r="C717" s="104" t="s">
        <v>4100</v>
      </c>
      <c r="D717" s="105" t="s">
        <v>48</v>
      </c>
      <c r="E717" s="107" t="s">
        <v>48</v>
      </c>
      <c r="F717" s="190"/>
      <c r="G717" s="192" t="s">
        <v>4101</v>
      </c>
      <c r="H717" s="81" t="s">
        <v>4102</v>
      </c>
      <c r="I717" s="158" t="s">
        <v>4103</v>
      </c>
      <c r="J717" s="155"/>
      <c r="K717" s="37">
        <v>44116.0</v>
      </c>
      <c r="L717" s="37">
        <v>44122.0</v>
      </c>
      <c r="M717" s="73" t="s">
        <v>850</v>
      </c>
      <c r="N717" s="73" t="s">
        <v>594</v>
      </c>
      <c r="O717" s="113">
        <v>43769.0</v>
      </c>
      <c r="P717" s="37">
        <v>44041.0</v>
      </c>
      <c r="Q717" s="22"/>
      <c r="R717" s="22"/>
      <c r="S717" s="193" t="s">
        <v>97</v>
      </c>
      <c r="T717" s="157"/>
      <c r="U717" s="293" t="s">
        <v>97</v>
      </c>
      <c r="V717" s="194"/>
      <c r="W717" s="194"/>
      <c r="X717" s="194"/>
      <c r="Y717" s="194"/>
      <c r="Z717" s="194"/>
      <c r="AA717" s="194"/>
      <c r="AB717" s="194"/>
      <c r="AC717" s="194"/>
      <c r="AD717" s="186"/>
      <c r="AE717" s="187"/>
      <c r="AF717" s="194"/>
      <c r="AG717" s="187"/>
      <c r="AH717" s="189"/>
      <c r="AI717" s="189"/>
      <c r="AJ717" s="189"/>
      <c r="AK717" s="189"/>
      <c r="AL717" s="189"/>
      <c r="AM717" s="189"/>
      <c r="AN717" s="187"/>
      <c r="AO717" s="187"/>
      <c r="AP717" s="194"/>
      <c r="AQ717" s="187"/>
      <c r="AR717" s="187"/>
      <c r="AS717" s="119"/>
    </row>
    <row r="718">
      <c r="A718" s="137">
        <v>531.0</v>
      </c>
      <c r="B718" s="150">
        <v>6.0</v>
      </c>
      <c r="C718" s="104" t="s">
        <v>4104</v>
      </c>
      <c r="D718" s="105" t="s">
        <v>64</v>
      </c>
      <c r="E718" s="107" t="s">
        <v>64</v>
      </c>
      <c r="F718" s="101"/>
      <c r="G718" s="40" t="s">
        <v>4105</v>
      </c>
      <c r="H718" s="55" t="s">
        <v>4106</v>
      </c>
      <c r="I718" s="69" t="s">
        <v>4107</v>
      </c>
      <c r="J718" s="155"/>
      <c r="K718" s="37">
        <v>43992.0</v>
      </c>
      <c r="L718" s="37">
        <v>43995.0</v>
      </c>
      <c r="M718" s="73" t="s">
        <v>850</v>
      </c>
      <c r="N718" s="179" t="s">
        <v>594</v>
      </c>
      <c r="O718" s="37">
        <v>43810.0</v>
      </c>
      <c r="P718" s="37">
        <v>43934.0</v>
      </c>
      <c r="Q718" s="22"/>
      <c r="R718" s="22"/>
      <c r="S718" s="117"/>
      <c r="T718" s="236"/>
      <c r="U718" s="161"/>
      <c r="V718" s="161"/>
      <c r="W718" s="161"/>
      <c r="X718" s="161"/>
      <c r="Y718" s="161"/>
      <c r="Z718" s="161"/>
      <c r="AA718" s="161"/>
      <c r="AB718" s="161"/>
      <c r="AC718" s="161"/>
      <c r="AD718" s="161"/>
      <c r="AE718" s="161"/>
      <c r="AF718" s="161"/>
      <c r="AG718" s="161"/>
      <c r="AH718" s="246" t="s">
        <v>97</v>
      </c>
      <c r="AI718" s="163"/>
      <c r="AJ718" s="163"/>
      <c r="AK718" s="163"/>
      <c r="AL718" s="163"/>
      <c r="AM718" s="163"/>
      <c r="AN718" s="161"/>
      <c r="AO718" s="161"/>
      <c r="AP718" s="161"/>
      <c r="AQ718" s="161"/>
      <c r="AR718" s="161"/>
      <c r="AS718" s="119"/>
    </row>
    <row r="719">
      <c r="A719" s="137">
        <v>754.0</v>
      </c>
      <c r="B719" s="103"/>
      <c r="C719" s="104" t="s">
        <v>4108</v>
      </c>
      <c r="D719" s="105" t="s">
        <v>48</v>
      </c>
      <c r="E719" s="107" t="s">
        <v>48</v>
      </c>
      <c r="F719" s="109"/>
      <c r="G719" s="10" t="s">
        <v>999</v>
      </c>
      <c r="H719" s="17" t="s">
        <v>1000</v>
      </c>
      <c r="I719" s="111" t="s">
        <v>1001</v>
      </c>
      <c r="J719" s="222" t="s">
        <v>1003</v>
      </c>
      <c r="K719" s="113">
        <v>43895.0</v>
      </c>
      <c r="L719" s="113">
        <v>43905.0</v>
      </c>
      <c r="M719" s="24" t="s">
        <v>850</v>
      </c>
      <c r="N719" s="24" t="s">
        <v>594</v>
      </c>
      <c r="O719" s="114">
        <v>43721.0</v>
      </c>
      <c r="P719" s="114">
        <v>43784.0</v>
      </c>
      <c r="Q719" s="115"/>
      <c r="R719" s="115"/>
      <c r="S719" s="117"/>
      <c r="T719" s="118"/>
      <c r="U719" s="176" t="s">
        <v>97</v>
      </c>
      <c r="V719" s="119"/>
      <c r="W719" s="119"/>
      <c r="X719" s="119"/>
      <c r="Y719" s="119"/>
      <c r="Z719" s="119"/>
      <c r="AA719" s="119"/>
      <c r="AB719" s="119"/>
      <c r="AC719" s="119"/>
      <c r="AD719" s="119"/>
      <c r="AE719" s="119"/>
      <c r="AF719" s="119"/>
      <c r="AG719" s="119"/>
      <c r="AH719" s="121"/>
      <c r="AI719" s="121"/>
      <c r="AJ719" s="121"/>
      <c r="AK719" s="121"/>
      <c r="AL719" s="121"/>
      <c r="AM719" s="121"/>
      <c r="AN719" s="119"/>
      <c r="AO719" s="119"/>
      <c r="AP719" s="119"/>
      <c r="AQ719" s="119"/>
      <c r="AR719" s="119"/>
      <c r="AS719" s="119"/>
    </row>
    <row r="720">
      <c r="A720" s="137">
        <v>532.0</v>
      </c>
      <c r="B720" s="173">
        <v>6.0</v>
      </c>
      <c r="C720" s="104" t="s">
        <v>4109</v>
      </c>
      <c r="D720" s="296" t="s">
        <v>55</v>
      </c>
      <c r="E720" s="297" t="s">
        <v>55</v>
      </c>
      <c r="F720" s="101"/>
      <c r="G720" s="40" t="s">
        <v>4110</v>
      </c>
      <c r="H720" s="582" t="s">
        <v>4111</v>
      </c>
      <c r="I720" s="289" t="s">
        <v>24</v>
      </c>
      <c r="J720" s="155"/>
      <c r="K720" s="37">
        <v>43998.0</v>
      </c>
      <c r="L720" s="37">
        <v>44012.0</v>
      </c>
      <c r="M720" s="290" t="s">
        <v>850</v>
      </c>
      <c r="N720" s="290" t="s">
        <v>594</v>
      </c>
      <c r="O720" s="201" t="s">
        <v>24</v>
      </c>
      <c r="P720" s="201" t="s">
        <v>24</v>
      </c>
      <c r="Q720" s="201"/>
      <c r="R720" s="201"/>
      <c r="S720" s="224"/>
      <c r="T720" s="141"/>
      <c r="U720" s="119"/>
      <c r="V720" s="119"/>
      <c r="W720" s="119"/>
      <c r="X720" s="119"/>
      <c r="Y720" s="119"/>
      <c r="Z720" s="299" t="s">
        <v>97</v>
      </c>
      <c r="AA720" s="119"/>
      <c r="AB720" s="119"/>
      <c r="AC720" s="119"/>
      <c r="AD720" s="119"/>
      <c r="AE720" s="119"/>
      <c r="AF720" s="119"/>
      <c r="AG720" s="119"/>
      <c r="AH720" s="121"/>
      <c r="AI720" s="121"/>
      <c r="AJ720" s="121"/>
      <c r="AK720" s="121"/>
      <c r="AL720" s="121"/>
      <c r="AM720" s="121"/>
      <c r="AN720" s="119"/>
      <c r="AO720" s="119"/>
      <c r="AP720" s="119"/>
      <c r="AQ720" s="119"/>
      <c r="AR720" s="119"/>
      <c r="AS720" s="119"/>
    </row>
    <row r="721">
      <c r="A721" s="101">
        <v>533.0</v>
      </c>
      <c r="B721" s="177">
        <v>3.0</v>
      </c>
      <c r="C721" s="104" t="s">
        <v>4112</v>
      </c>
      <c r="D721" s="105" t="s">
        <v>53</v>
      </c>
      <c r="E721" s="107" t="s">
        <v>53</v>
      </c>
      <c r="F721" s="518"/>
      <c r="G721" s="153" t="s">
        <v>852</v>
      </c>
      <c r="H721" s="81" t="s">
        <v>853</v>
      </c>
      <c r="I721" s="84" t="s">
        <v>857</v>
      </c>
      <c r="J721" s="20" t="s">
        <v>78</v>
      </c>
      <c r="K721" s="22" t="s">
        <v>27</v>
      </c>
      <c r="L721" s="22" t="s">
        <v>27</v>
      </c>
      <c r="M721" s="73" t="s">
        <v>850</v>
      </c>
      <c r="N721" s="73" t="s">
        <v>594</v>
      </c>
      <c r="O721" s="22" t="s">
        <v>27</v>
      </c>
      <c r="P721" s="22" t="s">
        <v>27</v>
      </c>
      <c r="Q721" s="22"/>
      <c r="R721" s="22"/>
      <c r="S721" s="117"/>
      <c r="T721" s="157"/>
      <c r="U721" s="194"/>
      <c r="V721" s="194"/>
      <c r="W721" s="194"/>
      <c r="X721" s="295" t="s">
        <v>97</v>
      </c>
      <c r="Y721" s="194"/>
      <c r="Z721" s="194"/>
      <c r="AA721" s="194"/>
      <c r="AB721" s="194"/>
      <c r="AC721" s="194"/>
      <c r="AD721" s="186"/>
      <c r="AE721" s="187"/>
      <c r="AF721" s="194"/>
      <c r="AG721" s="187"/>
      <c r="AH721" s="189"/>
      <c r="AI721" s="189"/>
      <c r="AJ721" s="189"/>
      <c r="AK721" s="189"/>
      <c r="AL721" s="189"/>
      <c r="AM721" s="189"/>
      <c r="AN721" s="187"/>
      <c r="AO721" s="187"/>
      <c r="AP721" s="194"/>
      <c r="AQ721" s="187"/>
      <c r="AR721" s="187"/>
      <c r="AS721" s="119"/>
    </row>
    <row r="722">
      <c r="A722" s="137">
        <v>534.0</v>
      </c>
      <c r="B722" s="315"/>
      <c r="C722" s="104" t="s">
        <v>4113</v>
      </c>
      <c r="D722" s="105" t="s">
        <v>65</v>
      </c>
      <c r="E722" s="107" t="s">
        <v>65</v>
      </c>
      <c r="F722" s="178"/>
      <c r="G722" s="77" t="s">
        <v>4114</v>
      </c>
      <c r="H722" s="81" t="s">
        <v>4115</v>
      </c>
      <c r="I722" s="175" t="s">
        <v>4116</v>
      </c>
      <c r="J722" s="155"/>
      <c r="K722" s="37">
        <v>43847.0</v>
      </c>
      <c r="L722" s="37">
        <v>43849.0</v>
      </c>
      <c r="M722" s="85" t="s">
        <v>850</v>
      </c>
      <c r="N722" s="85" t="s">
        <v>594</v>
      </c>
      <c r="O722" s="113">
        <v>43708.0</v>
      </c>
      <c r="P722" s="37">
        <v>43708.0</v>
      </c>
      <c r="Q722" s="201"/>
      <c r="R722" s="201"/>
      <c r="S722" s="224"/>
      <c r="T722" s="181"/>
      <c r="U722" s="184"/>
      <c r="V722" s="184"/>
      <c r="W722" s="184"/>
      <c r="X722" s="184"/>
      <c r="Y722" s="184"/>
      <c r="Z722" s="184"/>
      <c r="AA722" s="184"/>
      <c r="AB722" s="184"/>
      <c r="AC722" s="184"/>
      <c r="AD722" s="186"/>
      <c r="AE722" s="187"/>
      <c r="AF722" s="184"/>
      <c r="AG722" s="187"/>
      <c r="AH722" s="189"/>
      <c r="AI722" s="342" t="s">
        <v>97</v>
      </c>
      <c r="AJ722" s="189"/>
      <c r="AK722" s="189"/>
      <c r="AL722" s="189"/>
      <c r="AM722" s="189"/>
      <c r="AN722" s="187"/>
      <c r="AO722" s="187"/>
      <c r="AP722" s="184"/>
      <c r="AQ722" s="187"/>
      <c r="AR722" s="187"/>
      <c r="AS722" s="119"/>
    </row>
    <row r="723">
      <c r="A723" s="137">
        <v>535.0</v>
      </c>
      <c r="B723" s="150">
        <v>10.0</v>
      </c>
      <c r="C723" s="104" t="s">
        <v>4117</v>
      </c>
      <c r="D723" s="105" t="s">
        <v>65</v>
      </c>
      <c r="E723" s="107" t="s">
        <v>65</v>
      </c>
      <c r="F723" s="101"/>
      <c r="G723" s="40" t="s">
        <v>4118</v>
      </c>
      <c r="H723" s="55" t="s">
        <v>4119</v>
      </c>
      <c r="I723" s="69" t="s">
        <v>4120</v>
      </c>
      <c r="J723" s="155"/>
      <c r="K723" s="37">
        <v>44120.0</v>
      </c>
      <c r="L723" s="37">
        <v>44122.0</v>
      </c>
      <c r="M723" s="73" t="s">
        <v>850</v>
      </c>
      <c r="N723" s="179" t="s">
        <v>594</v>
      </c>
      <c r="O723" s="37">
        <v>43831.0</v>
      </c>
      <c r="P723" s="37">
        <v>44020.0</v>
      </c>
      <c r="Q723" s="22"/>
      <c r="R723" s="22"/>
      <c r="S723" s="117"/>
      <c r="T723" s="236"/>
      <c r="U723" s="161"/>
      <c r="V723" s="161"/>
      <c r="W723" s="161"/>
      <c r="X723" s="161"/>
      <c r="Y723" s="161"/>
      <c r="Z723" s="161"/>
      <c r="AA723" s="161"/>
      <c r="AB723" s="161"/>
      <c r="AC723" s="161"/>
      <c r="AD723" s="161"/>
      <c r="AE723" s="161"/>
      <c r="AF723" s="161"/>
      <c r="AG723" s="161"/>
      <c r="AH723" s="163"/>
      <c r="AI723" s="283" t="s">
        <v>97</v>
      </c>
      <c r="AJ723" s="163"/>
      <c r="AK723" s="163"/>
      <c r="AL723" s="163"/>
      <c r="AM723" s="163"/>
      <c r="AN723" s="161"/>
      <c r="AO723" s="161"/>
      <c r="AP723" s="161"/>
      <c r="AQ723" s="161"/>
      <c r="AR723" s="161"/>
      <c r="AS723" s="119"/>
    </row>
    <row r="724">
      <c r="A724" s="101">
        <v>536.0</v>
      </c>
      <c r="B724" s="177"/>
      <c r="C724" s="104" t="s">
        <v>4121</v>
      </c>
      <c r="D724" s="105" t="s">
        <v>48</v>
      </c>
      <c r="E724" s="107" t="s">
        <v>48</v>
      </c>
      <c r="F724" s="178"/>
      <c r="G724" s="77" t="s">
        <v>490</v>
      </c>
      <c r="H724" s="81" t="s">
        <v>491</v>
      </c>
      <c r="I724" s="84" t="s">
        <v>492</v>
      </c>
      <c r="J724" s="20" t="s">
        <v>493</v>
      </c>
      <c r="K724" s="37">
        <v>43918.0</v>
      </c>
      <c r="L724" s="37">
        <v>43918.0</v>
      </c>
      <c r="M724" s="174" t="s">
        <v>250</v>
      </c>
      <c r="N724" s="85" t="s">
        <v>251</v>
      </c>
      <c r="O724" s="113">
        <v>43707.0</v>
      </c>
      <c r="P724" s="113">
        <v>43812.0</v>
      </c>
      <c r="Q724" s="373"/>
      <c r="R724" s="373"/>
      <c r="S724" s="224"/>
      <c r="T724" s="181"/>
      <c r="U724" s="161"/>
      <c r="V724" s="184"/>
      <c r="W724" s="120" t="s">
        <v>97</v>
      </c>
      <c r="X724" s="295" t="s">
        <v>97</v>
      </c>
      <c r="Y724" s="184"/>
      <c r="Z724" s="184"/>
      <c r="AA724" s="184"/>
      <c r="AB724" s="184"/>
      <c r="AC724" s="184"/>
      <c r="AD724" s="186"/>
      <c r="AE724" s="187"/>
      <c r="AF724" s="184"/>
      <c r="AG724" s="187"/>
      <c r="AH724" s="189"/>
      <c r="AI724" s="189"/>
      <c r="AJ724" s="189"/>
      <c r="AK724" s="189"/>
      <c r="AL724" s="189"/>
      <c r="AM724" s="189"/>
      <c r="AN724" s="187"/>
      <c r="AO724" s="187"/>
      <c r="AP724" s="184"/>
      <c r="AQ724" s="187"/>
      <c r="AR724" s="187"/>
      <c r="AS724" s="119"/>
    </row>
    <row r="725">
      <c r="A725" s="137">
        <v>537.0</v>
      </c>
      <c r="B725" s="292">
        <v>6.0</v>
      </c>
      <c r="C725" s="104" t="s">
        <v>4122</v>
      </c>
      <c r="D725" s="105" t="s">
        <v>48</v>
      </c>
      <c r="E725" s="107" t="s">
        <v>48</v>
      </c>
      <c r="F725" s="190"/>
      <c r="G725" s="192" t="s">
        <v>4123</v>
      </c>
      <c r="H725" s="81" t="s">
        <v>4124</v>
      </c>
      <c r="I725" s="158" t="s">
        <v>4125</v>
      </c>
      <c r="J725" s="155"/>
      <c r="K725" s="37">
        <v>43987.0</v>
      </c>
      <c r="L725" s="37">
        <v>43995.0</v>
      </c>
      <c r="M725" s="73" t="s">
        <v>4126</v>
      </c>
      <c r="N725" s="73" t="s">
        <v>179</v>
      </c>
      <c r="O725" s="37">
        <v>43870.0</v>
      </c>
      <c r="P725" s="37">
        <v>43933.0</v>
      </c>
      <c r="Q725" s="22"/>
      <c r="R725" s="22"/>
      <c r="S725" s="117"/>
      <c r="T725" s="157"/>
      <c r="U725" s="293" t="s">
        <v>97</v>
      </c>
      <c r="V725" s="194"/>
      <c r="W725" s="194"/>
      <c r="X725" s="194"/>
      <c r="Y725" s="194"/>
      <c r="Z725" s="194"/>
      <c r="AA725" s="194"/>
      <c r="AB725" s="194"/>
      <c r="AC725" s="194"/>
      <c r="AD725" s="186"/>
      <c r="AE725" s="187"/>
      <c r="AF725" s="194"/>
      <c r="AG725" s="187"/>
      <c r="AH725" s="189"/>
      <c r="AI725" s="189"/>
      <c r="AJ725" s="189"/>
      <c r="AK725" s="189"/>
      <c r="AL725" s="189"/>
      <c r="AM725" s="189"/>
      <c r="AN725" s="187"/>
      <c r="AO725" s="187"/>
      <c r="AP725" s="194"/>
      <c r="AQ725" s="187"/>
      <c r="AR725" s="187"/>
      <c r="AS725" s="119"/>
    </row>
    <row r="726">
      <c r="A726" s="101">
        <v>872.0</v>
      </c>
      <c r="B726" s="753"/>
      <c r="C726" s="170" t="s">
        <v>4127</v>
      </c>
      <c r="D726" s="309" t="s">
        <v>75</v>
      </c>
      <c r="E726" s="358" t="s">
        <v>4128</v>
      </c>
      <c r="F726" s="359"/>
      <c r="G726" s="159" t="s">
        <v>406</v>
      </c>
      <c r="H726" s="166" t="s">
        <v>407</v>
      </c>
      <c r="I726" s="175" t="s">
        <v>408</v>
      </c>
      <c r="J726" s="168" t="s">
        <v>410</v>
      </c>
      <c r="K726" s="169">
        <v>43934.0</v>
      </c>
      <c r="L726" s="169">
        <v>43940.0</v>
      </c>
      <c r="M726" s="170" t="s">
        <v>411</v>
      </c>
      <c r="N726" s="170" t="s">
        <v>412</v>
      </c>
      <c r="O726" s="169">
        <v>43845.0</v>
      </c>
      <c r="P726" s="169">
        <v>43845.0</v>
      </c>
      <c r="Q726" s="361"/>
      <c r="R726" s="361"/>
      <c r="S726" s="117"/>
      <c r="T726" s="362"/>
      <c r="U726" s="269"/>
      <c r="V726" s="269"/>
      <c r="W726" s="269"/>
      <c r="X726" s="269"/>
      <c r="Y726" s="269"/>
      <c r="Z726" s="269"/>
      <c r="AA726" s="266"/>
      <c r="AB726" s="269"/>
      <c r="AC726" s="269"/>
      <c r="AD726" s="269"/>
      <c r="AE726" s="269"/>
      <c r="AF726" s="269"/>
      <c r="AG726" s="269"/>
      <c r="AH726" s="269"/>
      <c r="AI726" s="269"/>
      <c r="AJ726" s="269"/>
      <c r="AK726" s="269"/>
      <c r="AL726" s="269"/>
      <c r="AM726" s="269"/>
      <c r="AN726" s="754" t="s">
        <v>97</v>
      </c>
      <c r="AO726" s="269"/>
      <c r="AP726" s="269"/>
      <c r="AQ726" s="269"/>
      <c r="AR726" s="269"/>
      <c r="AS726" s="119"/>
    </row>
    <row r="727">
      <c r="A727" s="137">
        <v>942.0</v>
      </c>
      <c r="B727" s="284"/>
      <c r="C727" s="123" t="s">
        <v>4129</v>
      </c>
      <c r="D727" s="124" t="s">
        <v>52</v>
      </c>
      <c r="E727" s="126" t="s">
        <v>52</v>
      </c>
      <c r="F727" s="144"/>
      <c r="G727" s="87" t="s">
        <v>4130</v>
      </c>
      <c r="H727" s="89" t="s">
        <v>4131</v>
      </c>
      <c r="I727" s="91" t="str">
        <f>HYPERLINK("https://filmfreeway.com/prindie","https://filmfreeway.com/prindie")</f>
        <v>https://filmfreeway.com/prindie</v>
      </c>
      <c r="J727" s="288"/>
      <c r="K727" s="145">
        <v>44092.0</v>
      </c>
      <c r="L727" s="145">
        <v>44094.0</v>
      </c>
      <c r="M727" s="130" t="s">
        <v>411</v>
      </c>
      <c r="N727" s="130" t="s">
        <v>412</v>
      </c>
      <c r="O727" s="145">
        <v>43983.0</v>
      </c>
      <c r="P727" s="145">
        <v>43983.0</v>
      </c>
      <c r="Q727" s="131"/>
      <c r="R727" s="132"/>
      <c r="S727" s="148" t="s">
        <v>97</v>
      </c>
      <c r="T727" s="118"/>
      <c r="U727" s="119"/>
      <c r="V727" s="119"/>
      <c r="W727" s="120" t="s">
        <v>97</v>
      </c>
      <c r="X727" s="119"/>
      <c r="Y727" s="134"/>
      <c r="Z727" s="119"/>
      <c r="AA727" s="119"/>
      <c r="AB727" s="119"/>
      <c r="AC727" s="119"/>
      <c r="AD727" s="119"/>
      <c r="AE727" s="119"/>
      <c r="AF727" s="119"/>
      <c r="AG727" s="119"/>
      <c r="AH727" s="121"/>
      <c r="AI727" s="121"/>
      <c r="AJ727" s="121"/>
      <c r="AK727" s="121"/>
      <c r="AL727" s="121"/>
      <c r="AM727" s="135"/>
      <c r="AN727" s="119"/>
      <c r="AO727" s="119"/>
      <c r="AP727" s="119"/>
      <c r="AQ727" s="119"/>
      <c r="AR727" s="119"/>
      <c r="AS727" s="119"/>
    </row>
    <row r="728">
      <c r="A728" s="137">
        <v>538.0</v>
      </c>
      <c r="B728" s="150"/>
      <c r="C728" s="104" t="s">
        <v>4132</v>
      </c>
      <c r="D728" s="105" t="s">
        <v>88</v>
      </c>
      <c r="E728" s="107" t="s">
        <v>88</v>
      </c>
      <c r="F728" s="101"/>
      <c r="G728" s="40" t="s">
        <v>4133</v>
      </c>
      <c r="H728" s="55" t="s">
        <v>4134</v>
      </c>
      <c r="I728" s="69" t="s">
        <v>4135</v>
      </c>
      <c r="J728" s="155"/>
      <c r="K728" s="37">
        <v>43875.0</v>
      </c>
      <c r="L728" s="37">
        <v>43886.0</v>
      </c>
      <c r="M728" s="73" t="s">
        <v>700</v>
      </c>
      <c r="N728" s="179" t="s">
        <v>701</v>
      </c>
      <c r="O728" s="113">
        <v>43738.0</v>
      </c>
      <c r="P728" s="37">
        <v>43792.0</v>
      </c>
      <c r="Q728" s="22"/>
      <c r="R728" s="22"/>
      <c r="S728" s="193" t="s">
        <v>97</v>
      </c>
      <c r="T728" s="236"/>
      <c r="U728" s="161"/>
      <c r="V728" s="161"/>
      <c r="W728" s="161"/>
      <c r="X728" s="161"/>
      <c r="Y728" s="161"/>
      <c r="Z728" s="161"/>
      <c r="AA728" s="161"/>
      <c r="AB728" s="161"/>
      <c r="AC728" s="161"/>
      <c r="AD728" s="161"/>
      <c r="AE728" s="161"/>
      <c r="AF728" s="161"/>
      <c r="AG728" s="161"/>
      <c r="AH728" s="163"/>
      <c r="AI728" s="163"/>
      <c r="AJ728" s="163"/>
      <c r="AK728" s="163"/>
      <c r="AL728" s="163"/>
      <c r="AM728" s="163"/>
      <c r="AN728" s="161"/>
      <c r="AO728" s="161"/>
      <c r="AP728" s="368" t="s">
        <v>97</v>
      </c>
      <c r="AQ728" s="161"/>
      <c r="AR728" s="161"/>
      <c r="AS728" s="119"/>
    </row>
    <row r="729">
      <c r="A729" s="101">
        <v>539.0</v>
      </c>
      <c r="B729" s="173">
        <v>9.0</v>
      </c>
      <c r="C729" s="104" t="s">
        <v>4136</v>
      </c>
      <c r="D729" s="138" t="s">
        <v>59</v>
      </c>
      <c r="E729" s="107" t="s">
        <v>352</v>
      </c>
      <c r="F729" s="178"/>
      <c r="G729" s="77" t="s">
        <v>2012</v>
      </c>
      <c r="H729" s="81" t="s">
        <v>4137</v>
      </c>
      <c r="I729" s="175" t="s">
        <v>4138</v>
      </c>
      <c r="J729" s="155"/>
      <c r="K729" s="37">
        <v>44099.0</v>
      </c>
      <c r="L729" s="37">
        <v>44107.0</v>
      </c>
      <c r="M729" s="85" t="s">
        <v>700</v>
      </c>
      <c r="N729" s="85" t="s">
        <v>701</v>
      </c>
      <c r="O729" s="37">
        <v>43891.0</v>
      </c>
      <c r="P729" s="37">
        <v>43922.0</v>
      </c>
      <c r="Q729" s="535"/>
      <c r="R729" s="535"/>
      <c r="S729" s="117"/>
      <c r="T729" s="181"/>
      <c r="U729" s="184"/>
      <c r="V729" s="184"/>
      <c r="W729" s="184"/>
      <c r="X729" s="184"/>
      <c r="Y729" s="184"/>
      <c r="Z729" s="184"/>
      <c r="AA729" s="184"/>
      <c r="AB729" s="184"/>
      <c r="AC729" s="421" t="s">
        <v>97</v>
      </c>
      <c r="AD729" s="186"/>
      <c r="AE729" s="187"/>
      <c r="AF729" s="184"/>
      <c r="AG729" s="187"/>
      <c r="AH729" s="189"/>
      <c r="AI729" s="189"/>
      <c r="AJ729" s="189"/>
      <c r="AK729" s="189"/>
      <c r="AL729" s="189"/>
      <c r="AM729" s="189"/>
      <c r="AN729" s="187"/>
      <c r="AO729" s="187"/>
      <c r="AP729" s="184"/>
      <c r="AQ729" s="187"/>
      <c r="AR729" s="187"/>
      <c r="AS729" s="119"/>
    </row>
    <row r="730">
      <c r="A730" s="137">
        <v>540.0</v>
      </c>
      <c r="B730" s="177"/>
      <c r="C730" s="104" t="s">
        <v>4139</v>
      </c>
      <c r="D730" s="105" t="s">
        <v>48</v>
      </c>
      <c r="E730" s="107" t="s">
        <v>48</v>
      </c>
      <c r="F730" s="178"/>
      <c r="G730" s="77" t="s">
        <v>81</v>
      </c>
      <c r="H730" s="81" t="s">
        <v>82</v>
      </c>
      <c r="I730" s="84" t="s">
        <v>83</v>
      </c>
      <c r="J730" s="20" t="s">
        <v>84</v>
      </c>
      <c r="K730" s="37">
        <v>43999.0</v>
      </c>
      <c r="L730" s="37">
        <v>44003.0</v>
      </c>
      <c r="M730" s="85" t="s">
        <v>85</v>
      </c>
      <c r="N730" s="85" t="s">
        <v>80</v>
      </c>
      <c r="O730" s="113">
        <v>43805.0</v>
      </c>
      <c r="P730" s="37">
        <v>43892.0</v>
      </c>
      <c r="Q730" s="22"/>
      <c r="R730" s="22"/>
      <c r="S730" s="193" t="s">
        <v>97</v>
      </c>
      <c r="T730" s="181"/>
      <c r="U730" s="182" t="s">
        <v>97</v>
      </c>
      <c r="V730" s="184"/>
      <c r="W730" s="184"/>
      <c r="X730" s="184"/>
      <c r="Y730" s="184"/>
      <c r="Z730" s="184"/>
      <c r="AA730" s="184"/>
      <c r="AB730" s="184"/>
      <c r="AC730" s="184"/>
      <c r="AD730" s="186"/>
      <c r="AE730" s="187"/>
      <c r="AF730" s="184"/>
      <c r="AG730" s="187"/>
      <c r="AH730" s="189"/>
      <c r="AI730" s="189"/>
      <c r="AJ730" s="189"/>
      <c r="AK730" s="189"/>
      <c r="AL730" s="189"/>
      <c r="AM730" s="189"/>
      <c r="AN730" s="187"/>
      <c r="AO730" s="187"/>
      <c r="AP730" s="184"/>
      <c r="AQ730" s="187"/>
      <c r="AR730" s="187"/>
      <c r="AS730" s="119"/>
    </row>
    <row r="731">
      <c r="A731" s="137">
        <v>854.0</v>
      </c>
      <c r="B731" s="103">
        <v>10.0</v>
      </c>
      <c r="C731" s="104" t="s">
        <v>4140</v>
      </c>
      <c r="D731" s="105" t="s">
        <v>48</v>
      </c>
      <c r="E731" s="107" t="s">
        <v>48</v>
      </c>
      <c r="F731" s="109"/>
      <c r="G731" s="10" t="s">
        <v>4141</v>
      </c>
      <c r="H731" s="17" t="s">
        <v>4142</v>
      </c>
      <c r="I731" s="111" t="s">
        <v>4143</v>
      </c>
      <c r="J731" s="155"/>
      <c r="K731" s="22" t="s">
        <v>27</v>
      </c>
      <c r="L731" s="22" t="s">
        <v>27</v>
      </c>
      <c r="M731" s="24" t="s">
        <v>4144</v>
      </c>
      <c r="N731" s="24" t="s">
        <v>303</v>
      </c>
      <c r="O731" s="22" t="s">
        <v>27</v>
      </c>
      <c r="P731" s="22" t="s">
        <v>27</v>
      </c>
      <c r="Q731" s="223"/>
      <c r="R731" s="223"/>
      <c r="S731" s="224"/>
      <c r="T731" s="118"/>
      <c r="U731" s="176" t="s">
        <v>97</v>
      </c>
      <c r="V731" s="119"/>
      <c r="W731" s="119"/>
      <c r="X731" s="119"/>
      <c r="Y731" s="119"/>
      <c r="Z731" s="119"/>
      <c r="AA731" s="119"/>
      <c r="AB731" s="119"/>
      <c r="AC731" s="119"/>
      <c r="AD731" s="119"/>
      <c r="AE731" s="119"/>
      <c r="AF731" s="119"/>
      <c r="AG731" s="119"/>
      <c r="AH731" s="121"/>
      <c r="AI731" s="121"/>
      <c r="AJ731" s="121"/>
      <c r="AK731" s="121"/>
      <c r="AL731" s="121"/>
      <c r="AM731" s="121"/>
      <c r="AN731" s="119"/>
      <c r="AO731" s="119"/>
      <c r="AP731" s="119"/>
      <c r="AQ731" s="119"/>
      <c r="AR731" s="119"/>
      <c r="AS731" s="119"/>
    </row>
    <row r="732">
      <c r="A732" s="101">
        <v>951.0</v>
      </c>
      <c r="B732" s="122">
        <v>7.0</v>
      </c>
      <c r="C732" s="123" t="s">
        <v>4145</v>
      </c>
      <c r="D732" s="226" t="s">
        <v>54</v>
      </c>
      <c r="E732" s="227" t="s">
        <v>54</v>
      </c>
      <c r="F732" s="127"/>
      <c r="G732" s="128" t="s">
        <v>4146</v>
      </c>
      <c r="H732" s="89" t="s">
        <v>4147</v>
      </c>
      <c r="I732" s="91" t="str">
        <f>HYPERLINK("https://filmfreeway.com/QFestHouston","https://filmfreeway.com/QFestHouston")</f>
        <v>https://filmfreeway.com/QFestHouston</v>
      </c>
      <c r="J732" s="155"/>
      <c r="K732" s="22" t="s">
        <v>27</v>
      </c>
      <c r="L732" s="22" t="s">
        <v>27</v>
      </c>
      <c r="M732" s="130" t="s">
        <v>387</v>
      </c>
      <c r="N732" s="130" t="s">
        <v>102</v>
      </c>
      <c r="O732" s="22" t="s">
        <v>27</v>
      </c>
      <c r="P732" s="22" t="s">
        <v>27</v>
      </c>
      <c r="Q732" s="131"/>
      <c r="R732" s="132"/>
      <c r="S732" s="132"/>
      <c r="T732" s="118"/>
      <c r="U732" s="119"/>
      <c r="V732" s="119"/>
      <c r="W732" s="119"/>
      <c r="X732" s="119"/>
      <c r="Y732" s="374" t="s">
        <v>97</v>
      </c>
      <c r="Z732" s="119"/>
      <c r="AA732" s="119"/>
      <c r="AB732" s="119"/>
      <c r="AC732" s="119"/>
      <c r="AD732" s="119"/>
      <c r="AE732" s="119"/>
      <c r="AF732" s="119"/>
      <c r="AG732" s="119"/>
      <c r="AH732" s="121"/>
      <c r="AI732" s="121"/>
      <c r="AJ732" s="121"/>
      <c r="AK732" s="121"/>
      <c r="AL732" s="121"/>
      <c r="AM732" s="135"/>
      <c r="AN732" s="119"/>
      <c r="AO732" s="119"/>
      <c r="AP732" s="119"/>
      <c r="AQ732" s="119"/>
      <c r="AR732" s="119"/>
      <c r="AS732" s="119"/>
    </row>
    <row r="733">
      <c r="A733" s="137">
        <v>541.0</v>
      </c>
      <c r="B733" s="150"/>
      <c r="C733" s="104" t="s">
        <v>4148</v>
      </c>
      <c r="D733" s="226" t="s">
        <v>54</v>
      </c>
      <c r="E733" s="227" t="s">
        <v>54</v>
      </c>
      <c r="F733" s="101"/>
      <c r="G733" s="40" t="s">
        <v>929</v>
      </c>
      <c r="H733" s="55" t="s">
        <v>930</v>
      </c>
      <c r="I733" s="69" t="s">
        <v>932</v>
      </c>
      <c r="J733" s="20" t="s">
        <v>934</v>
      </c>
      <c r="K733" s="37">
        <v>43912.0</v>
      </c>
      <c r="L733" s="37">
        <v>43919.0</v>
      </c>
      <c r="M733" s="73" t="s">
        <v>772</v>
      </c>
      <c r="N733" s="179" t="s">
        <v>212</v>
      </c>
      <c r="O733" s="113" t="s">
        <v>24</v>
      </c>
      <c r="P733" s="37" t="s">
        <v>24</v>
      </c>
      <c r="Q733" s="22"/>
      <c r="R733" s="22"/>
      <c r="S733" s="117"/>
      <c r="T733" s="236"/>
      <c r="U733" s="161"/>
      <c r="V733" s="161"/>
      <c r="W733" s="161"/>
      <c r="X733" s="161"/>
      <c r="Y733" s="374" t="s">
        <v>97</v>
      </c>
      <c r="Z733" s="161"/>
      <c r="AA733" s="161"/>
      <c r="AB733" s="161"/>
      <c r="AC733" s="161"/>
      <c r="AD733" s="161"/>
      <c r="AE733" s="161"/>
      <c r="AF733" s="161"/>
      <c r="AG733" s="161"/>
      <c r="AH733" s="163"/>
      <c r="AI733" s="163"/>
      <c r="AJ733" s="163"/>
      <c r="AK733" s="163"/>
      <c r="AL733" s="163"/>
      <c r="AM733" s="163"/>
      <c r="AN733" s="161"/>
      <c r="AO733" s="161"/>
      <c r="AP733" s="161"/>
      <c r="AQ733" s="161"/>
      <c r="AR733" s="161"/>
      <c r="AS733" s="119"/>
    </row>
    <row r="734">
      <c r="A734" s="137">
        <v>855.0</v>
      </c>
      <c r="B734" s="103">
        <v>10.0</v>
      </c>
      <c r="C734" s="104" t="s">
        <v>4149</v>
      </c>
      <c r="D734" s="105" t="s">
        <v>48</v>
      </c>
      <c r="E734" s="107" t="s">
        <v>48</v>
      </c>
      <c r="F734" s="109"/>
      <c r="G734" s="10" t="s">
        <v>4150</v>
      </c>
      <c r="H734" s="17" t="s">
        <v>4151</v>
      </c>
      <c r="I734" s="111" t="s">
        <v>4152</v>
      </c>
      <c r="J734" s="155"/>
      <c r="K734" s="37">
        <v>44105.0</v>
      </c>
      <c r="L734" s="37">
        <v>44108.0</v>
      </c>
      <c r="M734" s="24" t="s">
        <v>4153</v>
      </c>
      <c r="N734" s="24" t="s">
        <v>379</v>
      </c>
      <c r="O734" s="37">
        <v>43951.0</v>
      </c>
      <c r="P734" s="37">
        <v>44043.0</v>
      </c>
      <c r="Q734" s="223"/>
      <c r="R734" s="223"/>
      <c r="S734" s="224"/>
      <c r="T734" s="118"/>
      <c r="U734" s="176" t="s">
        <v>97</v>
      </c>
      <c r="V734" s="119"/>
      <c r="W734" s="119"/>
      <c r="X734" s="119"/>
      <c r="Y734" s="119"/>
      <c r="Z734" s="119"/>
      <c r="AA734" s="119"/>
      <c r="AB734" s="119"/>
      <c r="AC734" s="119"/>
      <c r="AD734" s="119"/>
      <c r="AE734" s="119"/>
      <c r="AF734" s="119"/>
      <c r="AG734" s="119"/>
      <c r="AH734" s="121"/>
      <c r="AI734" s="121"/>
      <c r="AJ734" s="121"/>
      <c r="AK734" s="121"/>
      <c r="AL734" s="121"/>
      <c r="AM734" s="121"/>
      <c r="AN734" s="119"/>
      <c r="AO734" s="119"/>
      <c r="AP734" s="119"/>
      <c r="AQ734" s="119"/>
      <c r="AR734" s="119"/>
      <c r="AS734" s="119"/>
    </row>
    <row r="735">
      <c r="A735" s="101">
        <v>542.0</v>
      </c>
      <c r="B735" s="292"/>
      <c r="C735" s="104" t="s">
        <v>4154</v>
      </c>
      <c r="D735" s="105" t="s">
        <v>48</v>
      </c>
      <c r="E735" s="107" t="s">
        <v>48</v>
      </c>
      <c r="F735" s="518"/>
      <c r="G735" s="153" t="s">
        <v>779</v>
      </c>
      <c r="H735" s="81" t="s">
        <v>782</v>
      </c>
      <c r="I735" s="158" t="s">
        <v>784</v>
      </c>
      <c r="J735" s="20" t="s">
        <v>78</v>
      </c>
      <c r="K735" s="37">
        <v>43909.0</v>
      </c>
      <c r="L735" s="37">
        <v>43919.0</v>
      </c>
      <c r="M735" s="73" t="s">
        <v>196</v>
      </c>
      <c r="N735" s="73" t="s">
        <v>29</v>
      </c>
      <c r="O735" s="113">
        <v>43654.0</v>
      </c>
      <c r="P735" s="37">
        <v>43780.0</v>
      </c>
      <c r="Q735" s="22"/>
      <c r="R735" s="22"/>
      <c r="S735" s="117"/>
      <c r="T735" s="157"/>
      <c r="U735" s="293" t="s">
        <v>97</v>
      </c>
      <c r="V735" s="194"/>
      <c r="W735" s="194"/>
      <c r="X735" s="194"/>
      <c r="Y735" s="194"/>
      <c r="Z735" s="194"/>
      <c r="AA735" s="194"/>
      <c r="AB735" s="194"/>
      <c r="AC735" s="194"/>
      <c r="AD735" s="186"/>
      <c r="AE735" s="187"/>
      <c r="AF735" s="194"/>
      <c r="AG735" s="187"/>
      <c r="AH735" s="189"/>
      <c r="AI735" s="189"/>
      <c r="AJ735" s="189"/>
      <c r="AK735" s="189"/>
      <c r="AL735" s="189"/>
      <c r="AM735" s="189"/>
      <c r="AN735" s="187"/>
      <c r="AO735" s="187"/>
      <c r="AP735" s="194"/>
      <c r="AQ735" s="187"/>
      <c r="AR735" s="187"/>
      <c r="AS735" s="119"/>
    </row>
    <row r="736">
      <c r="A736" s="137">
        <v>543.0</v>
      </c>
      <c r="B736" s="177"/>
      <c r="C736" s="104" t="s">
        <v>4155</v>
      </c>
      <c r="D736" s="105" t="s">
        <v>48</v>
      </c>
      <c r="E736" s="107" t="s">
        <v>48</v>
      </c>
      <c r="F736" s="178"/>
      <c r="G736" s="77" t="s">
        <v>503</v>
      </c>
      <c r="H736" s="81" t="s">
        <v>504</v>
      </c>
      <c r="I736" s="84" t="s">
        <v>507</v>
      </c>
      <c r="J736" s="20" t="s">
        <v>508</v>
      </c>
      <c r="K736" s="37">
        <v>43966.0</v>
      </c>
      <c r="L736" s="37">
        <v>43968.0</v>
      </c>
      <c r="M736" s="85" t="s">
        <v>509</v>
      </c>
      <c r="N736" s="85" t="s">
        <v>251</v>
      </c>
      <c r="O736" s="113">
        <v>43783.0</v>
      </c>
      <c r="P736" s="37">
        <v>43904.0</v>
      </c>
      <c r="Q736" s="22"/>
      <c r="R736" s="22"/>
      <c r="S736" s="117"/>
      <c r="T736" s="181"/>
      <c r="U736" s="182" t="s">
        <v>97</v>
      </c>
      <c r="V736" s="184"/>
      <c r="W736" s="184"/>
      <c r="X736" s="184"/>
      <c r="Y736" s="184"/>
      <c r="Z736" s="184"/>
      <c r="AA736" s="184"/>
      <c r="AB736" s="184"/>
      <c r="AC736" s="184"/>
      <c r="AD736" s="186"/>
      <c r="AE736" s="187"/>
      <c r="AF736" s="184"/>
      <c r="AG736" s="187"/>
      <c r="AH736" s="189"/>
      <c r="AI736" s="189"/>
      <c r="AJ736" s="189"/>
      <c r="AK736" s="189"/>
      <c r="AL736" s="189"/>
      <c r="AM736" s="189"/>
      <c r="AN736" s="187"/>
      <c r="AO736" s="187"/>
      <c r="AP736" s="184"/>
      <c r="AQ736" s="187"/>
      <c r="AR736" s="187"/>
      <c r="AS736" s="119"/>
    </row>
    <row r="737">
      <c r="A737" s="137">
        <v>544.0</v>
      </c>
      <c r="B737" s="150"/>
      <c r="C737" s="104" t="s">
        <v>4156</v>
      </c>
      <c r="D737" s="105" t="s">
        <v>48</v>
      </c>
      <c r="E737" s="107" t="s">
        <v>48</v>
      </c>
      <c r="F737" s="101"/>
      <c r="G737" s="40" t="s">
        <v>4157</v>
      </c>
      <c r="H737" s="55" t="s">
        <v>4158</v>
      </c>
      <c r="I737" s="175" t="s">
        <v>4159</v>
      </c>
      <c r="J737" s="155"/>
      <c r="K737" s="37">
        <v>44106.0</v>
      </c>
      <c r="L737" s="37">
        <v>44108.0</v>
      </c>
      <c r="M737" s="73" t="s">
        <v>3368</v>
      </c>
      <c r="N737" s="179" t="s">
        <v>159</v>
      </c>
      <c r="O737" s="113">
        <v>43800.0</v>
      </c>
      <c r="P737" s="37">
        <v>44013.0</v>
      </c>
      <c r="Q737" s="22"/>
      <c r="R737" s="22"/>
      <c r="S737" s="117"/>
      <c r="T737" s="236"/>
      <c r="U737" s="176" t="s">
        <v>97</v>
      </c>
      <c r="V737" s="161"/>
      <c r="W737" s="161"/>
      <c r="X737" s="161"/>
      <c r="Y737" s="161"/>
      <c r="Z737" s="161"/>
      <c r="AA737" s="161"/>
      <c r="AB737" s="161"/>
      <c r="AC737" s="161"/>
      <c r="AD737" s="161"/>
      <c r="AE737" s="161"/>
      <c r="AF737" s="161"/>
      <c r="AG737" s="161"/>
      <c r="AH737" s="163"/>
      <c r="AI737" s="163"/>
      <c r="AJ737" s="163"/>
      <c r="AK737" s="163"/>
      <c r="AL737" s="163"/>
      <c r="AM737" s="163"/>
      <c r="AN737" s="161"/>
      <c r="AO737" s="161"/>
      <c r="AP737" s="161"/>
      <c r="AQ737" s="161"/>
      <c r="AR737" s="161"/>
      <c r="AS737" s="119"/>
    </row>
    <row r="738">
      <c r="A738" s="101">
        <v>545.0</v>
      </c>
      <c r="B738" s="177"/>
      <c r="C738" s="104" t="s">
        <v>4160</v>
      </c>
      <c r="D738" s="105" t="s">
        <v>48</v>
      </c>
      <c r="E738" s="107" t="s">
        <v>48</v>
      </c>
      <c r="F738" s="178"/>
      <c r="G738" s="77" t="s">
        <v>4161</v>
      </c>
      <c r="H738" s="81" t="s">
        <v>4162</v>
      </c>
      <c r="I738" s="84" t="s">
        <v>4163</v>
      </c>
      <c r="J738" s="155"/>
      <c r="K738" s="37">
        <v>44034.0</v>
      </c>
      <c r="L738" s="37">
        <v>44037.0</v>
      </c>
      <c r="M738" s="85" t="s">
        <v>4164</v>
      </c>
      <c r="N738" s="85" t="s">
        <v>159</v>
      </c>
      <c r="O738" s="113">
        <v>43868.0</v>
      </c>
      <c r="P738" s="37">
        <v>43952.0</v>
      </c>
      <c r="Q738" s="22"/>
      <c r="R738" s="22"/>
      <c r="S738" s="117"/>
      <c r="T738" s="181"/>
      <c r="U738" s="182" t="s">
        <v>97</v>
      </c>
      <c r="V738" s="184"/>
      <c r="W738" s="184"/>
      <c r="X738" s="184"/>
      <c r="Y738" s="184"/>
      <c r="Z738" s="184"/>
      <c r="AA738" s="184"/>
      <c r="AB738" s="184"/>
      <c r="AC738" s="184"/>
      <c r="AD738" s="186"/>
      <c r="AE738" s="187"/>
      <c r="AF738" s="184"/>
      <c r="AG738" s="187"/>
      <c r="AH738" s="189"/>
      <c r="AI738" s="189"/>
      <c r="AJ738" s="189"/>
      <c r="AK738" s="189"/>
      <c r="AL738" s="189"/>
      <c r="AM738" s="189"/>
      <c r="AN738" s="187"/>
      <c r="AO738" s="187"/>
      <c r="AP738" s="184"/>
      <c r="AQ738" s="187"/>
      <c r="AR738" s="187"/>
      <c r="AS738" s="119"/>
    </row>
    <row r="739">
      <c r="A739" s="137">
        <v>546.0</v>
      </c>
      <c r="B739" s="150"/>
      <c r="C739" s="104" t="s">
        <v>4165</v>
      </c>
      <c r="D739" s="105" t="s">
        <v>70</v>
      </c>
      <c r="E739" s="107" t="s">
        <v>1326</v>
      </c>
      <c r="F739" s="101"/>
      <c r="G739" s="40" t="s">
        <v>431</v>
      </c>
      <c r="H739" s="55" t="s">
        <v>432</v>
      </c>
      <c r="I739" s="69" t="s">
        <v>434</v>
      </c>
      <c r="J739" s="20" t="s">
        <v>439</v>
      </c>
      <c r="K739" s="37">
        <v>43935.0</v>
      </c>
      <c r="L739" s="37">
        <v>43937.0</v>
      </c>
      <c r="M739" s="73" t="s">
        <v>440</v>
      </c>
      <c r="N739" s="179" t="s">
        <v>231</v>
      </c>
      <c r="O739" s="113">
        <v>43884.0</v>
      </c>
      <c r="P739" s="37">
        <v>43904.0</v>
      </c>
      <c r="Q739" s="22"/>
      <c r="R739" s="22"/>
      <c r="S739" s="117"/>
      <c r="T739" s="236"/>
      <c r="U739" s="161"/>
      <c r="V739" s="161"/>
      <c r="W739" s="120" t="s">
        <v>97</v>
      </c>
      <c r="X739" s="161"/>
      <c r="Y739" s="161"/>
      <c r="Z739" s="161"/>
      <c r="AA739" s="161"/>
      <c r="AB739" s="161"/>
      <c r="AC739" s="161"/>
      <c r="AD739" s="161"/>
      <c r="AE739" s="161"/>
      <c r="AF739" s="161"/>
      <c r="AG739" s="161"/>
      <c r="AH739" s="163"/>
      <c r="AI739" s="163"/>
      <c r="AJ739" s="163"/>
      <c r="AK739" s="163"/>
      <c r="AL739" s="149" t="s">
        <v>97</v>
      </c>
      <c r="AM739" s="163"/>
      <c r="AN739" s="161"/>
      <c r="AO739" s="161"/>
      <c r="AP739" s="161"/>
      <c r="AQ739" s="161"/>
      <c r="AR739" s="161"/>
      <c r="AS739" s="119"/>
    </row>
    <row r="740">
      <c r="A740" s="137">
        <v>547.0</v>
      </c>
      <c r="B740" s="150"/>
      <c r="C740" s="104" t="s">
        <v>4166</v>
      </c>
      <c r="D740" s="105" t="s">
        <v>48</v>
      </c>
      <c r="E740" s="107" t="s">
        <v>48</v>
      </c>
      <c r="F740" s="101"/>
      <c r="G740" s="40" t="s">
        <v>4167</v>
      </c>
      <c r="H740" s="55" t="s">
        <v>4168</v>
      </c>
      <c r="I740" s="69" t="s">
        <v>4169</v>
      </c>
      <c r="J740" s="155"/>
      <c r="K740" s="37">
        <v>43896.0</v>
      </c>
      <c r="L740" s="37">
        <v>43898.0</v>
      </c>
      <c r="M740" s="73" t="s">
        <v>4170</v>
      </c>
      <c r="N740" s="179" t="s">
        <v>283</v>
      </c>
      <c r="O740" s="113">
        <v>43693.0</v>
      </c>
      <c r="P740" s="37">
        <v>43796.0</v>
      </c>
      <c r="Q740" s="22"/>
      <c r="R740" s="22"/>
      <c r="S740" s="117"/>
      <c r="T740" s="236"/>
      <c r="U740" s="176" t="s">
        <v>97</v>
      </c>
      <c r="V740" s="161"/>
      <c r="W740" s="161"/>
      <c r="X740" s="161"/>
      <c r="Y740" s="161"/>
      <c r="Z740" s="161"/>
      <c r="AA740" s="161"/>
      <c r="AB740" s="161"/>
      <c r="AC740" s="161"/>
      <c r="AD740" s="161"/>
      <c r="AE740" s="161"/>
      <c r="AF740" s="161"/>
      <c r="AG740" s="161"/>
      <c r="AH740" s="163"/>
      <c r="AI740" s="163"/>
      <c r="AJ740" s="163"/>
      <c r="AK740" s="163"/>
      <c r="AL740" s="163"/>
      <c r="AM740" s="163"/>
      <c r="AN740" s="161"/>
      <c r="AO740" s="161"/>
      <c r="AP740" s="161"/>
      <c r="AQ740" s="161"/>
      <c r="AR740" s="161"/>
      <c r="AS740" s="119"/>
    </row>
    <row r="741">
      <c r="A741" s="101">
        <v>548.0</v>
      </c>
      <c r="B741" s="150">
        <v>11.0</v>
      </c>
      <c r="C741" s="755" t="s">
        <v>4171</v>
      </c>
      <c r="D741" s="138" t="s">
        <v>60</v>
      </c>
      <c r="E741" s="107" t="s">
        <v>390</v>
      </c>
      <c r="F741" s="101"/>
      <c r="G741" s="40" t="s">
        <v>4172</v>
      </c>
      <c r="H741" s="55" t="s">
        <v>4173</v>
      </c>
      <c r="I741" s="756" t="s">
        <v>24</v>
      </c>
      <c r="J741" s="155"/>
      <c r="K741" s="37">
        <v>44136.0</v>
      </c>
      <c r="L741" s="37">
        <v>44150.0</v>
      </c>
      <c r="M741" s="85" t="s">
        <v>221</v>
      </c>
      <c r="N741" s="73" t="s">
        <v>72</v>
      </c>
      <c r="O741" s="37">
        <v>44074.0</v>
      </c>
      <c r="P741" s="37">
        <v>44074.0</v>
      </c>
      <c r="Q741" s="201"/>
      <c r="R741" s="201"/>
      <c r="S741" s="224"/>
      <c r="T741" s="157"/>
      <c r="U741" s="161"/>
      <c r="V741" s="161"/>
      <c r="W741" s="161"/>
      <c r="X741" s="161"/>
      <c r="Y741" s="161"/>
      <c r="Z741" s="161"/>
      <c r="AA741" s="161"/>
      <c r="AB741" s="161"/>
      <c r="AC741" s="161"/>
      <c r="AD741" s="558" t="s">
        <v>97</v>
      </c>
      <c r="AE741" s="161"/>
      <c r="AF741" s="161"/>
      <c r="AG741" s="161"/>
      <c r="AH741" s="163"/>
      <c r="AI741" s="163"/>
      <c r="AJ741" s="163"/>
      <c r="AK741" s="163"/>
      <c r="AL741" s="163"/>
      <c r="AM741" s="163"/>
      <c r="AN741" s="161"/>
      <c r="AO741" s="161"/>
      <c r="AP741" s="161"/>
      <c r="AQ741" s="161"/>
      <c r="AR741" s="161"/>
      <c r="AS741" s="119"/>
    </row>
    <row r="742">
      <c r="A742" s="137">
        <v>549.0</v>
      </c>
      <c r="B742" s="150">
        <v>11.0</v>
      </c>
      <c r="C742" s="104" t="s">
        <v>4174</v>
      </c>
      <c r="D742" s="105" t="s">
        <v>48</v>
      </c>
      <c r="E742" s="107" t="s">
        <v>48</v>
      </c>
      <c r="F742" s="101"/>
      <c r="G742" s="40" t="s">
        <v>4175</v>
      </c>
      <c r="H742" s="55" t="s">
        <v>4176</v>
      </c>
      <c r="I742" s="69" t="s">
        <v>4177</v>
      </c>
      <c r="J742" s="710"/>
      <c r="K742" s="711">
        <v>44139.0</v>
      </c>
      <c r="L742" s="711">
        <v>44142.0</v>
      </c>
      <c r="M742" s="174" t="s">
        <v>4178</v>
      </c>
      <c r="N742" s="179" t="s">
        <v>967</v>
      </c>
      <c r="O742" s="711">
        <v>43904.0</v>
      </c>
      <c r="P742" s="711">
        <v>44084.0</v>
      </c>
      <c r="Q742" s="22"/>
      <c r="R742" s="22"/>
      <c r="S742" s="117"/>
      <c r="T742" s="236"/>
      <c r="U742" s="176" t="s">
        <v>97</v>
      </c>
      <c r="V742" s="161"/>
      <c r="W742" s="161"/>
      <c r="X742" s="161"/>
      <c r="Y742" s="161"/>
      <c r="Z742" s="161"/>
      <c r="AA742" s="161"/>
      <c r="AB742" s="161"/>
      <c r="AC742" s="161"/>
      <c r="AD742" s="161"/>
      <c r="AE742" s="161"/>
      <c r="AF742" s="161"/>
      <c r="AG742" s="161"/>
      <c r="AH742" s="163"/>
      <c r="AI742" s="163"/>
      <c r="AJ742" s="163"/>
      <c r="AK742" s="163"/>
      <c r="AL742" s="163"/>
      <c r="AM742" s="163"/>
      <c r="AN742" s="161"/>
      <c r="AO742" s="161"/>
      <c r="AP742" s="161"/>
      <c r="AQ742" s="161"/>
      <c r="AR742" s="161"/>
      <c r="AS742" s="119"/>
    </row>
    <row r="743">
      <c r="A743" s="137">
        <v>550.0</v>
      </c>
      <c r="B743" s="197"/>
      <c r="C743" s="104" t="s">
        <v>4179</v>
      </c>
      <c r="D743" s="105" t="s">
        <v>48</v>
      </c>
      <c r="E743" s="107" t="s">
        <v>48</v>
      </c>
      <c r="F743" s="178"/>
      <c r="G743" s="77" t="s">
        <v>4180</v>
      </c>
      <c r="H743" s="81" t="s">
        <v>4181</v>
      </c>
      <c r="I743" s="34" t="s">
        <v>4182</v>
      </c>
      <c r="J743" s="735"/>
      <c r="K743" s="736">
        <v>43953.0</v>
      </c>
      <c r="L743" s="736">
        <v>43954.0</v>
      </c>
      <c r="M743" s="85" t="s">
        <v>4183</v>
      </c>
      <c r="N743" s="85" t="s">
        <v>102</v>
      </c>
      <c r="O743" s="757">
        <v>43850.0</v>
      </c>
      <c r="P743" s="736">
        <v>43891.0</v>
      </c>
      <c r="Q743" s="201"/>
      <c r="R743" s="201"/>
      <c r="S743" s="224"/>
      <c r="T743" s="181"/>
      <c r="U743" s="182" t="s">
        <v>97</v>
      </c>
      <c r="V743" s="184"/>
      <c r="W743" s="184"/>
      <c r="X743" s="184"/>
      <c r="Y743" s="184"/>
      <c r="Z743" s="184"/>
      <c r="AA743" s="184"/>
      <c r="AB743" s="184"/>
      <c r="AC743" s="184"/>
      <c r="AD743" s="186"/>
      <c r="AE743" s="187"/>
      <c r="AF743" s="184"/>
      <c r="AG743" s="187"/>
      <c r="AH743" s="189"/>
      <c r="AI743" s="189"/>
      <c r="AJ743" s="189"/>
      <c r="AK743" s="189"/>
      <c r="AL743" s="189"/>
      <c r="AM743" s="189"/>
      <c r="AN743" s="187"/>
      <c r="AO743" s="187"/>
      <c r="AP743" s="184"/>
      <c r="AQ743" s="187"/>
      <c r="AR743" s="187"/>
      <c r="AS743" s="119"/>
    </row>
    <row r="744">
      <c r="A744" s="101">
        <v>778.0</v>
      </c>
      <c r="B744" s="103">
        <v>10.0</v>
      </c>
      <c r="C744" s="104" t="s">
        <v>4184</v>
      </c>
      <c r="D744" s="226" t="s">
        <v>54</v>
      </c>
      <c r="E744" s="227" t="s">
        <v>54</v>
      </c>
      <c r="F744" s="109"/>
      <c r="G744" s="10" t="s">
        <v>4185</v>
      </c>
      <c r="H744" s="17" t="s">
        <v>4186</v>
      </c>
      <c r="I744" s="111" t="s">
        <v>4187</v>
      </c>
      <c r="J744" s="155"/>
      <c r="K744" s="37">
        <v>44119.0</v>
      </c>
      <c r="L744" s="37">
        <v>44122.0</v>
      </c>
      <c r="M744" s="24" t="s">
        <v>3139</v>
      </c>
      <c r="N744" s="24" t="s">
        <v>132</v>
      </c>
      <c r="O744" s="37">
        <v>43861.0</v>
      </c>
      <c r="P744" s="37">
        <v>43951.0</v>
      </c>
      <c r="Q744" s="115"/>
      <c r="R744" s="115"/>
      <c r="S744" s="117"/>
      <c r="T744" s="118"/>
      <c r="U744" s="119"/>
      <c r="V744" s="119"/>
      <c r="W744" s="119"/>
      <c r="X744" s="119"/>
      <c r="Y744" s="374" t="s">
        <v>97</v>
      </c>
      <c r="Z744" s="119"/>
      <c r="AA744" s="119"/>
      <c r="AB744" s="119"/>
      <c r="AC744" s="119"/>
      <c r="AD744" s="119"/>
      <c r="AE744" s="119"/>
      <c r="AF744" s="119"/>
      <c r="AG744" s="119"/>
      <c r="AH744" s="121"/>
      <c r="AI744" s="121"/>
      <c r="AJ744" s="121"/>
      <c r="AK744" s="121"/>
      <c r="AL744" s="121"/>
      <c r="AM744" s="121"/>
      <c r="AN744" s="119"/>
      <c r="AO744" s="119"/>
      <c r="AP744" s="119"/>
      <c r="AQ744" s="119"/>
      <c r="AR744" s="119"/>
      <c r="AS744" s="119"/>
    </row>
    <row r="745">
      <c r="A745" s="137">
        <v>551.0</v>
      </c>
      <c r="B745" s="150">
        <v>4.0</v>
      </c>
      <c r="C745" s="104" t="s">
        <v>4188</v>
      </c>
      <c r="D745" s="105" t="s">
        <v>70</v>
      </c>
      <c r="E745" s="107" t="s">
        <v>1326</v>
      </c>
      <c r="F745" s="101"/>
      <c r="G745" s="40" t="s">
        <v>4189</v>
      </c>
      <c r="H745" s="55" t="s">
        <v>4190</v>
      </c>
      <c r="I745" s="55" t="s">
        <v>4190</v>
      </c>
      <c r="J745" s="155"/>
      <c r="K745" s="22" t="s">
        <v>27</v>
      </c>
      <c r="L745" s="22" t="s">
        <v>27</v>
      </c>
      <c r="M745" s="73" t="s">
        <v>4191</v>
      </c>
      <c r="N745" s="179" t="s">
        <v>29</v>
      </c>
      <c r="O745" s="22" t="s">
        <v>27</v>
      </c>
      <c r="P745" s="22" t="s">
        <v>27</v>
      </c>
      <c r="Q745" s="22"/>
      <c r="R745" s="22"/>
      <c r="S745" s="117"/>
      <c r="T745" s="236"/>
      <c r="U745" s="161"/>
      <c r="V745" s="161"/>
      <c r="W745" s="120" t="s">
        <v>97</v>
      </c>
      <c r="X745" s="161"/>
      <c r="Y745" s="161"/>
      <c r="Z745" s="161"/>
      <c r="AA745" s="161"/>
      <c r="AB745" s="161"/>
      <c r="AC745" s="161"/>
      <c r="AD745" s="161"/>
      <c r="AE745" s="161"/>
      <c r="AF745" s="161"/>
      <c r="AG745" s="161"/>
      <c r="AH745" s="163"/>
      <c r="AI745" s="163"/>
      <c r="AJ745" s="163"/>
      <c r="AK745" s="163"/>
      <c r="AL745" s="149" t="s">
        <v>97</v>
      </c>
      <c r="AM745" s="163"/>
      <c r="AN745" s="161"/>
      <c r="AO745" s="161"/>
      <c r="AP745" s="161"/>
      <c r="AQ745" s="161"/>
      <c r="AR745" s="161"/>
      <c r="AS745" s="119"/>
    </row>
    <row r="746">
      <c r="A746" s="101">
        <v>552.0</v>
      </c>
      <c r="B746" s="150">
        <v>11.0</v>
      </c>
      <c r="C746" s="104" t="s">
        <v>4192</v>
      </c>
      <c r="D746" s="105" t="s">
        <v>48</v>
      </c>
      <c r="E746" s="107" t="s">
        <v>48</v>
      </c>
      <c r="F746" s="101"/>
      <c r="G746" s="40" t="s">
        <v>4193</v>
      </c>
      <c r="H746" s="55" t="s">
        <v>4194</v>
      </c>
      <c r="I746" s="69" t="s">
        <v>4195</v>
      </c>
      <c r="J746" s="155"/>
      <c r="K746" s="22" t="s">
        <v>27</v>
      </c>
      <c r="L746" s="22" t="s">
        <v>27</v>
      </c>
      <c r="M746" s="73" t="s">
        <v>4196</v>
      </c>
      <c r="N746" s="179" t="s">
        <v>379</v>
      </c>
      <c r="O746" s="22" t="s">
        <v>27</v>
      </c>
      <c r="P746" s="22" t="s">
        <v>27</v>
      </c>
      <c r="Q746" s="22"/>
      <c r="R746" s="22"/>
      <c r="S746" s="117"/>
      <c r="T746" s="236"/>
      <c r="U746" s="176" t="s">
        <v>97</v>
      </c>
      <c r="V746" s="161"/>
      <c r="W746" s="161"/>
      <c r="X746" s="161"/>
      <c r="Y746" s="161"/>
      <c r="Z746" s="161"/>
      <c r="AA746" s="161"/>
      <c r="AB746" s="161"/>
      <c r="AC746" s="161"/>
      <c r="AD746" s="161"/>
      <c r="AE746" s="161"/>
      <c r="AF746" s="161"/>
      <c r="AG746" s="161"/>
      <c r="AH746" s="163"/>
      <c r="AI746" s="163"/>
      <c r="AJ746" s="163"/>
      <c r="AK746" s="163"/>
      <c r="AL746" s="163"/>
      <c r="AM746" s="163"/>
      <c r="AN746" s="161"/>
      <c r="AO746" s="161"/>
      <c r="AP746" s="161"/>
      <c r="AQ746" s="161"/>
      <c r="AR746" s="161"/>
      <c r="AS746" s="119"/>
    </row>
    <row r="747">
      <c r="A747" s="137">
        <v>553.0</v>
      </c>
      <c r="B747" s="150"/>
      <c r="C747" s="104" t="s">
        <v>4197</v>
      </c>
      <c r="D747" s="105" t="s">
        <v>52</v>
      </c>
      <c r="E747" s="107" t="s">
        <v>1139</v>
      </c>
      <c r="F747" s="101"/>
      <c r="G747" s="40" t="s">
        <v>4198</v>
      </c>
      <c r="H747" s="55" t="s">
        <v>4199</v>
      </c>
      <c r="I747" s="69" t="s">
        <v>4200</v>
      </c>
      <c r="J747" s="155"/>
      <c r="K747" s="37">
        <v>43968.0</v>
      </c>
      <c r="L747" s="37">
        <v>43968.0</v>
      </c>
      <c r="M747" s="356" t="s">
        <v>880</v>
      </c>
      <c r="N747" s="179" t="s">
        <v>46</v>
      </c>
      <c r="O747" s="113">
        <v>43875.0</v>
      </c>
      <c r="P747" s="37">
        <v>43875.0</v>
      </c>
      <c r="Q747" s="22"/>
      <c r="R747" s="22"/>
      <c r="S747" s="117"/>
      <c r="T747" s="236"/>
      <c r="U747" s="161"/>
      <c r="V747" s="161"/>
      <c r="W747" s="120" t="s">
        <v>97</v>
      </c>
      <c r="X747" s="161"/>
      <c r="Y747" s="161"/>
      <c r="Z747" s="161"/>
      <c r="AA747" s="161"/>
      <c r="AB747" s="161"/>
      <c r="AC747" s="161"/>
      <c r="AD747" s="161"/>
      <c r="AE747" s="161"/>
      <c r="AF747" s="161"/>
      <c r="AG747" s="161"/>
      <c r="AH747" s="163"/>
      <c r="AI747" s="163"/>
      <c r="AJ747" s="163"/>
      <c r="AK747" s="163"/>
      <c r="AL747" s="163"/>
      <c r="AM747" s="165" t="s">
        <v>97</v>
      </c>
      <c r="AN747" s="161"/>
      <c r="AO747" s="161"/>
      <c r="AP747" s="161"/>
      <c r="AQ747" s="161"/>
      <c r="AR747" s="161"/>
      <c r="AS747" s="119"/>
    </row>
    <row r="748">
      <c r="A748" s="137">
        <v>554.0</v>
      </c>
      <c r="B748" s="150"/>
      <c r="C748" s="104" t="s">
        <v>4201</v>
      </c>
      <c r="D748" s="226" t="s">
        <v>54</v>
      </c>
      <c r="E748" s="227" t="s">
        <v>54</v>
      </c>
      <c r="F748" s="101"/>
      <c r="G748" s="40" t="s">
        <v>4202</v>
      </c>
      <c r="H748" s="55" t="s">
        <v>4203</v>
      </c>
      <c r="I748" s="69" t="s">
        <v>4204</v>
      </c>
      <c r="J748" s="155"/>
      <c r="K748" s="37">
        <v>43960.0</v>
      </c>
      <c r="L748" s="37">
        <v>43968.0</v>
      </c>
      <c r="M748" s="73" t="s">
        <v>187</v>
      </c>
      <c r="N748" s="179" t="s">
        <v>159</v>
      </c>
      <c r="O748" s="113">
        <v>43903.0</v>
      </c>
      <c r="P748" s="37">
        <v>43903.0</v>
      </c>
      <c r="Q748" s="22"/>
      <c r="R748" s="22"/>
      <c r="S748" s="117"/>
      <c r="T748" s="236"/>
      <c r="U748" s="161"/>
      <c r="V748" s="161"/>
      <c r="W748" s="161"/>
      <c r="X748" s="161"/>
      <c r="Y748" s="374" t="s">
        <v>97</v>
      </c>
      <c r="Z748" s="161"/>
      <c r="AA748" s="161"/>
      <c r="AB748" s="161"/>
      <c r="AC748" s="161"/>
      <c r="AD748" s="161"/>
      <c r="AE748" s="161"/>
      <c r="AF748" s="161"/>
      <c r="AG748" s="161"/>
      <c r="AH748" s="163"/>
      <c r="AI748" s="163"/>
      <c r="AJ748" s="163"/>
      <c r="AK748" s="163"/>
      <c r="AL748" s="163"/>
      <c r="AM748" s="163"/>
      <c r="AN748" s="161"/>
      <c r="AO748" s="161"/>
      <c r="AP748" s="161"/>
      <c r="AQ748" s="161"/>
      <c r="AR748" s="161"/>
      <c r="AS748" s="119"/>
    </row>
    <row r="749">
      <c r="A749" s="137">
        <v>953.0</v>
      </c>
      <c r="B749" s="122">
        <v>9.0</v>
      </c>
      <c r="C749" s="123" t="s">
        <v>4205</v>
      </c>
      <c r="D749" s="357" t="s">
        <v>54</v>
      </c>
      <c r="E749" s="358" t="s">
        <v>54</v>
      </c>
      <c r="F749" s="127"/>
      <c r="G749" s="128" t="s">
        <v>4206</v>
      </c>
      <c r="H749" s="89" t="s">
        <v>4207</v>
      </c>
      <c r="I749" s="91" t="str">
        <f>HYPERLINK("https://filmfreeway.com/ReelPrideLGBTFilmFestival","https://filmfreeway.com/ReelPrideLGBTFilmFestival")</f>
        <v>https://filmfreeway.com/ReelPrideLGBTFilmFestival</v>
      </c>
      <c r="J749" s="155"/>
      <c r="K749" s="22" t="s">
        <v>27</v>
      </c>
      <c r="L749" s="22" t="s">
        <v>27</v>
      </c>
      <c r="M749" s="130" t="s">
        <v>2764</v>
      </c>
      <c r="N749" s="130" t="s">
        <v>72</v>
      </c>
      <c r="O749" s="22" t="s">
        <v>27</v>
      </c>
      <c r="P749" s="22" t="s">
        <v>27</v>
      </c>
      <c r="Q749" s="131"/>
      <c r="R749" s="132"/>
      <c r="S749" s="132"/>
      <c r="T749" s="118"/>
      <c r="U749" s="119"/>
      <c r="V749" s="119"/>
      <c r="W749" s="119"/>
      <c r="X749" s="119"/>
      <c r="Y749" s="374" t="s">
        <v>97</v>
      </c>
      <c r="Z749" s="119"/>
      <c r="AA749" s="119"/>
      <c r="AB749" s="119"/>
      <c r="AC749" s="119"/>
      <c r="AD749" s="119"/>
      <c r="AE749" s="119"/>
      <c r="AF749" s="119"/>
      <c r="AG749" s="119"/>
      <c r="AH749" s="121"/>
      <c r="AI749" s="121"/>
      <c r="AJ749" s="121"/>
      <c r="AK749" s="121"/>
      <c r="AL749" s="121"/>
      <c r="AM749" s="135"/>
      <c r="AN749" s="119"/>
      <c r="AO749" s="119"/>
      <c r="AP749" s="119"/>
      <c r="AQ749" s="119"/>
      <c r="AR749" s="119"/>
      <c r="AS749" s="119"/>
    </row>
    <row r="750">
      <c r="A750" s="101">
        <v>555.0</v>
      </c>
      <c r="B750" s="150">
        <v>11.0</v>
      </c>
      <c r="C750" s="104" t="s">
        <v>2663</v>
      </c>
      <c r="D750" s="138" t="s">
        <v>71</v>
      </c>
      <c r="E750" s="107" t="s">
        <v>71</v>
      </c>
      <c r="F750" s="101"/>
      <c r="G750" s="40" t="s">
        <v>4208</v>
      </c>
      <c r="H750" s="55" t="s">
        <v>4209</v>
      </c>
      <c r="I750" s="69" t="s">
        <v>4210</v>
      </c>
      <c r="J750" s="155"/>
      <c r="K750" s="37">
        <v>44120.0</v>
      </c>
      <c r="L750" s="37">
        <v>44126.0</v>
      </c>
      <c r="M750" s="73" t="s">
        <v>221</v>
      </c>
      <c r="N750" s="179" t="s">
        <v>72</v>
      </c>
      <c r="O750" s="37">
        <v>44064.0</v>
      </c>
      <c r="P750" s="37">
        <v>44064.0</v>
      </c>
      <c r="Q750" s="22"/>
      <c r="R750" s="22"/>
      <c r="S750" s="117"/>
      <c r="T750" s="236"/>
      <c r="U750" s="161"/>
      <c r="V750" s="161"/>
      <c r="W750" s="161"/>
      <c r="X750" s="161"/>
      <c r="Y750" s="161"/>
      <c r="Z750" s="161"/>
      <c r="AA750" s="161"/>
      <c r="AB750" s="161"/>
      <c r="AC750" s="161"/>
      <c r="AD750" s="161"/>
      <c r="AE750" s="161"/>
      <c r="AF750" s="161"/>
      <c r="AG750" s="161"/>
      <c r="AH750" s="163"/>
      <c r="AI750" s="163"/>
      <c r="AJ750" s="163"/>
      <c r="AK750" s="163"/>
      <c r="AL750" s="163"/>
      <c r="AM750" s="165" t="s">
        <v>97</v>
      </c>
      <c r="AN750" s="161"/>
      <c r="AO750" s="161"/>
      <c r="AP750" s="161"/>
      <c r="AQ750" s="161"/>
      <c r="AR750" s="161"/>
      <c r="AS750" s="119"/>
    </row>
    <row r="751">
      <c r="A751" s="137">
        <v>556.0</v>
      </c>
      <c r="B751" s="150"/>
      <c r="C751" s="104" t="s">
        <v>4211</v>
      </c>
      <c r="D751" s="105" t="s">
        <v>53</v>
      </c>
      <c r="E751" s="107" t="s">
        <v>4212</v>
      </c>
      <c r="F751" s="101"/>
      <c r="G751" s="40" t="s">
        <v>4213</v>
      </c>
      <c r="H751" s="55" t="s">
        <v>4214</v>
      </c>
      <c r="I751" s="69" t="s">
        <v>4215</v>
      </c>
      <c r="J751" s="155"/>
      <c r="K751" s="37">
        <v>44128.0</v>
      </c>
      <c r="L751" s="37">
        <v>44129.0</v>
      </c>
      <c r="M751" s="73" t="s">
        <v>196</v>
      </c>
      <c r="N751" s="179" t="s">
        <v>29</v>
      </c>
      <c r="O751" s="113">
        <v>43899.0</v>
      </c>
      <c r="P751" s="37">
        <v>43997.0</v>
      </c>
      <c r="Q751" s="200" t="s">
        <v>222</v>
      </c>
      <c r="R751" s="22"/>
      <c r="S751" s="117"/>
      <c r="T751" s="236" t="s">
        <v>50</v>
      </c>
      <c r="U751" s="161"/>
      <c r="V751" s="161"/>
      <c r="W751" s="161"/>
      <c r="X751" s="401" t="s">
        <v>97</v>
      </c>
      <c r="Y751" s="161"/>
      <c r="Z751" s="161"/>
      <c r="AA751" s="161"/>
      <c r="AB751" s="161"/>
      <c r="AC751" s="161"/>
      <c r="AD751" s="161"/>
      <c r="AE751" s="161"/>
      <c r="AF751" s="548" t="s">
        <v>97</v>
      </c>
      <c r="AG751" s="161"/>
      <c r="AH751" s="163"/>
      <c r="AI751" s="163"/>
      <c r="AJ751" s="163"/>
      <c r="AK751" s="163"/>
      <c r="AL751" s="163"/>
      <c r="AM751" s="163"/>
      <c r="AN751" s="161"/>
      <c r="AO751" s="161"/>
      <c r="AP751" s="161"/>
      <c r="AQ751" s="161"/>
      <c r="AR751" s="161"/>
      <c r="AS751" s="119"/>
    </row>
    <row r="752">
      <c r="A752" s="137">
        <v>557.0</v>
      </c>
      <c r="B752" s="150"/>
      <c r="C752" s="104" t="s">
        <v>4216</v>
      </c>
      <c r="D752" s="105" t="s">
        <v>70</v>
      </c>
      <c r="E752" s="107" t="s">
        <v>70</v>
      </c>
      <c r="F752" s="101"/>
      <c r="G752" s="40" t="s">
        <v>4217</v>
      </c>
      <c r="H752" s="55" t="s">
        <v>4218</v>
      </c>
      <c r="I752" s="69" t="s">
        <v>4219</v>
      </c>
      <c r="J752" s="155"/>
      <c r="K752" s="37">
        <v>43939.0</v>
      </c>
      <c r="L752" s="37">
        <v>43939.0</v>
      </c>
      <c r="M752" s="73" t="s">
        <v>4220</v>
      </c>
      <c r="N752" s="179" t="s">
        <v>256</v>
      </c>
      <c r="O752" s="113">
        <v>43880.0</v>
      </c>
      <c r="P752" s="37">
        <v>43880.0</v>
      </c>
      <c r="Q752" s="22"/>
      <c r="R752" s="22"/>
      <c r="S752" s="117"/>
      <c r="T752" s="236"/>
      <c r="U752" s="161"/>
      <c r="V752" s="161"/>
      <c r="W752" s="161"/>
      <c r="X752" s="161"/>
      <c r="Y752" s="161"/>
      <c r="Z752" s="161"/>
      <c r="AA752" s="161"/>
      <c r="AB752" s="161"/>
      <c r="AC752" s="161"/>
      <c r="AD752" s="161"/>
      <c r="AE752" s="161"/>
      <c r="AF752" s="161"/>
      <c r="AG752" s="161"/>
      <c r="AH752" s="163"/>
      <c r="AI752" s="163"/>
      <c r="AJ752" s="163"/>
      <c r="AK752" s="163"/>
      <c r="AL752" s="149" t="s">
        <v>97</v>
      </c>
      <c r="AM752" s="163"/>
      <c r="AN752" s="161"/>
      <c r="AO752" s="161"/>
      <c r="AP752" s="161"/>
      <c r="AQ752" s="161"/>
      <c r="AR752" s="161"/>
      <c r="AS752" s="119"/>
    </row>
    <row r="753">
      <c r="A753" s="101">
        <v>998.0</v>
      </c>
      <c r="B753" s="284"/>
      <c r="C753" s="123" t="s">
        <v>4221</v>
      </c>
      <c r="D753" s="285" t="s">
        <v>71</v>
      </c>
      <c r="E753" s="287" t="s">
        <v>71</v>
      </c>
      <c r="F753" s="312"/>
      <c r="G753" s="216" t="s">
        <v>323</v>
      </c>
      <c r="H753" s="89" t="s">
        <v>324</v>
      </c>
      <c r="I753" s="91" t="str">
        <f>HYPERLINK("https://filmfreeway.com/ReelWorkLaborFilmFestival","https://filmfreeway.com/ReelWorkLaborFilmFestival")</f>
        <v>https://filmfreeway.com/ReelWorkLaborFilmFestival</v>
      </c>
      <c r="J753" s="93" t="s">
        <v>329</v>
      </c>
      <c r="K753" s="145">
        <v>43945.0</v>
      </c>
      <c r="L753" s="145">
        <v>43954.0</v>
      </c>
      <c r="M753" s="130" t="s">
        <v>330</v>
      </c>
      <c r="N753" s="130" t="s">
        <v>72</v>
      </c>
      <c r="O753" s="145">
        <v>43832.0</v>
      </c>
      <c r="P753" s="145">
        <v>43891.0</v>
      </c>
      <c r="Q753" s="131"/>
      <c r="R753" s="132"/>
      <c r="S753" s="132"/>
      <c r="T753" s="118"/>
      <c r="U753" s="119"/>
      <c r="V753" s="119"/>
      <c r="W753" s="119"/>
      <c r="X753" s="119"/>
      <c r="Y753" s="134"/>
      <c r="Z753" s="119"/>
      <c r="AA753" s="119"/>
      <c r="AB753" s="119"/>
      <c r="AC753" s="119"/>
      <c r="AD753" s="119"/>
      <c r="AE753" s="119"/>
      <c r="AF753" s="119"/>
      <c r="AG753" s="119"/>
      <c r="AH753" s="121"/>
      <c r="AI753" s="121"/>
      <c r="AJ753" s="121"/>
      <c r="AK753" s="121"/>
      <c r="AL753" s="121"/>
      <c r="AM753" s="165" t="s">
        <v>97</v>
      </c>
      <c r="AN753" s="119"/>
      <c r="AO753" s="119"/>
      <c r="AP753" s="119"/>
      <c r="AQ753" s="119"/>
      <c r="AR753" s="119"/>
      <c r="AS753" s="119"/>
    </row>
    <row r="754">
      <c r="A754" s="137">
        <v>883.0</v>
      </c>
      <c r="B754" s="150">
        <v>10.0</v>
      </c>
      <c r="C754" s="758" t="s">
        <v>4222</v>
      </c>
      <c r="D754" s="138" t="s">
        <v>71</v>
      </c>
      <c r="E754" s="138" t="s">
        <v>71</v>
      </c>
      <c r="F754" s="312"/>
      <c r="G754" s="216" t="s">
        <v>1954</v>
      </c>
      <c r="H754" s="166" t="s">
        <v>4223</v>
      </c>
      <c r="I754" s="756" t="s">
        <v>24</v>
      </c>
      <c r="J754" s="155"/>
      <c r="K754" s="22" t="s">
        <v>27</v>
      </c>
      <c r="L754" s="22" t="s">
        <v>27</v>
      </c>
      <c r="M754" s="337" t="s">
        <v>211</v>
      </c>
      <c r="N754" s="337" t="s">
        <v>212</v>
      </c>
      <c r="O754" s="22" t="s">
        <v>27</v>
      </c>
      <c r="P754" s="22" t="s">
        <v>27</v>
      </c>
      <c r="Q754" s="759"/>
      <c r="R754" s="115"/>
      <c r="S754" s="193" t="s">
        <v>97</v>
      </c>
      <c r="T754" s="118"/>
      <c r="U754" s="119"/>
      <c r="V754" s="119"/>
      <c r="W754" s="119"/>
      <c r="X754" s="119"/>
      <c r="Y754" s="134"/>
      <c r="Z754" s="119"/>
      <c r="AA754" s="119"/>
      <c r="AB754" s="119"/>
      <c r="AC754" s="119"/>
      <c r="AD754" s="119"/>
      <c r="AE754" s="119"/>
      <c r="AF754" s="119"/>
      <c r="AG754" s="119"/>
      <c r="AH754" s="121"/>
      <c r="AI754" s="121"/>
      <c r="AJ754" s="121"/>
      <c r="AK754" s="121"/>
      <c r="AL754" s="121"/>
      <c r="AM754" s="165" t="s">
        <v>97</v>
      </c>
      <c r="AN754" s="119"/>
      <c r="AO754" s="119"/>
      <c r="AP754" s="119"/>
      <c r="AQ754" s="119"/>
      <c r="AR754" s="119"/>
      <c r="AS754" s="119"/>
    </row>
    <row r="755">
      <c r="A755" s="101">
        <v>558.0</v>
      </c>
      <c r="B755" s="177">
        <v>9.0</v>
      </c>
      <c r="C755" s="104" t="s">
        <v>4224</v>
      </c>
      <c r="D755" s="226" t="s">
        <v>54</v>
      </c>
      <c r="E755" s="227" t="s">
        <v>54</v>
      </c>
      <c r="F755" s="178"/>
      <c r="G755" s="77" t="s">
        <v>4225</v>
      </c>
      <c r="H755" s="81" t="s">
        <v>4226</v>
      </c>
      <c r="I755" s="84" t="s">
        <v>4227</v>
      </c>
      <c r="J755" s="155"/>
      <c r="K755" s="37">
        <v>44098.0</v>
      </c>
      <c r="L755" s="37">
        <v>44108.0</v>
      </c>
      <c r="M755" s="85" t="s">
        <v>230</v>
      </c>
      <c r="N755" s="85" t="s">
        <v>231</v>
      </c>
      <c r="O755" s="37">
        <v>43916.0</v>
      </c>
      <c r="P755" s="37">
        <v>43986.0</v>
      </c>
      <c r="Q755" s="229"/>
      <c r="R755" s="229"/>
      <c r="S755" s="760"/>
      <c r="T755" s="181"/>
      <c r="U755" s="184"/>
      <c r="V755" s="184"/>
      <c r="W755" s="184"/>
      <c r="X755" s="184"/>
      <c r="Y755" s="233" t="s">
        <v>97</v>
      </c>
      <c r="Z755" s="184"/>
      <c r="AA755" s="184"/>
      <c r="AB755" s="184"/>
      <c r="AC755" s="184"/>
      <c r="AD755" s="186"/>
      <c r="AE755" s="187"/>
      <c r="AF755" s="184"/>
      <c r="AG755" s="187"/>
      <c r="AH755" s="189"/>
      <c r="AI755" s="189"/>
      <c r="AJ755" s="189"/>
      <c r="AK755" s="189"/>
      <c r="AL755" s="189"/>
      <c r="AM755" s="189"/>
      <c r="AN755" s="187"/>
      <c r="AO755" s="187"/>
      <c r="AP755" s="184"/>
      <c r="AQ755" s="187"/>
      <c r="AR755" s="187"/>
      <c r="AS755" s="119"/>
    </row>
    <row r="756">
      <c r="A756" s="137">
        <v>559.0</v>
      </c>
      <c r="B756" s="177">
        <v>10.0</v>
      </c>
      <c r="C756" s="104" t="s">
        <v>4228</v>
      </c>
      <c r="D756" s="105" t="s">
        <v>48</v>
      </c>
      <c r="E756" s="107" t="s">
        <v>48</v>
      </c>
      <c r="F756" s="178"/>
      <c r="G756" s="77" t="s">
        <v>4229</v>
      </c>
      <c r="H756" s="81" t="s">
        <v>4230</v>
      </c>
      <c r="I756" s="84" t="s">
        <v>4231</v>
      </c>
      <c r="J756" s="155"/>
      <c r="K756" s="22" t="s">
        <v>27</v>
      </c>
      <c r="L756" s="22" t="s">
        <v>27</v>
      </c>
      <c r="M756" s="85" t="s">
        <v>4232</v>
      </c>
      <c r="N756" s="85" t="s">
        <v>4233</v>
      </c>
      <c r="O756" s="22" t="s">
        <v>27</v>
      </c>
      <c r="P756" s="22" t="s">
        <v>27</v>
      </c>
      <c r="Q756" s="373"/>
      <c r="R756" s="373"/>
      <c r="S756" s="224"/>
      <c r="T756" s="181"/>
      <c r="U756" s="182" t="s">
        <v>97</v>
      </c>
      <c r="V756" s="184"/>
      <c r="W756" s="184"/>
      <c r="X756" s="184"/>
      <c r="Y756" s="184"/>
      <c r="Z756" s="184"/>
      <c r="AA756" s="184"/>
      <c r="AB756" s="184"/>
      <c r="AC756" s="184"/>
      <c r="AD756" s="186"/>
      <c r="AE756" s="187"/>
      <c r="AF756" s="184"/>
      <c r="AG756" s="187"/>
      <c r="AH756" s="189"/>
      <c r="AI756" s="189"/>
      <c r="AJ756" s="189"/>
      <c r="AK756" s="189"/>
      <c r="AL756" s="189"/>
      <c r="AM756" s="189"/>
      <c r="AN756" s="187"/>
      <c r="AO756" s="187"/>
      <c r="AP756" s="184"/>
      <c r="AQ756" s="187"/>
      <c r="AR756" s="187"/>
      <c r="AS756" s="119"/>
    </row>
    <row r="757">
      <c r="A757" s="137">
        <v>560.0</v>
      </c>
      <c r="B757" s="177">
        <v>9.0</v>
      </c>
      <c r="C757" s="104" t="s">
        <v>4234</v>
      </c>
      <c r="D757" s="105" t="s">
        <v>48</v>
      </c>
      <c r="E757" s="107" t="s">
        <v>48</v>
      </c>
      <c r="F757" s="178"/>
      <c r="G757" s="77" t="s">
        <v>4235</v>
      </c>
      <c r="H757" s="81" t="s">
        <v>4236</v>
      </c>
      <c r="I757" s="84" t="s">
        <v>4237</v>
      </c>
      <c r="J757" s="155"/>
      <c r="K757" s="37">
        <v>44099.0</v>
      </c>
      <c r="L757" s="37">
        <v>44101.0</v>
      </c>
      <c r="M757" s="156" t="s">
        <v>196</v>
      </c>
      <c r="N757" s="85" t="s">
        <v>29</v>
      </c>
      <c r="O757" s="37">
        <v>43898.0</v>
      </c>
      <c r="P757" s="37">
        <v>44003.0</v>
      </c>
      <c r="Q757" s="22"/>
      <c r="R757" s="22"/>
      <c r="S757" s="117"/>
      <c r="T757" s="181"/>
      <c r="U757" s="182" t="s">
        <v>97</v>
      </c>
      <c r="V757" s="184"/>
      <c r="W757" s="184"/>
      <c r="X757" s="184"/>
      <c r="Y757" s="184"/>
      <c r="Z757" s="184"/>
      <c r="AA757" s="184"/>
      <c r="AB757" s="184"/>
      <c r="AC757" s="184"/>
      <c r="AD757" s="186"/>
      <c r="AE757" s="187"/>
      <c r="AF757" s="184"/>
      <c r="AG757" s="187"/>
      <c r="AH757" s="189"/>
      <c r="AI757" s="189"/>
      <c r="AJ757" s="189"/>
      <c r="AK757" s="189"/>
      <c r="AL757" s="189"/>
      <c r="AM757" s="189"/>
      <c r="AN757" s="187"/>
      <c r="AO757" s="187"/>
      <c r="AP757" s="184"/>
      <c r="AQ757" s="187"/>
      <c r="AR757" s="187"/>
      <c r="AS757" s="119"/>
    </row>
    <row r="758">
      <c r="A758" s="137">
        <v>562.0</v>
      </c>
      <c r="B758" s="150"/>
      <c r="C758" s="104" t="s">
        <v>4238</v>
      </c>
      <c r="D758" s="105" t="s">
        <v>89</v>
      </c>
      <c r="E758" s="107" t="s">
        <v>89</v>
      </c>
      <c r="F758" s="101"/>
      <c r="G758" s="40" t="s">
        <v>4239</v>
      </c>
      <c r="H758" s="55" t="s">
        <v>4240</v>
      </c>
      <c r="I758" s="69" t="s">
        <v>4241</v>
      </c>
      <c r="J758" s="155"/>
      <c r="K758" s="37">
        <v>43945.0</v>
      </c>
      <c r="L758" s="37">
        <v>43960.0</v>
      </c>
      <c r="M758" s="174" t="s">
        <v>658</v>
      </c>
      <c r="N758" s="179" t="s">
        <v>291</v>
      </c>
      <c r="O758" s="113">
        <v>43861.0</v>
      </c>
      <c r="P758" s="37">
        <v>43861.0</v>
      </c>
      <c r="Q758" s="22"/>
      <c r="R758" s="22"/>
      <c r="S758" s="117"/>
      <c r="T758" s="236"/>
      <c r="U758" s="161"/>
      <c r="V758" s="161"/>
      <c r="W758" s="161"/>
      <c r="X758" s="161"/>
      <c r="Y758" s="161"/>
      <c r="Z758" s="161"/>
      <c r="AA758" s="161"/>
      <c r="AB758" s="161"/>
      <c r="AC758" s="161"/>
      <c r="AD758" s="161"/>
      <c r="AE758" s="161"/>
      <c r="AF758" s="161"/>
      <c r="AG758" s="161"/>
      <c r="AH758" s="163"/>
      <c r="AI758" s="163"/>
      <c r="AJ758" s="163"/>
      <c r="AK758" s="163"/>
      <c r="AL758" s="163"/>
      <c r="AM758" s="163"/>
      <c r="AN758" s="161"/>
      <c r="AO758" s="161"/>
      <c r="AP758" s="161"/>
      <c r="AQ758" s="172" t="s">
        <v>97</v>
      </c>
      <c r="AR758" s="161"/>
      <c r="AS758" s="119"/>
    </row>
    <row r="759">
      <c r="A759" s="137">
        <v>563.0</v>
      </c>
      <c r="B759" s="150"/>
      <c r="C759" s="104" t="s">
        <v>4242</v>
      </c>
      <c r="D759" s="105" t="s">
        <v>48</v>
      </c>
      <c r="E759" s="107" t="s">
        <v>48</v>
      </c>
      <c r="F759" s="101"/>
      <c r="G759" s="40" t="s">
        <v>651</v>
      </c>
      <c r="H759" s="55" t="s">
        <v>652</v>
      </c>
      <c r="I759" s="69" t="s">
        <v>654</v>
      </c>
      <c r="J759" s="20" t="s">
        <v>657</v>
      </c>
      <c r="K759" s="37">
        <v>43942.0</v>
      </c>
      <c r="L759" s="37">
        <v>43947.0</v>
      </c>
      <c r="M759" s="174" t="s">
        <v>658</v>
      </c>
      <c r="N759" s="179" t="s">
        <v>291</v>
      </c>
      <c r="O759" s="113">
        <v>43636.0</v>
      </c>
      <c r="P759" s="37">
        <v>43783.0</v>
      </c>
      <c r="Q759" s="22"/>
      <c r="R759" s="22"/>
      <c r="S759" s="117"/>
      <c r="T759" s="236"/>
      <c r="U759" s="176" t="s">
        <v>97</v>
      </c>
      <c r="V759" s="161"/>
      <c r="W759" s="161"/>
      <c r="X759" s="161"/>
      <c r="Y759" s="161"/>
      <c r="Z759" s="161"/>
      <c r="AA759" s="161"/>
      <c r="AB759" s="161"/>
      <c r="AC759" s="161"/>
      <c r="AD759" s="161"/>
      <c r="AE759" s="161"/>
      <c r="AF759" s="161"/>
      <c r="AG759" s="161"/>
      <c r="AH759" s="163"/>
      <c r="AI759" s="163"/>
      <c r="AJ759" s="163"/>
      <c r="AK759" s="163"/>
      <c r="AL759" s="163"/>
      <c r="AM759" s="163"/>
      <c r="AN759" s="161"/>
      <c r="AO759" s="161"/>
      <c r="AP759" s="161"/>
      <c r="AQ759" s="161"/>
      <c r="AR759" s="161"/>
      <c r="AS759" s="119"/>
    </row>
    <row r="760">
      <c r="A760" s="137">
        <v>893.0</v>
      </c>
      <c r="B760" s="122">
        <v>10.0</v>
      </c>
      <c r="C760" s="123" t="s">
        <v>4243</v>
      </c>
      <c r="D760" s="124" t="s">
        <v>48</v>
      </c>
      <c r="E760" s="126" t="s">
        <v>48</v>
      </c>
      <c r="F760" s="144"/>
      <c r="G760" s="87" t="s">
        <v>4244</v>
      </c>
      <c r="H760" s="89" t="s">
        <v>4245</v>
      </c>
      <c r="I760" s="91" t="str">
        <f>HYPERLINK("https://filmfreeway.com/RidgefieldIndependentFilmFestival","https://filmfreeway.com/RidgefieldIndependentFilmFestival")</f>
        <v>https://filmfreeway.com/RidgefieldIndependentFilmFestival</v>
      </c>
      <c r="J760" s="155"/>
      <c r="K760" s="37">
        <v>44119.0</v>
      </c>
      <c r="L760" s="37">
        <v>44122.0</v>
      </c>
      <c r="M760" s="130" t="s">
        <v>4246</v>
      </c>
      <c r="N760" s="130" t="s">
        <v>339</v>
      </c>
      <c r="O760" s="37">
        <v>43924.0</v>
      </c>
      <c r="P760" s="37">
        <v>44032.0</v>
      </c>
      <c r="Q760" s="131"/>
      <c r="R760" s="132"/>
      <c r="S760" s="148" t="s">
        <v>97</v>
      </c>
      <c r="T760" s="118"/>
      <c r="U760" s="176" t="s">
        <v>97</v>
      </c>
      <c r="V760" s="119"/>
      <c r="W760" s="119"/>
      <c r="X760" s="119"/>
      <c r="Y760" s="134"/>
      <c r="Z760" s="119"/>
      <c r="AA760" s="119"/>
      <c r="AB760" s="119"/>
      <c r="AC760" s="119"/>
      <c r="AD760" s="119"/>
      <c r="AE760" s="119"/>
      <c r="AF760" s="119"/>
      <c r="AG760" s="119"/>
      <c r="AH760" s="121"/>
      <c r="AI760" s="121"/>
      <c r="AJ760" s="121"/>
      <c r="AK760" s="121"/>
      <c r="AL760" s="121"/>
      <c r="AM760" s="135"/>
      <c r="AN760" s="119"/>
      <c r="AO760" s="119"/>
      <c r="AP760" s="119"/>
      <c r="AQ760" s="119"/>
      <c r="AR760" s="119"/>
      <c r="AS760" s="119"/>
    </row>
    <row r="761">
      <c r="A761" s="101">
        <v>564.0</v>
      </c>
      <c r="B761" s="150">
        <v>4.0</v>
      </c>
      <c r="C761" s="104" t="s">
        <v>4247</v>
      </c>
      <c r="D761" s="105" t="s">
        <v>48</v>
      </c>
      <c r="E761" s="107" t="s">
        <v>48</v>
      </c>
      <c r="F761" s="101"/>
      <c r="G761" s="40" t="s">
        <v>4248</v>
      </c>
      <c r="H761" s="582" t="s">
        <v>4249</v>
      </c>
      <c r="I761" s="244" t="s">
        <v>4250</v>
      </c>
      <c r="J761" s="735"/>
      <c r="K761" s="37">
        <v>43950.0</v>
      </c>
      <c r="L761" s="37">
        <v>43951.0</v>
      </c>
      <c r="M761" s="73" t="s">
        <v>4251</v>
      </c>
      <c r="N761" s="179" t="s">
        <v>412</v>
      </c>
      <c r="O761" s="37">
        <v>43854.0</v>
      </c>
      <c r="P761" s="37">
        <v>43931.0</v>
      </c>
      <c r="Q761" s="22"/>
      <c r="R761" s="22"/>
      <c r="S761" s="117"/>
      <c r="T761" s="236"/>
      <c r="U761" s="176" t="s">
        <v>97</v>
      </c>
      <c r="V761" s="161"/>
      <c r="W761" s="161"/>
      <c r="X761" s="161"/>
      <c r="Y761" s="161"/>
      <c r="Z761" s="161"/>
      <c r="AA761" s="161"/>
      <c r="AB761" s="161"/>
      <c r="AC761" s="161"/>
      <c r="AD761" s="161"/>
      <c r="AE761" s="161"/>
      <c r="AF761" s="161"/>
      <c r="AG761" s="161"/>
      <c r="AH761" s="163"/>
      <c r="AI761" s="163"/>
      <c r="AJ761" s="163"/>
      <c r="AK761" s="163"/>
      <c r="AL761" s="163"/>
      <c r="AM761" s="163"/>
      <c r="AN761" s="161"/>
      <c r="AO761" s="161"/>
      <c r="AP761" s="161"/>
      <c r="AQ761" s="161"/>
      <c r="AR761" s="161"/>
      <c r="AS761" s="119"/>
    </row>
    <row r="762">
      <c r="A762" s="137">
        <v>565.0</v>
      </c>
      <c r="B762" s="150"/>
      <c r="C762" s="104" t="s">
        <v>4252</v>
      </c>
      <c r="D762" s="105" t="s">
        <v>48</v>
      </c>
      <c r="E762" s="107" t="s">
        <v>48</v>
      </c>
      <c r="F762" s="101"/>
      <c r="G762" s="40" t="s">
        <v>4253</v>
      </c>
      <c r="H762" s="55" t="s">
        <v>4254</v>
      </c>
      <c r="I762" s="69" t="s">
        <v>4255</v>
      </c>
      <c r="J762" s="155"/>
      <c r="K762" s="37">
        <v>43951.0</v>
      </c>
      <c r="L762" s="37">
        <v>43953.0</v>
      </c>
      <c r="M762" s="73" t="s">
        <v>4256</v>
      </c>
      <c r="N762" s="179" t="s">
        <v>561</v>
      </c>
      <c r="O762" s="113">
        <v>43708.0</v>
      </c>
      <c r="P762" s="37">
        <v>43819.0</v>
      </c>
      <c r="Q762" s="22"/>
      <c r="R762" s="22"/>
      <c r="S762" s="117"/>
      <c r="T762" s="236"/>
      <c r="U762" s="176" t="s">
        <v>97</v>
      </c>
      <c r="V762" s="161"/>
      <c r="W762" s="161"/>
      <c r="X762" s="161"/>
      <c r="Y762" s="161"/>
      <c r="Z762" s="161"/>
      <c r="AA762" s="161"/>
      <c r="AB762" s="161"/>
      <c r="AC762" s="161"/>
      <c r="AD762" s="161"/>
      <c r="AE762" s="161"/>
      <c r="AF762" s="161"/>
      <c r="AG762" s="161"/>
      <c r="AH762" s="163"/>
      <c r="AI762" s="163"/>
      <c r="AJ762" s="163"/>
      <c r="AK762" s="163"/>
      <c r="AL762" s="163"/>
      <c r="AM762" s="163"/>
      <c r="AN762" s="161"/>
      <c r="AO762" s="161"/>
      <c r="AP762" s="161"/>
      <c r="AQ762" s="161"/>
      <c r="AR762" s="161"/>
      <c r="AS762" s="119"/>
    </row>
    <row r="763">
      <c r="A763" s="137">
        <v>903.0</v>
      </c>
      <c r="B763" s="284"/>
      <c r="C763" s="123" t="s">
        <v>4257</v>
      </c>
      <c r="D763" s="285" t="s">
        <v>48</v>
      </c>
      <c r="E763" s="287" t="s">
        <v>48</v>
      </c>
      <c r="F763" s="312"/>
      <c r="G763" s="216" t="s">
        <v>4258</v>
      </c>
      <c r="H763" s="89" t="s">
        <v>4259</v>
      </c>
      <c r="I763" s="91" t="str">
        <f>HYPERLINK("https://filmfreeway.com/RiversEdgeInternationalFilmFestival","https://filmfreeway.com/RiversEdgeInternationalFilmFestival")</f>
        <v>https://filmfreeway.com/RiversEdgeInternationalFilmFestival</v>
      </c>
      <c r="J763" s="288"/>
      <c r="K763" s="145">
        <v>44056.0</v>
      </c>
      <c r="L763" s="145">
        <v>44059.0</v>
      </c>
      <c r="M763" s="130" t="s">
        <v>1977</v>
      </c>
      <c r="N763" s="130" t="s">
        <v>1978</v>
      </c>
      <c r="O763" s="145">
        <v>43861.0</v>
      </c>
      <c r="P763" s="145">
        <v>43951.0</v>
      </c>
      <c r="Q763" s="131"/>
      <c r="R763" s="132"/>
      <c r="S763" s="132"/>
      <c r="T763" s="118"/>
      <c r="U763" s="176" t="s">
        <v>97</v>
      </c>
      <c r="V763" s="119"/>
      <c r="W763" s="119"/>
      <c r="X763" s="119"/>
      <c r="Y763" s="134"/>
      <c r="Z763" s="119"/>
      <c r="AA763" s="119"/>
      <c r="AB763" s="119"/>
      <c r="AC763" s="119"/>
      <c r="AD763" s="119"/>
      <c r="AE763" s="119"/>
      <c r="AF763" s="119"/>
      <c r="AG763" s="119"/>
      <c r="AH763" s="121"/>
      <c r="AI763" s="121"/>
      <c r="AJ763" s="121"/>
      <c r="AK763" s="121"/>
      <c r="AL763" s="121"/>
      <c r="AM763" s="135"/>
      <c r="AN763" s="119"/>
      <c r="AO763" s="119"/>
      <c r="AP763" s="119"/>
      <c r="AQ763" s="119"/>
      <c r="AR763" s="119"/>
      <c r="AS763" s="119"/>
    </row>
    <row r="764">
      <c r="A764" s="137">
        <v>566.0</v>
      </c>
      <c r="B764" s="177"/>
      <c r="C764" s="104" t="s">
        <v>4260</v>
      </c>
      <c r="D764" s="105" t="s">
        <v>48</v>
      </c>
      <c r="E764" s="107" t="s">
        <v>48</v>
      </c>
      <c r="F764" s="178"/>
      <c r="G764" s="77" t="s">
        <v>4261</v>
      </c>
      <c r="H764" s="81" t="s">
        <v>4262</v>
      </c>
      <c r="I764" s="84" t="s">
        <v>4263</v>
      </c>
      <c r="J764" s="344"/>
      <c r="K764" s="152">
        <v>44056.0</v>
      </c>
      <c r="L764" s="152">
        <v>44059.0</v>
      </c>
      <c r="M764" s="85" t="s">
        <v>1977</v>
      </c>
      <c r="N764" s="85" t="s">
        <v>1978</v>
      </c>
      <c r="O764" s="113">
        <v>43861.0</v>
      </c>
      <c r="P764" s="113">
        <v>43951.0</v>
      </c>
      <c r="Q764" s="373"/>
      <c r="R764" s="373"/>
      <c r="S764" s="224"/>
      <c r="T764" s="181"/>
      <c r="U764" s="182" t="s">
        <v>97</v>
      </c>
      <c r="V764" s="184"/>
      <c r="W764" s="184"/>
      <c r="X764" s="184"/>
      <c r="Y764" s="184"/>
      <c r="Z764" s="184"/>
      <c r="AA764" s="184"/>
      <c r="AB764" s="184"/>
      <c r="AC764" s="184"/>
      <c r="AD764" s="186"/>
      <c r="AE764" s="187"/>
      <c r="AF764" s="184"/>
      <c r="AG764" s="187"/>
      <c r="AH764" s="189"/>
      <c r="AI764" s="189"/>
      <c r="AJ764" s="189"/>
      <c r="AK764" s="189"/>
      <c r="AL764" s="189"/>
      <c r="AM764" s="189"/>
      <c r="AN764" s="187"/>
      <c r="AO764" s="187"/>
      <c r="AP764" s="184"/>
      <c r="AQ764" s="187"/>
      <c r="AR764" s="187"/>
      <c r="AS764" s="119"/>
    </row>
    <row r="765">
      <c r="A765" s="101">
        <v>567.0</v>
      </c>
      <c r="B765" s="173"/>
      <c r="C765" s="104" t="s">
        <v>4264</v>
      </c>
      <c r="D765" s="105" t="s">
        <v>48</v>
      </c>
      <c r="E765" s="107" t="s">
        <v>48</v>
      </c>
      <c r="F765" s="228"/>
      <c r="G765" s="183" t="s">
        <v>912</v>
      </c>
      <c r="H765" s="81" t="s">
        <v>913</v>
      </c>
      <c r="I765" s="175" t="s">
        <v>914</v>
      </c>
      <c r="J765" s="20" t="s">
        <v>4265</v>
      </c>
      <c r="K765" s="37">
        <v>43916.0</v>
      </c>
      <c r="L765" s="37">
        <v>43926.0</v>
      </c>
      <c r="M765" s="85" t="s">
        <v>919</v>
      </c>
      <c r="N765" s="85" t="s">
        <v>159</v>
      </c>
      <c r="O765" s="113">
        <v>43709.0</v>
      </c>
      <c r="P765" s="37">
        <v>43800.0</v>
      </c>
      <c r="Q765" s="200" t="s">
        <v>222</v>
      </c>
      <c r="R765" s="200" t="s">
        <v>222</v>
      </c>
      <c r="S765" s="203" t="s">
        <v>97</v>
      </c>
      <c r="T765" s="181"/>
      <c r="U765" s="182" t="s">
        <v>97</v>
      </c>
      <c r="V765" s="184"/>
      <c r="W765" s="184"/>
      <c r="X765" s="184"/>
      <c r="Y765" s="184"/>
      <c r="Z765" s="184"/>
      <c r="AA765" s="184"/>
      <c r="AB765" s="184"/>
      <c r="AC765" s="184"/>
      <c r="AD765" s="186"/>
      <c r="AE765" s="187"/>
      <c r="AF765" s="184"/>
      <c r="AG765" s="187"/>
      <c r="AH765" s="189"/>
      <c r="AI765" s="189"/>
      <c r="AJ765" s="189"/>
      <c r="AK765" s="189"/>
      <c r="AL765" s="189"/>
      <c r="AM765" s="189"/>
      <c r="AN765" s="187"/>
      <c r="AO765" s="187"/>
      <c r="AP765" s="184"/>
      <c r="AQ765" s="187"/>
      <c r="AR765" s="187"/>
      <c r="AS765" s="119"/>
    </row>
    <row r="766">
      <c r="A766" s="137">
        <v>568.0</v>
      </c>
      <c r="B766" s="177"/>
      <c r="C766" s="104" t="s">
        <v>4266</v>
      </c>
      <c r="D766" s="105" t="s">
        <v>48</v>
      </c>
      <c r="E766" s="107" t="s">
        <v>48</v>
      </c>
      <c r="F766" s="178"/>
      <c r="G766" s="77" t="s">
        <v>4267</v>
      </c>
      <c r="H766" s="81" t="s">
        <v>4268</v>
      </c>
      <c r="I766" s="84" t="s">
        <v>4269</v>
      </c>
      <c r="J766" s="155"/>
      <c r="K766" s="37">
        <v>43932.0</v>
      </c>
      <c r="L766" s="37">
        <v>43932.0</v>
      </c>
      <c r="M766" s="85" t="s">
        <v>4270</v>
      </c>
      <c r="N766" s="85" t="s">
        <v>72</v>
      </c>
      <c r="O766" s="113">
        <v>43802.0</v>
      </c>
      <c r="P766" s="37">
        <v>43876.0</v>
      </c>
      <c r="Q766" s="22"/>
      <c r="R766" s="22"/>
      <c r="S766" s="117"/>
      <c r="T766" s="181"/>
      <c r="U766" s="182" t="s">
        <v>97</v>
      </c>
      <c r="V766" s="184"/>
      <c r="W766" s="184"/>
      <c r="X766" s="184"/>
      <c r="Y766" s="184"/>
      <c r="Z766" s="184"/>
      <c r="AA766" s="184"/>
      <c r="AB766" s="184"/>
      <c r="AC766" s="184"/>
      <c r="AD766" s="186"/>
      <c r="AE766" s="187"/>
      <c r="AF766" s="184"/>
      <c r="AG766" s="187"/>
      <c r="AH766" s="189"/>
      <c r="AI766" s="189"/>
      <c r="AJ766" s="189"/>
      <c r="AK766" s="189"/>
      <c r="AL766" s="189"/>
      <c r="AM766" s="189"/>
      <c r="AN766" s="187"/>
      <c r="AO766" s="187"/>
      <c r="AP766" s="184"/>
      <c r="AQ766" s="187"/>
      <c r="AR766" s="187"/>
      <c r="AS766" s="119"/>
    </row>
    <row r="767">
      <c r="A767" s="137">
        <v>569.0</v>
      </c>
      <c r="B767" s="150">
        <v>4.0</v>
      </c>
      <c r="C767" s="104" t="s">
        <v>4271</v>
      </c>
      <c r="D767" s="105" t="s">
        <v>88</v>
      </c>
      <c r="E767" s="107" t="s">
        <v>3229</v>
      </c>
      <c r="F767" s="101"/>
      <c r="G767" s="40" t="s">
        <v>4272</v>
      </c>
      <c r="H767" s="55" t="s">
        <v>4273</v>
      </c>
      <c r="I767" s="69" t="s">
        <v>4274</v>
      </c>
      <c r="J767" s="155"/>
      <c r="K767" s="22" t="s">
        <v>27</v>
      </c>
      <c r="L767" s="22" t="s">
        <v>27</v>
      </c>
      <c r="M767" s="73" t="s">
        <v>419</v>
      </c>
      <c r="N767" s="179" t="s">
        <v>29</v>
      </c>
      <c r="O767" s="22" t="s">
        <v>27</v>
      </c>
      <c r="P767" s="22" t="s">
        <v>27</v>
      </c>
      <c r="Q767" s="22"/>
      <c r="R767" s="22"/>
      <c r="S767" s="117"/>
      <c r="T767" s="236"/>
      <c r="U767" s="161"/>
      <c r="V767" s="161"/>
      <c r="W767" s="120" t="s">
        <v>97</v>
      </c>
      <c r="X767" s="161"/>
      <c r="Y767" s="161"/>
      <c r="Z767" s="161"/>
      <c r="AA767" s="161"/>
      <c r="AB767" s="161"/>
      <c r="AC767" s="161"/>
      <c r="AD767" s="161"/>
      <c r="AE767" s="161"/>
      <c r="AF767" s="161"/>
      <c r="AG767" s="161"/>
      <c r="AH767" s="163"/>
      <c r="AI767" s="163"/>
      <c r="AJ767" s="163"/>
      <c r="AK767" s="163"/>
      <c r="AL767" s="163"/>
      <c r="AM767" s="163"/>
      <c r="AN767" s="161"/>
      <c r="AO767" s="161"/>
      <c r="AP767" s="368" t="s">
        <v>97</v>
      </c>
      <c r="AQ767" s="161"/>
      <c r="AR767" s="161"/>
      <c r="AS767" s="119"/>
    </row>
    <row r="768">
      <c r="A768" s="101">
        <v>570.0</v>
      </c>
      <c r="B768" s="177"/>
      <c r="C768" s="104" t="s">
        <v>4275</v>
      </c>
      <c r="D768" s="105" t="s">
        <v>48</v>
      </c>
      <c r="E768" s="107" t="s">
        <v>48</v>
      </c>
      <c r="F768" s="178"/>
      <c r="G768" s="77" t="s">
        <v>4276</v>
      </c>
      <c r="H768" s="81" t="s">
        <v>4277</v>
      </c>
      <c r="I768" s="84" t="s">
        <v>4278</v>
      </c>
      <c r="J768" s="155"/>
      <c r="K768" s="37">
        <v>43993.0</v>
      </c>
      <c r="L768" s="37">
        <v>43995.0</v>
      </c>
      <c r="M768" s="85" t="s">
        <v>419</v>
      </c>
      <c r="N768" s="85" t="s">
        <v>29</v>
      </c>
      <c r="O768" s="113">
        <v>43800.0</v>
      </c>
      <c r="P768" s="37">
        <v>43862.0</v>
      </c>
      <c r="Q768" s="22"/>
      <c r="R768" s="22"/>
      <c r="S768" s="117"/>
      <c r="T768" s="181"/>
      <c r="U768" s="182" t="s">
        <v>97</v>
      </c>
      <c r="V768" s="184"/>
      <c r="W768" s="184"/>
      <c r="X768" s="184"/>
      <c r="Y768" s="184"/>
      <c r="Z768" s="184"/>
      <c r="AA768" s="184"/>
      <c r="AB768" s="184"/>
      <c r="AC768" s="184"/>
      <c r="AD768" s="186"/>
      <c r="AE768" s="187"/>
      <c r="AF768" s="184"/>
      <c r="AG768" s="187"/>
      <c r="AH768" s="189"/>
      <c r="AI768" s="189"/>
      <c r="AJ768" s="189"/>
      <c r="AK768" s="189"/>
      <c r="AL768" s="189"/>
      <c r="AM768" s="189"/>
      <c r="AN768" s="187"/>
      <c r="AO768" s="187"/>
      <c r="AP768" s="184"/>
      <c r="AQ768" s="187"/>
      <c r="AR768" s="187"/>
      <c r="AS768" s="119"/>
    </row>
    <row r="769">
      <c r="A769" s="137">
        <v>571.0</v>
      </c>
      <c r="B769" s="173"/>
      <c r="C769" s="761" t="s">
        <v>4279</v>
      </c>
      <c r="D769" s="296" t="s">
        <v>55</v>
      </c>
      <c r="E769" s="297" t="s">
        <v>55</v>
      </c>
      <c r="F769" s="101"/>
      <c r="G769" s="40" t="s">
        <v>647</v>
      </c>
      <c r="H769" s="55" t="s">
        <v>648</v>
      </c>
      <c r="I769" s="289" t="s">
        <v>24</v>
      </c>
      <c r="J769" s="20" t="s">
        <v>649</v>
      </c>
      <c r="K769" s="37">
        <v>43919.0</v>
      </c>
      <c r="L769" s="37">
        <v>43951.0</v>
      </c>
      <c r="M769" s="290" t="s">
        <v>650</v>
      </c>
      <c r="N769" s="290" t="s">
        <v>29</v>
      </c>
      <c r="O769" s="152" t="s">
        <v>24</v>
      </c>
      <c r="P769" s="152" t="s">
        <v>24</v>
      </c>
      <c r="Q769" s="373"/>
      <c r="R769" s="373"/>
      <c r="S769" s="224"/>
      <c r="T769" s="141"/>
      <c r="U769" s="119"/>
      <c r="V769" s="119"/>
      <c r="W769" s="119"/>
      <c r="X769" s="119"/>
      <c r="Y769" s="119"/>
      <c r="Z769" s="299" t="s">
        <v>97</v>
      </c>
      <c r="AA769" s="119"/>
      <c r="AB769" s="119"/>
      <c r="AC769" s="119"/>
      <c r="AD769" s="119"/>
      <c r="AE769" s="119"/>
      <c r="AF769" s="119"/>
      <c r="AG769" s="119"/>
      <c r="AH769" s="121"/>
      <c r="AI769" s="121"/>
      <c r="AJ769" s="121"/>
      <c r="AK769" s="121"/>
      <c r="AL769" s="121"/>
      <c r="AM769" s="121"/>
      <c r="AN769" s="119"/>
      <c r="AO769" s="119"/>
      <c r="AP769" s="119"/>
      <c r="AQ769" s="119"/>
      <c r="AR769" s="119"/>
      <c r="AS769" s="119"/>
    </row>
    <row r="770">
      <c r="A770" s="137">
        <v>572.0</v>
      </c>
      <c r="B770" s="150"/>
      <c r="C770" s="104" t="s">
        <v>4280</v>
      </c>
      <c r="D770" s="105" t="s">
        <v>70</v>
      </c>
      <c r="E770" s="107" t="s">
        <v>70</v>
      </c>
      <c r="F770" s="101"/>
      <c r="G770" s="40" t="s">
        <v>4281</v>
      </c>
      <c r="H770" s="55" t="s">
        <v>4282</v>
      </c>
      <c r="I770" s="69" t="s">
        <v>4283</v>
      </c>
      <c r="J770" s="155"/>
      <c r="K770" s="37">
        <v>43988.0</v>
      </c>
      <c r="L770" s="37">
        <v>43989.0</v>
      </c>
      <c r="M770" s="73" t="s">
        <v>4284</v>
      </c>
      <c r="N770" s="179" t="s">
        <v>29</v>
      </c>
      <c r="O770" s="113">
        <v>43770.0</v>
      </c>
      <c r="P770" s="37">
        <v>43770.0</v>
      </c>
      <c r="Q770" s="22"/>
      <c r="R770" s="22"/>
      <c r="S770" s="117"/>
      <c r="T770" s="236"/>
      <c r="U770" s="161"/>
      <c r="V770" s="161"/>
      <c r="W770" s="161"/>
      <c r="X770" s="161"/>
      <c r="Y770" s="161"/>
      <c r="Z770" s="161"/>
      <c r="AA770" s="161"/>
      <c r="AB770" s="161"/>
      <c r="AC770" s="161"/>
      <c r="AD770" s="161"/>
      <c r="AE770" s="161"/>
      <c r="AF770" s="161"/>
      <c r="AG770" s="161"/>
      <c r="AH770" s="163"/>
      <c r="AI770" s="163"/>
      <c r="AJ770" s="163"/>
      <c r="AK770" s="163"/>
      <c r="AL770" s="149" t="s">
        <v>97</v>
      </c>
      <c r="AM770" s="163"/>
      <c r="AN770" s="161"/>
      <c r="AO770" s="161"/>
      <c r="AP770" s="161"/>
      <c r="AQ770" s="161"/>
      <c r="AR770" s="161"/>
      <c r="AS770" s="119"/>
    </row>
    <row r="771">
      <c r="A771" s="101">
        <v>856.0</v>
      </c>
      <c r="B771" s="103">
        <v>11.0</v>
      </c>
      <c r="C771" s="104" t="s">
        <v>4285</v>
      </c>
      <c r="D771" s="105" t="s">
        <v>48</v>
      </c>
      <c r="E771" s="107" t="s">
        <v>48</v>
      </c>
      <c r="F771" s="109"/>
      <c r="G771" s="10" t="s">
        <v>4286</v>
      </c>
      <c r="H771" s="17" t="s">
        <v>4287</v>
      </c>
      <c r="I771" s="111" t="s">
        <v>4288</v>
      </c>
      <c r="J771" s="155"/>
      <c r="K771" s="22" t="s">
        <v>27</v>
      </c>
      <c r="L771" s="22" t="s">
        <v>27</v>
      </c>
      <c r="M771" s="24" t="s">
        <v>4289</v>
      </c>
      <c r="N771" s="24" t="s">
        <v>102</v>
      </c>
      <c r="O771" s="22" t="s">
        <v>27</v>
      </c>
      <c r="P771" s="22" t="s">
        <v>27</v>
      </c>
      <c r="Q771" s="223"/>
      <c r="R771" s="223"/>
      <c r="S771" s="224"/>
      <c r="T771" s="118"/>
      <c r="U771" s="176" t="s">
        <v>97</v>
      </c>
      <c r="V771" s="119"/>
      <c r="W771" s="119"/>
      <c r="X771" s="119"/>
      <c r="Y771" s="119"/>
      <c r="Z771" s="119"/>
      <c r="AA771" s="119"/>
      <c r="AB771" s="119"/>
      <c r="AC771" s="119"/>
      <c r="AD771" s="119"/>
      <c r="AE771" s="119"/>
      <c r="AF771" s="119"/>
      <c r="AG771" s="119"/>
      <c r="AH771" s="121"/>
      <c r="AI771" s="121"/>
      <c r="AJ771" s="121"/>
      <c r="AK771" s="121"/>
      <c r="AL771" s="121"/>
      <c r="AM771" s="121"/>
      <c r="AN771" s="119"/>
      <c r="AO771" s="119"/>
      <c r="AP771" s="119"/>
      <c r="AQ771" s="119"/>
      <c r="AR771" s="119"/>
      <c r="AS771" s="119"/>
    </row>
    <row r="772">
      <c r="A772" s="137">
        <v>573.0</v>
      </c>
      <c r="B772" s="762">
        <v>11.0</v>
      </c>
      <c r="C772" s="763" t="s">
        <v>4290</v>
      </c>
      <c r="D772" s="105" t="s">
        <v>51</v>
      </c>
      <c r="E772" s="107" t="s">
        <v>4291</v>
      </c>
      <c r="F772" s="190"/>
      <c r="G772" s="192" t="s">
        <v>4292</v>
      </c>
      <c r="H772" s="81" t="s">
        <v>4293</v>
      </c>
      <c r="I772" s="764" t="s">
        <v>24</v>
      </c>
      <c r="J772" s="155"/>
      <c r="K772" s="37">
        <v>44148.0</v>
      </c>
      <c r="L772" s="37">
        <v>44150.0</v>
      </c>
      <c r="M772" s="73" t="s">
        <v>4294</v>
      </c>
      <c r="N772" s="73" t="s">
        <v>110</v>
      </c>
      <c r="O772" s="37">
        <v>43905.0</v>
      </c>
      <c r="P772" s="37">
        <v>44012.0</v>
      </c>
      <c r="Q772" s="201"/>
      <c r="R772" s="201"/>
      <c r="S772" s="203" t="s">
        <v>97</v>
      </c>
      <c r="T772" s="157"/>
      <c r="U772" s="194"/>
      <c r="V772" s="195" t="s">
        <v>97</v>
      </c>
      <c r="W772" s="194"/>
      <c r="X772" s="295" t="s">
        <v>97</v>
      </c>
      <c r="Y772" s="194"/>
      <c r="Z772" s="194"/>
      <c r="AA772" s="194"/>
      <c r="AB772" s="194"/>
      <c r="AC772" s="194"/>
      <c r="AD772" s="186"/>
      <c r="AE772" s="187"/>
      <c r="AF772" s="194"/>
      <c r="AG772" s="187"/>
      <c r="AH772" s="189"/>
      <c r="AI772" s="189"/>
      <c r="AJ772" s="189"/>
      <c r="AK772" s="189"/>
      <c r="AL772" s="189"/>
      <c r="AM772" s="189"/>
      <c r="AN772" s="187"/>
      <c r="AO772" s="187"/>
      <c r="AP772" s="194"/>
      <c r="AQ772" s="187"/>
      <c r="AR772" s="187"/>
      <c r="AS772" s="119"/>
    </row>
    <row r="773">
      <c r="A773" s="101">
        <v>988.0</v>
      </c>
      <c r="B773" s="122">
        <v>6.0</v>
      </c>
      <c r="C773" s="123" t="s">
        <v>2613</v>
      </c>
      <c r="D773" s="124" t="s">
        <v>71</v>
      </c>
      <c r="E773" s="126" t="s">
        <v>71</v>
      </c>
      <c r="F773" s="144"/>
      <c r="G773" s="87" t="s">
        <v>4295</v>
      </c>
      <c r="H773" s="89" t="s">
        <v>4296</v>
      </c>
      <c r="I773" s="91" t="str">
        <f>HYPERLINK("https://www.romcomfest.com/","https://www.romcomfest.com/")</f>
        <v>https://www.romcomfest.com/</v>
      </c>
      <c r="J773" s="155"/>
      <c r="K773" s="37">
        <v>44007.0</v>
      </c>
      <c r="L773" s="37">
        <v>44010.0</v>
      </c>
      <c r="M773" s="130" t="s">
        <v>221</v>
      </c>
      <c r="N773" s="130" t="s">
        <v>72</v>
      </c>
      <c r="O773" s="37">
        <v>43840.0</v>
      </c>
      <c r="P773" s="37">
        <v>43941.0</v>
      </c>
      <c r="Q773" s="131"/>
      <c r="R773" s="132"/>
      <c r="S773" s="148" t="s">
        <v>97</v>
      </c>
      <c r="T773" s="118"/>
      <c r="U773" s="119"/>
      <c r="V773" s="119"/>
      <c r="W773" s="119"/>
      <c r="X773" s="119"/>
      <c r="Y773" s="134"/>
      <c r="Z773" s="119"/>
      <c r="AA773" s="119"/>
      <c r="AB773" s="119"/>
      <c r="AC773" s="119"/>
      <c r="AD773" s="119"/>
      <c r="AE773" s="119"/>
      <c r="AF773" s="119"/>
      <c r="AG773" s="119"/>
      <c r="AH773" s="121"/>
      <c r="AI773" s="121"/>
      <c r="AJ773" s="121"/>
      <c r="AK773" s="121"/>
      <c r="AL773" s="121"/>
      <c r="AM773" s="165" t="s">
        <v>97</v>
      </c>
      <c r="AN773" s="119"/>
      <c r="AO773" s="119"/>
      <c r="AP773" s="119"/>
      <c r="AQ773" s="119"/>
      <c r="AR773" s="119"/>
      <c r="AS773" s="119"/>
    </row>
    <row r="774">
      <c r="A774" s="137">
        <v>575.0</v>
      </c>
      <c r="B774" s="177">
        <v>11.0</v>
      </c>
      <c r="C774" s="104" t="s">
        <v>4297</v>
      </c>
      <c r="D774" s="105" t="s">
        <v>48</v>
      </c>
      <c r="E774" s="107" t="s">
        <v>48</v>
      </c>
      <c r="F774" s="178"/>
      <c r="G774" s="77" t="s">
        <v>4298</v>
      </c>
      <c r="H774" s="81" t="s">
        <v>4299</v>
      </c>
      <c r="I774" s="84" t="s">
        <v>4300</v>
      </c>
      <c r="J774" s="710"/>
      <c r="K774" s="711">
        <v>44147.0</v>
      </c>
      <c r="L774" s="711">
        <v>44150.0</v>
      </c>
      <c r="M774" s="85" t="s">
        <v>4301</v>
      </c>
      <c r="N774" s="85" t="s">
        <v>19</v>
      </c>
      <c r="O774" s="711">
        <v>43905.0</v>
      </c>
      <c r="P774" s="711">
        <v>44058.0</v>
      </c>
      <c r="Q774" s="22"/>
      <c r="R774" s="22"/>
      <c r="S774" s="193" t="s">
        <v>97</v>
      </c>
      <c r="T774" s="181"/>
      <c r="U774" s="182" t="s">
        <v>97</v>
      </c>
      <c r="V774" s="184"/>
      <c r="W774" s="184"/>
      <c r="X774" s="184"/>
      <c r="Y774" s="184"/>
      <c r="Z774" s="184"/>
      <c r="AA774" s="184"/>
      <c r="AB774" s="184"/>
      <c r="AC774" s="184"/>
      <c r="AD774" s="186"/>
      <c r="AE774" s="187"/>
      <c r="AF774" s="184"/>
      <c r="AG774" s="187"/>
      <c r="AH774" s="189"/>
      <c r="AI774" s="189"/>
      <c r="AJ774" s="189"/>
      <c r="AK774" s="189"/>
      <c r="AL774" s="189"/>
      <c r="AM774" s="189"/>
      <c r="AN774" s="187"/>
      <c r="AO774" s="187"/>
      <c r="AP774" s="184"/>
      <c r="AQ774" s="187"/>
      <c r="AR774" s="187"/>
      <c r="AS774" s="119"/>
    </row>
    <row r="775">
      <c r="A775" s="137">
        <v>576.0</v>
      </c>
      <c r="B775" s="177"/>
      <c r="C775" s="104" t="s">
        <v>4302</v>
      </c>
      <c r="D775" s="105" t="s">
        <v>48</v>
      </c>
      <c r="E775" s="107" t="s">
        <v>48</v>
      </c>
      <c r="F775" s="228"/>
      <c r="G775" s="183" t="s">
        <v>4303</v>
      </c>
      <c r="H775" s="81" t="s">
        <v>4304</v>
      </c>
      <c r="I775" s="84" t="s">
        <v>4305</v>
      </c>
      <c r="J775" s="735"/>
      <c r="K775" s="736">
        <v>43966.0</v>
      </c>
      <c r="L775" s="736">
        <v>44064.0</v>
      </c>
      <c r="M775" s="85" t="s">
        <v>196</v>
      </c>
      <c r="N775" s="85" t="s">
        <v>29</v>
      </c>
      <c r="O775" s="757">
        <v>43798.0</v>
      </c>
      <c r="P775" s="736">
        <v>43875.0</v>
      </c>
      <c r="Q775" s="22"/>
      <c r="R775" s="22"/>
      <c r="S775" s="117"/>
      <c r="T775" s="181"/>
      <c r="U775" s="182" t="s">
        <v>97</v>
      </c>
      <c r="V775" s="184"/>
      <c r="W775" s="184"/>
      <c r="X775" s="184"/>
      <c r="Y775" s="184"/>
      <c r="Z775" s="184"/>
      <c r="AA775" s="184"/>
      <c r="AB775" s="184"/>
      <c r="AC775" s="184"/>
      <c r="AD775" s="186"/>
      <c r="AE775" s="187"/>
      <c r="AF775" s="184"/>
      <c r="AG775" s="187"/>
      <c r="AH775" s="189"/>
      <c r="AI775" s="677"/>
      <c r="AJ775" s="189"/>
      <c r="AK775" s="189"/>
      <c r="AL775" s="189"/>
      <c r="AM775" s="189"/>
      <c r="AN775" s="187"/>
      <c r="AO775" s="187"/>
      <c r="AP775" s="184"/>
      <c r="AQ775" s="187"/>
      <c r="AR775" s="187"/>
      <c r="AS775" s="119"/>
    </row>
    <row r="776">
      <c r="A776" s="101">
        <v>577.0</v>
      </c>
      <c r="B776" s="150"/>
      <c r="C776" s="104" t="s">
        <v>4306</v>
      </c>
      <c r="D776" s="138" t="s">
        <v>63</v>
      </c>
      <c r="E776" s="107" t="s">
        <v>1297</v>
      </c>
      <c r="F776" s="101"/>
      <c r="G776" s="40" t="s">
        <v>4307</v>
      </c>
      <c r="H776" s="55" t="s">
        <v>4308</v>
      </c>
      <c r="I776" s="69" t="s">
        <v>4309</v>
      </c>
      <c r="J776" s="155"/>
      <c r="K776" s="37">
        <v>44015.0</v>
      </c>
      <c r="L776" s="37">
        <v>44017.0</v>
      </c>
      <c r="M776" s="73" t="s">
        <v>4310</v>
      </c>
      <c r="N776" s="179" t="s">
        <v>430</v>
      </c>
      <c r="O776" s="113">
        <v>43799.0</v>
      </c>
      <c r="P776" s="37">
        <v>43890.0</v>
      </c>
      <c r="Q776" s="22"/>
      <c r="R776" s="22"/>
      <c r="S776" s="117"/>
      <c r="T776" s="236"/>
      <c r="U776" s="161"/>
      <c r="V776" s="161"/>
      <c r="W776" s="161"/>
      <c r="X776" s="161"/>
      <c r="Y776" s="161"/>
      <c r="Z776" s="161"/>
      <c r="AA776" s="161"/>
      <c r="AB776" s="161"/>
      <c r="AC776" s="161"/>
      <c r="AD776" s="161"/>
      <c r="AE776" s="161"/>
      <c r="AF776" s="161"/>
      <c r="AG776" s="275" t="s">
        <v>97</v>
      </c>
      <c r="AH776" s="163"/>
      <c r="AI776" s="163"/>
      <c r="AJ776" s="163"/>
      <c r="AK776" s="163"/>
      <c r="AL776" s="163"/>
      <c r="AM776" s="163"/>
      <c r="AN776" s="161"/>
      <c r="AO776" s="161"/>
      <c r="AP776" s="161"/>
      <c r="AQ776" s="161"/>
      <c r="AR776" s="161"/>
      <c r="AS776" s="119"/>
    </row>
    <row r="777">
      <c r="A777" s="137">
        <v>857.0</v>
      </c>
      <c r="B777" s="103"/>
      <c r="C777" s="104" t="s">
        <v>4311</v>
      </c>
      <c r="D777" s="105" t="s">
        <v>48</v>
      </c>
      <c r="E777" s="107" t="s">
        <v>48</v>
      </c>
      <c r="F777" s="109"/>
      <c r="G777" s="10" t="s">
        <v>4312</v>
      </c>
      <c r="H777" s="17" t="s">
        <v>4313</v>
      </c>
      <c r="I777" s="111" t="s">
        <v>4314</v>
      </c>
      <c r="J777" s="112"/>
      <c r="K777" s="113">
        <v>44157.0</v>
      </c>
      <c r="L777" s="113">
        <v>44158.0</v>
      </c>
      <c r="M777" s="24" t="s">
        <v>1098</v>
      </c>
      <c r="N777" s="24" t="s">
        <v>231</v>
      </c>
      <c r="O777" s="114">
        <v>43556.0</v>
      </c>
      <c r="P777" s="114">
        <v>43699.0</v>
      </c>
      <c r="Q777" s="223"/>
      <c r="R777" s="223"/>
      <c r="S777" s="224"/>
      <c r="T777" s="118"/>
      <c r="U777" s="176" t="s">
        <v>97</v>
      </c>
      <c r="V777" s="119"/>
      <c r="W777" s="119"/>
      <c r="X777" s="119"/>
      <c r="Y777" s="119"/>
      <c r="Z777" s="119"/>
      <c r="AA777" s="119"/>
      <c r="AB777" s="119"/>
      <c r="AC777" s="119"/>
      <c r="AD777" s="119"/>
      <c r="AE777" s="119"/>
      <c r="AF777" s="119"/>
      <c r="AG777" s="119"/>
      <c r="AH777" s="121"/>
      <c r="AI777" s="121"/>
      <c r="AJ777" s="121"/>
      <c r="AK777" s="121"/>
      <c r="AL777" s="121"/>
      <c r="AM777" s="121"/>
      <c r="AN777" s="119"/>
      <c r="AO777" s="119"/>
      <c r="AP777" s="119"/>
      <c r="AQ777" s="119"/>
      <c r="AR777" s="119"/>
      <c r="AS777" s="119"/>
    </row>
    <row r="778">
      <c r="A778" s="137">
        <v>578.0</v>
      </c>
      <c r="B778" s="150"/>
      <c r="C778" s="104" t="s">
        <v>4315</v>
      </c>
      <c r="D778" s="138" t="s">
        <v>62</v>
      </c>
      <c r="E778" s="107" t="s">
        <v>523</v>
      </c>
      <c r="F778" s="101"/>
      <c r="G778" s="40" t="s">
        <v>4316</v>
      </c>
      <c r="H778" s="55" t="s">
        <v>4317</v>
      </c>
      <c r="I778" s="69" t="s">
        <v>4318</v>
      </c>
      <c r="J778" s="155"/>
      <c r="K778" s="37">
        <v>43999.0</v>
      </c>
      <c r="L778" s="37">
        <v>44009.0</v>
      </c>
      <c r="M778" s="73" t="s">
        <v>447</v>
      </c>
      <c r="N778" s="179" t="s">
        <v>80</v>
      </c>
      <c r="O778" s="113">
        <v>43857.0</v>
      </c>
      <c r="P778" s="37">
        <v>43899.0</v>
      </c>
      <c r="Q778" s="22"/>
      <c r="R778" s="22"/>
      <c r="S778" s="193" t="s">
        <v>97</v>
      </c>
      <c r="T778" s="236"/>
      <c r="U778" s="161"/>
      <c r="V778" s="161"/>
      <c r="W778" s="161"/>
      <c r="X778" s="161"/>
      <c r="Y778" s="161"/>
      <c r="Z778" s="161"/>
      <c r="AA778" s="161"/>
      <c r="AB778" s="161"/>
      <c r="AC778" s="161"/>
      <c r="AD778" s="161"/>
      <c r="AE778" s="161"/>
      <c r="AF778" s="548" t="s">
        <v>97</v>
      </c>
      <c r="AG778" s="161"/>
      <c r="AH778" s="163"/>
      <c r="AI778" s="163"/>
      <c r="AJ778" s="163"/>
      <c r="AK778" s="163"/>
      <c r="AL778" s="163"/>
      <c r="AM778" s="163"/>
      <c r="AN778" s="161"/>
      <c r="AO778" s="161"/>
      <c r="AP778" s="161"/>
      <c r="AQ778" s="161"/>
      <c r="AR778" s="161"/>
      <c r="AS778" s="119"/>
    </row>
    <row r="779">
      <c r="A779" s="137">
        <v>579.0</v>
      </c>
      <c r="B779" s="150"/>
      <c r="C779" s="104" t="s">
        <v>4319</v>
      </c>
      <c r="D779" s="105" t="s">
        <v>48</v>
      </c>
      <c r="E779" s="107" t="s">
        <v>48</v>
      </c>
      <c r="F779" s="101"/>
      <c r="G779" s="40" t="s">
        <v>4320</v>
      </c>
      <c r="H779" s="55" t="s">
        <v>4321</v>
      </c>
      <c r="I779" s="69" t="s">
        <v>4322</v>
      </c>
      <c r="J779" s="155"/>
      <c r="K779" s="37">
        <v>44078.0</v>
      </c>
      <c r="L779" s="37">
        <v>44087.0</v>
      </c>
      <c r="M779" s="73" t="s">
        <v>4323</v>
      </c>
      <c r="N779" s="179" t="s">
        <v>155</v>
      </c>
      <c r="O779" s="113">
        <v>43830.0</v>
      </c>
      <c r="P779" s="37">
        <v>43982.0</v>
      </c>
      <c r="Q779" s="22"/>
      <c r="R779" s="22"/>
      <c r="S779" s="193" t="s">
        <v>97</v>
      </c>
      <c r="T779" s="236"/>
      <c r="U779" s="176" t="s">
        <v>97</v>
      </c>
      <c r="V779" s="161"/>
      <c r="W779" s="161"/>
      <c r="X779" s="161"/>
      <c r="Y779" s="161"/>
      <c r="Z779" s="161"/>
      <c r="AA779" s="161"/>
      <c r="AB779" s="161"/>
      <c r="AC779" s="161"/>
      <c r="AD779" s="161"/>
      <c r="AE779" s="161"/>
      <c r="AF779" s="161"/>
      <c r="AG779" s="161"/>
      <c r="AH779" s="163"/>
      <c r="AI779" s="163"/>
      <c r="AJ779" s="163"/>
      <c r="AK779" s="163"/>
      <c r="AL779" s="163"/>
      <c r="AM779" s="163"/>
      <c r="AN779" s="161"/>
      <c r="AO779" s="161"/>
      <c r="AP779" s="161"/>
      <c r="AQ779" s="161"/>
      <c r="AR779" s="161"/>
      <c r="AS779" s="119"/>
    </row>
    <row r="780">
      <c r="A780" s="101">
        <v>580.0</v>
      </c>
      <c r="B780" s="150"/>
      <c r="C780" s="104" t="s">
        <v>4324</v>
      </c>
      <c r="D780" s="138" t="s">
        <v>56</v>
      </c>
      <c r="E780" s="156" t="s">
        <v>227</v>
      </c>
      <c r="F780" s="101"/>
      <c r="G780" s="40" t="s">
        <v>4325</v>
      </c>
      <c r="H780" s="55" t="s">
        <v>4326</v>
      </c>
      <c r="I780" s="69" t="s">
        <v>4327</v>
      </c>
      <c r="J780" s="155"/>
      <c r="K780" s="37">
        <v>44050.0</v>
      </c>
      <c r="L780" s="37">
        <v>44058.0</v>
      </c>
      <c r="M780" s="73" t="s">
        <v>4328</v>
      </c>
      <c r="N780" s="179" t="s">
        <v>80</v>
      </c>
      <c r="O780" s="113">
        <v>43970.0</v>
      </c>
      <c r="P780" s="37">
        <v>43970.0</v>
      </c>
      <c r="Q780" s="22"/>
      <c r="R780" s="22"/>
      <c r="S780" s="117"/>
      <c r="T780" s="236"/>
      <c r="U780" s="161"/>
      <c r="V780" s="161"/>
      <c r="W780" s="161"/>
      <c r="X780" s="161"/>
      <c r="Y780" s="161"/>
      <c r="Z780" s="161"/>
      <c r="AA780" s="218" t="s">
        <v>97</v>
      </c>
      <c r="AB780" s="161"/>
      <c r="AC780" s="161"/>
      <c r="AD780" s="161"/>
      <c r="AE780" s="161"/>
      <c r="AF780" s="161"/>
      <c r="AG780" s="161"/>
      <c r="AH780" s="163"/>
      <c r="AI780" s="163"/>
      <c r="AJ780" s="163"/>
      <c r="AK780" s="163"/>
      <c r="AL780" s="163"/>
      <c r="AM780" s="163"/>
      <c r="AN780" s="161"/>
      <c r="AO780" s="161"/>
      <c r="AP780" s="161"/>
      <c r="AQ780" s="161"/>
      <c r="AR780" s="161"/>
      <c r="AS780" s="119"/>
    </row>
    <row r="781">
      <c r="A781" s="137">
        <v>758.0</v>
      </c>
      <c r="B781" s="103"/>
      <c r="C781" s="104" t="s">
        <v>4329</v>
      </c>
      <c r="D781" s="138" t="s">
        <v>75</v>
      </c>
      <c r="E781" s="107" t="s">
        <v>345</v>
      </c>
      <c r="F781" s="109"/>
      <c r="G781" s="10" t="s">
        <v>4330</v>
      </c>
      <c r="H781" s="17" t="s">
        <v>4331</v>
      </c>
      <c r="I781" s="175" t="s">
        <v>4332</v>
      </c>
      <c r="J781" s="112"/>
      <c r="K781" s="113">
        <v>43870.0</v>
      </c>
      <c r="L781" s="113">
        <v>43870.0</v>
      </c>
      <c r="M781" s="24" t="s">
        <v>658</v>
      </c>
      <c r="N781" s="24" t="s">
        <v>291</v>
      </c>
      <c r="O781" s="114">
        <v>43739.0</v>
      </c>
      <c r="P781" s="114">
        <v>43830.0</v>
      </c>
      <c r="Q781" s="115"/>
      <c r="R781" s="115"/>
      <c r="S781" s="117"/>
      <c r="T781" s="141" t="s">
        <v>50</v>
      </c>
      <c r="U781" s="119"/>
      <c r="V781" s="119"/>
      <c r="W781" s="119"/>
      <c r="X781" s="119"/>
      <c r="Y781" s="119"/>
      <c r="Z781" s="119"/>
      <c r="AA781" s="119"/>
      <c r="AB781" s="119"/>
      <c r="AC781" s="119"/>
      <c r="AD781" s="119"/>
      <c r="AE781" s="119"/>
      <c r="AF781" s="119"/>
      <c r="AG781" s="119"/>
      <c r="AH781" s="121"/>
      <c r="AI781" s="121"/>
      <c r="AJ781" s="121"/>
      <c r="AK781" s="121"/>
      <c r="AL781" s="121"/>
      <c r="AM781" s="121"/>
      <c r="AN781" s="143" t="s">
        <v>97</v>
      </c>
      <c r="AO781" s="119"/>
      <c r="AP781" s="119"/>
      <c r="AQ781" s="119"/>
      <c r="AR781" s="119"/>
      <c r="AS781" s="119"/>
    </row>
    <row r="782">
      <c r="A782" s="137">
        <v>581.0</v>
      </c>
      <c r="B782" s="177">
        <v>11.0</v>
      </c>
      <c r="C782" s="104" t="s">
        <v>4333</v>
      </c>
      <c r="D782" s="105" t="s">
        <v>48</v>
      </c>
      <c r="E782" s="107" t="s">
        <v>48</v>
      </c>
      <c r="F782" s="178"/>
      <c r="G782" s="77" t="s">
        <v>4334</v>
      </c>
      <c r="H782" s="81" t="s">
        <v>4335</v>
      </c>
      <c r="I782" s="84" t="s">
        <v>4336</v>
      </c>
      <c r="J782" s="155"/>
      <c r="K782" s="22" t="s">
        <v>27</v>
      </c>
      <c r="L782" s="22" t="s">
        <v>27</v>
      </c>
      <c r="M782" s="85" t="s">
        <v>4337</v>
      </c>
      <c r="N782" s="85" t="s">
        <v>272</v>
      </c>
      <c r="O782" s="22" t="s">
        <v>27</v>
      </c>
      <c r="P782" s="22" t="s">
        <v>27</v>
      </c>
      <c r="Q782" s="373"/>
      <c r="R782" s="373"/>
      <c r="S782" s="224"/>
      <c r="T782" s="181"/>
      <c r="U782" s="182" t="s">
        <v>97</v>
      </c>
      <c r="V782" s="184"/>
      <c r="W782" s="184"/>
      <c r="X782" s="184"/>
      <c r="Y782" s="184"/>
      <c r="Z782" s="184"/>
      <c r="AA782" s="184"/>
      <c r="AB782" s="184"/>
      <c r="AC782" s="184"/>
      <c r="AD782" s="186"/>
      <c r="AE782" s="187"/>
      <c r="AF782" s="184"/>
      <c r="AG782" s="187"/>
      <c r="AH782" s="189"/>
      <c r="AI782" s="189"/>
      <c r="AJ782" s="189"/>
      <c r="AK782" s="189"/>
      <c r="AL782" s="189"/>
      <c r="AM782" s="189"/>
      <c r="AN782" s="187"/>
      <c r="AO782" s="187"/>
      <c r="AP782" s="184"/>
      <c r="AQ782" s="187"/>
      <c r="AR782" s="187"/>
      <c r="AS782" s="119"/>
    </row>
    <row r="783">
      <c r="A783" s="137">
        <v>582.0</v>
      </c>
      <c r="B783" s="177">
        <v>9.0</v>
      </c>
      <c r="C783" s="104" t="s">
        <v>4338</v>
      </c>
      <c r="D783" s="105" t="s">
        <v>48</v>
      </c>
      <c r="E783" s="107" t="s">
        <v>48</v>
      </c>
      <c r="F783" s="178"/>
      <c r="G783" s="77" t="s">
        <v>4339</v>
      </c>
      <c r="H783" s="81" t="s">
        <v>4340</v>
      </c>
      <c r="I783" s="84" t="s">
        <v>4341</v>
      </c>
      <c r="J783" s="155"/>
      <c r="K783" s="22" t="s">
        <v>27</v>
      </c>
      <c r="L783" s="22" t="s">
        <v>27</v>
      </c>
      <c r="M783" s="85" t="s">
        <v>971</v>
      </c>
      <c r="N783" s="85" t="s">
        <v>72</v>
      </c>
      <c r="O783" s="22" t="s">
        <v>27</v>
      </c>
      <c r="P783" s="22" t="s">
        <v>27</v>
      </c>
      <c r="Q783" s="22"/>
      <c r="R783" s="22"/>
      <c r="S783" s="117"/>
      <c r="T783" s="181"/>
      <c r="U783" s="182" t="s">
        <v>97</v>
      </c>
      <c r="V783" s="184"/>
      <c r="W783" s="184"/>
      <c r="X783" s="184"/>
      <c r="Y783" s="184"/>
      <c r="Z783" s="184"/>
      <c r="AA783" s="184"/>
      <c r="AB783" s="184"/>
      <c r="AC783" s="184"/>
      <c r="AD783" s="186"/>
      <c r="AE783" s="187"/>
      <c r="AF783" s="184"/>
      <c r="AG783" s="187"/>
      <c r="AH783" s="189"/>
      <c r="AI783" s="189"/>
      <c r="AJ783" s="189"/>
      <c r="AK783" s="189"/>
      <c r="AL783" s="189"/>
      <c r="AM783" s="189"/>
      <c r="AN783" s="187"/>
      <c r="AO783" s="187"/>
      <c r="AP783" s="184"/>
      <c r="AQ783" s="187"/>
      <c r="AR783" s="187"/>
      <c r="AS783" s="119"/>
    </row>
    <row r="784">
      <c r="A784" s="137">
        <v>887.0</v>
      </c>
      <c r="B784" s="122">
        <v>9.0</v>
      </c>
      <c r="C784" s="123" t="s">
        <v>4342</v>
      </c>
      <c r="D784" s="124" t="s">
        <v>48</v>
      </c>
      <c r="E784" s="126" t="s">
        <v>48</v>
      </c>
      <c r="F784" s="127"/>
      <c r="G784" s="128" t="s">
        <v>4339</v>
      </c>
      <c r="H784" s="89" t="s">
        <v>4343</v>
      </c>
      <c r="I784" s="91" t="str">
        <f>HYPERLINK("https://filmfreeway.com/SacramentoFilmandMusicFestival","https://filmfreeway.com/SacramentoFilmandMusicFestival")</f>
        <v>https://filmfreeway.com/SacramentoFilmandMusicFestival</v>
      </c>
      <c r="J784" s="155"/>
      <c r="K784" s="22" t="s">
        <v>27</v>
      </c>
      <c r="L784" s="22" t="s">
        <v>27</v>
      </c>
      <c r="M784" s="130" t="s">
        <v>971</v>
      </c>
      <c r="N784" s="130" t="s">
        <v>72</v>
      </c>
      <c r="O784" s="22" t="s">
        <v>27</v>
      </c>
      <c r="P784" s="22" t="s">
        <v>27</v>
      </c>
      <c r="Q784" s="131"/>
      <c r="R784" s="132"/>
      <c r="S784" s="132"/>
      <c r="T784" s="118"/>
      <c r="U784" s="176" t="s">
        <v>97</v>
      </c>
      <c r="V784" s="119"/>
      <c r="W784" s="119"/>
      <c r="X784" s="119"/>
      <c r="Y784" s="134"/>
      <c r="Z784" s="119"/>
      <c r="AA784" s="119"/>
      <c r="AB784" s="119"/>
      <c r="AC784" s="119"/>
      <c r="AD784" s="119"/>
      <c r="AE784" s="119"/>
      <c r="AF784" s="119"/>
      <c r="AG784" s="119"/>
      <c r="AH784" s="121"/>
      <c r="AI784" s="121"/>
      <c r="AJ784" s="121"/>
      <c r="AK784" s="121"/>
      <c r="AL784" s="121"/>
      <c r="AM784" s="135"/>
      <c r="AN784" s="119"/>
      <c r="AO784" s="119"/>
      <c r="AP784" s="119"/>
      <c r="AQ784" s="119"/>
      <c r="AR784" s="119"/>
      <c r="AS784" s="119"/>
    </row>
    <row r="785">
      <c r="A785" s="101">
        <v>583.0</v>
      </c>
      <c r="B785" s="150"/>
      <c r="C785" s="104" t="s">
        <v>4344</v>
      </c>
      <c r="D785" s="105" t="s">
        <v>64</v>
      </c>
      <c r="E785" s="107" t="s">
        <v>64</v>
      </c>
      <c r="F785" s="101"/>
      <c r="G785" s="40" t="s">
        <v>4345</v>
      </c>
      <c r="H785" s="55" t="s">
        <v>3425</v>
      </c>
      <c r="I785" s="69" t="s">
        <v>4346</v>
      </c>
      <c r="J785" s="155"/>
      <c r="K785" s="37">
        <v>44093.0</v>
      </c>
      <c r="L785" s="37">
        <v>44093.0</v>
      </c>
      <c r="M785" s="73" t="s">
        <v>971</v>
      </c>
      <c r="N785" s="179" t="s">
        <v>72</v>
      </c>
      <c r="O785" s="113">
        <v>43738.0</v>
      </c>
      <c r="P785" s="37">
        <v>44074.0</v>
      </c>
      <c r="Q785" s="22"/>
      <c r="R785" s="22"/>
      <c r="S785" s="117"/>
      <c r="T785" s="236"/>
      <c r="U785" s="161"/>
      <c r="V785" s="161"/>
      <c r="W785" s="161"/>
      <c r="X785" s="161"/>
      <c r="Y785" s="161"/>
      <c r="Z785" s="161"/>
      <c r="AA785" s="161"/>
      <c r="AB785" s="161"/>
      <c r="AC785" s="161"/>
      <c r="AD785" s="161"/>
      <c r="AE785" s="161"/>
      <c r="AF785" s="161"/>
      <c r="AG785" s="161"/>
      <c r="AH785" s="246" t="s">
        <v>97</v>
      </c>
      <c r="AI785" s="163"/>
      <c r="AJ785" s="163"/>
      <c r="AK785" s="163"/>
      <c r="AL785" s="163"/>
      <c r="AM785" s="163"/>
      <c r="AN785" s="161"/>
      <c r="AO785" s="161"/>
      <c r="AP785" s="161"/>
      <c r="AQ785" s="161"/>
      <c r="AR785" s="161"/>
      <c r="AS785" s="119"/>
    </row>
    <row r="786">
      <c r="A786" s="137">
        <v>584.0</v>
      </c>
      <c r="B786" s="177"/>
      <c r="C786" s="104" t="s">
        <v>4347</v>
      </c>
      <c r="D786" s="105" t="s">
        <v>48</v>
      </c>
      <c r="E786" s="107" t="s">
        <v>48</v>
      </c>
      <c r="F786" s="178"/>
      <c r="G786" s="77" t="s">
        <v>4348</v>
      </c>
      <c r="H786" s="81" t="s">
        <v>4349</v>
      </c>
      <c r="I786" s="84" t="s">
        <v>4350</v>
      </c>
      <c r="J786" s="155"/>
      <c r="K786" s="37">
        <v>43946.0</v>
      </c>
      <c r="L786" s="37">
        <v>43954.0</v>
      </c>
      <c r="M786" s="85" t="s">
        <v>971</v>
      </c>
      <c r="N786" s="85" t="s">
        <v>72</v>
      </c>
      <c r="O786" s="113">
        <v>43606.0</v>
      </c>
      <c r="P786" s="37">
        <v>43862.0</v>
      </c>
      <c r="Q786" s="22"/>
      <c r="R786" s="22"/>
      <c r="S786" s="117"/>
      <c r="T786" s="181"/>
      <c r="U786" s="182" t="s">
        <v>97</v>
      </c>
      <c r="V786" s="184"/>
      <c r="W786" s="184"/>
      <c r="X786" s="184"/>
      <c r="Y786" s="184"/>
      <c r="Z786" s="184"/>
      <c r="AA786" s="184"/>
      <c r="AB786" s="184"/>
      <c r="AC786" s="184"/>
      <c r="AD786" s="186"/>
      <c r="AE786" s="187"/>
      <c r="AF786" s="184"/>
      <c r="AG786" s="187"/>
      <c r="AH786" s="189"/>
      <c r="AI786" s="189"/>
      <c r="AJ786" s="189"/>
      <c r="AK786" s="189"/>
      <c r="AL786" s="189"/>
      <c r="AM786" s="189"/>
      <c r="AN786" s="187"/>
      <c r="AO786" s="187"/>
      <c r="AP786" s="184"/>
      <c r="AQ786" s="187"/>
      <c r="AR786" s="187"/>
      <c r="AS786" s="119"/>
    </row>
    <row r="787">
      <c r="A787" s="101">
        <v>882.0</v>
      </c>
      <c r="B787" s="765"/>
      <c r="C787" s="130" t="s">
        <v>4351</v>
      </c>
      <c r="D787" s="766" t="s">
        <v>51</v>
      </c>
      <c r="E787" s="358" t="s">
        <v>51</v>
      </c>
      <c r="F787" s="127"/>
      <c r="G787" s="128" t="s">
        <v>1128</v>
      </c>
      <c r="H787" s="582" t="s">
        <v>1129</v>
      </c>
      <c r="I787" s="767" t="s">
        <v>24</v>
      </c>
      <c r="J787" s="93" t="s">
        <v>1134</v>
      </c>
      <c r="K787" s="282">
        <v>43910.0</v>
      </c>
      <c r="L787" s="282">
        <v>43919.0</v>
      </c>
      <c r="M787" s="130" t="s">
        <v>1135</v>
      </c>
      <c r="N787" s="130" t="s">
        <v>80</v>
      </c>
      <c r="O787" s="639" t="s">
        <v>27</v>
      </c>
      <c r="P787" s="639" t="s">
        <v>27</v>
      </c>
      <c r="Q787" s="22"/>
      <c r="R787" s="22"/>
      <c r="S787" s="117"/>
      <c r="T787" s="236"/>
      <c r="U787" s="161"/>
      <c r="V787" s="536" t="s">
        <v>97</v>
      </c>
      <c r="W787" s="161"/>
      <c r="X787" s="161"/>
      <c r="Y787" s="161"/>
      <c r="Z787" s="161"/>
      <c r="AA787" s="161"/>
      <c r="AB787" s="161"/>
      <c r="AC787" s="161"/>
      <c r="AD787" s="161"/>
      <c r="AE787" s="161"/>
      <c r="AF787" s="161"/>
      <c r="AG787" s="237"/>
      <c r="AH787" s="163"/>
      <c r="AI787" s="163"/>
      <c r="AJ787" s="163"/>
      <c r="AK787" s="163"/>
      <c r="AL787" s="163"/>
      <c r="AM787" s="163"/>
      <c r="AN787" s="161"/>
      <c r="AO787" s="161"/>
      <c r="AP787" s="161"/>
      <c r="AQ787" s="161"/>
      <c r="AR787" s="161"/>
      <c r="AS787" s="119"/>
    </row>
    <row r="788">
      <c r="A788" s="137">
        <v>933.0</v>
      </c>
      <c r="B788" s="122">
        <v>8.0</v>
      </c>
      <c r="C788" s="123" t="s">
        <v>4352</v>
      </c>
      <c r="D788" s="124" t="s">
        <v>52</v>
      </c>
      <c r="E788" s="126" t="s">
        <v>52</v>
      </c>
      <c r="F788" s="144"/>
      <c r="G788" s="87" t="s">
        <v>4353</v>
      </c>
      <c r="H788" s="89" t="s">
        <v>4354</v>
      </c>
      <c r="I788" s="91" t="str">
        <f>HYPERLINK("https://filmfreeway.com/SaluteYourShortsFest","https://filmfreeway.com/SaluteYourShortsFest")</f>
        <v>https://filmfreeway.com/SaluteYourShortsFest</v>
      </c>
      <c r="J788" s="155"/>
      <c r="K788" s="37">
        <v>44064.0</v>
      </c>
      <c r="L788" s="37">
        <v>44066.0</v>
      </c>
      <c r="M788" s="130" t="s">
        <v>221</v>
      </c>
      <c r="N788" s="130" t="s">
        <v>72</v>
      </c>
      <c r="O788" s="37">
        <v>43856.0</v>
      </c>
      <c r="P788" s="37">
        <v>44003.0</v>
      </c>
      <c r="Q788" s="131"/>
      <c r="R788" s="132"/>
      <c r="S788" s="148" t="s">
        <v>97</v>
      </c>
      <c r="T788" s="118"/>
      <c r="U788" s="119"/>
      <c r="V788" s="119"/>
      <c r="W788" s="120" t="s">
        <v>97</v>
      </c>
      <c r="X788" s="119"/>
      <c r="Y788" s="134"/>
      <c r="Z788" s="119"/>
      <c r="AA788" s="119"/>
      <c r="AB788" s="119"/>
      <c r="AC788" s="119"/>
      <c r="AD788" s="119"/>
      <c r="AE788" s="119"/>
      <c r="AF788" s="119"/>
      <c r="AG788" s="119"/>
      <c r="AH788" s="121"/>
      <c r="AI788" s="121"/>
      <c r="AJ788" s="121"/>
      <c r="AK788" s="121"/>
      <c r="AL788" s="121"/>
      <c r="AM788" s="135"/>
      <c r="AN788" s="119"/>
      <c r="AO788" s="119"/>
      <c r="AP788" s="119"/>
      <c r="AQ788" s="119"/>
      <c r="AR788" s="119"/>
      <c r="AS788" s="119"/>
    </row>
    <row r="789">
      <c r="A789" s="137">
        <v>585.0</v>
      </c>
      <c r="B789" s="177">
        <v>7.0</v>
      </c>
      <c r="C789" s="104" t="s">
        <v>4355</v>
      </c>
      <c r="D789" s="105" t="s">
        <v>48</v>
      </c>
      <c r="E789" s="107" t="s">
        <v>48</v>
      </c>
      <c r="F789" s="178"/>
      <c r="G789" s="77" t="s">
        <v>4356</v>
      </c>
      <c r="H789" s="81" t="s">
        <v>4357</v>
      </c>
      <c r="I789" s="84" t="s">
        <v>4358</v>
      </c>
      <c r="J789" s="155"/>
      <c r="K789" s="22" t="s">
        <v>27</v>
      </c>
      <c r="L789" s="22" t="s">
        <v>27</v>
      </c>
      <c r="M789" s="85" t="s">
        <v>3191</v>
      </c>
      <c r="N789" s="85" t="s">
        <v>102</v>
      </c>
      <c r="O789" s="22" t="s">
        <v>27</v>
      </c>
      <c r="P789" s="22" t="s">
        <v>27</v>
      </c>
      <c r="Q789" s="22"/>
      <c r="R789" s="22"/>
      <c r="S789" s="117"/>
      <c r="T789" s="181"/>
      <c r="U789" s="182" t="s">
        <v>97</v>
      </c>
      <c r="V789" s="184"/>
      <c r="W789" s="184"/>
      <c r="X789" s="184"/>
      <c r="Y789" s="184"/>
      <c r="Z789" s="184"/>
      <c r="AA789" s="184"/>
      <c r="AB789" s="184"/>
      <c r="AC789" s="184"/>
      <c r="AD789" s="186"/>
      <c r="AE789" s="187"/>
      <c r="AF789" s="184"/>
      <c r="AG789" s="187"/>
      <c r="AH789" s="189"/>
      <c r="AI789" s="189"/>
      <c r="AJ789" s="189"/>
      <c r="AK789" s="189"/>
      <c r="AL789" s="189"/>
      <c r="AM789" s="189"/>
      <c r="AN789" s="187"/>
      <c r="AO789" s="187"/>
      <c r="AP789" s="184"/>
      <c r="AQ789" s="187"/>
      <c r="AR789" s="187"/>
      <c r="AS789" s="119"/>
    </row>
    <row r="790">
      <c r="A790" s="101">
        <v>586.0</v>
      </c>
      <c r="B790" s="177"/>
      <c r="C790" s="104" t="s">
        <v>4359</v>
      </c>
      <c r="D790" s="105" t="s">
        <v>48</v>
      </c>
      <c r="E790" s="107" t="s">
        <v>48</v>
      </c>
      <c r="F790" s="178"/>
      <c r="G790" s="77" t="s">
        <v>4360</v>
      </c>
      <c r="H790" s="81" t="s">
        <v>4361</v>
      </c>
      <c r="I790" s="84" t="s">
        <v>4362</v>
      </c>
      <c r="J790" s="155"/>
      <c r="K790" s="37">
        <v>44040.0</v>
      </c>
      <c r="L790" s="37">
        <v>44045.0</v>
      </c>
      <c r="M790" s="85" t="s">
        <v>3191</v>
      </c>
      <c r="N790" s="85" t="s">
        <v>102</v>
      </c>
      <c r="O790" s="113">
        <v>43777.0</v>
      </c>
      <c r="P790" s="37">
        <v>43938.0</v>
      </c>
      <c r="Q790" s="22"/>
      <c r="R790" s="22"/>
      <c r="S790" s="117"/>
      <c r="T790" s="181"/>
      <c r="U790" s="182" t="s">
        <v>97</v>
      </c>
      <c r="V790" s="184"/>
      <c r="W790" s="184"/>
      <c r="X790" s="184"/>
      <c r="Y790" s="184"/>
      <c r="Z790" s="184"/>
      <c r="AA790" s="184"/>
      <c r="AB790" s="184"/>
      <c r="AC790" s="184"/>
      <c r="AD790" s="186"/>
      <c r="AE790" s="187"/>
      <c r="AF790" s="184"/>
      <c r="AG790" s="187"/>
      <c r="AH790" s="189"/>
      <c r="AI790" s="189"/>
      <c r="AJ790" s="189"/>
      <c r="AK790" s="189"/>
      <c r="AL790" s="189"/>
      <c r="AM790" s="189"/>
      <c r="AN790" s="187"/>
      <c r="AO790" s="187"/>
      <c r="AP790" s="184"/>
      <c r="AQ790" s="187"/>
      <c r="AR790" s="187"/>
      <c r="AS790" s="119"/>
    </row>
    <row r="791">
      <c r="A791" s="137">
        <v>858.0</v>
      </c>
      <c r="B791" s="103">
        <v>10.0</v>
      </c>
      <c r="C791" s="104" t="s">
        <v>4363</v>
      </c>
      <c r="D791" s="226" t="s">
        <v>54</v>
      </c>
      <c r="E791" s="227" t="s">
        <v>54</v>
      </c>
      <c r="F791" s="109"/>
      <c r="G791" s="10" t="s">
        <v>4364</v>
      </c>
      <c r="H791" s="17" t="s">
        <v>4365</v>
      </c>
      <c r="I791" s="111" t="s">
        <v>4366</v>
      </c>
      <c r="J791" s="155"/>
      <c r="K791" s="22" t="s">
        <v>27</v>
      </c>
      <c r="L791" s="22" t="s">
        <v>27</v>
      </c>
      <c r="M791" s="24" t="s">
        <v>3191</v>
      </c>
      <c r="N791" s="24" t="s">
        <v>102</v>
      </c>
      <c r="O791" s="22" t="s">
        <v>27</v>
      </c>
      <c r="P791" s="22" t="s">
        <v>27</v>
      </c>
      <c r="Q791" s="223"/>
      <c r="R791" s="223"/>
      <c r="S791" s="224"/>
      <c r="T791" s="118"/>
      <c r="U791" s="119"/>
      <c r="V791" s="119"/>
      <c r="W791" s="119"/>
      <c r="X791" s="119"/>
      <c r="Y791" s="374" t="s">
        <v>97</v>
      </c>
      <c r="Z791" s="119"/>
      <c r="AA791" s="119"/>
      <c r="AB791" s="119"/>
      <c r="AC791" s="119"/>
      <c r="AD791" s="119"/>
      <c r="AE791" s="119"/>
      <c r="AF791" s="119"/>
      <c r="AG791" s="119"/>
      <c r="AH791" s="121"/>
      <c r="AI791" s="121"/>
      <c r="AJ791" s="121"/>
      <c r="AK791" s="121"/>
      <c r="AL791" s="121"/>
      <c r="AM791" s="121"/>
      <c r="AN791" s="119"/>
      <c r="AO791" s="119"/>
      <c r="AP791" s="119"/>
      <c r="AQ791" s="119"/>
      <c r="AR791" s="119"/>
      <c r="AS791" s="119"/>
    </row>
    <row r="792">
      <c r="A792" s="137">
        <v>587.0</v>
      </c>
      <c r="B792" s="150"/>
      <c r="C792" s="104" t="s">
        <v>4367</v>
      </c>
      <c r="D792" s="138" t="s">
        <v>61</v>
      </c>
      <c r="E792" s="107" t="s">
        <v>477</v>
      </c>
      <c r="F792" s="101"/>
      <c r="G792" s="40" t="s">
        <v>1118</v>
      </c>
      <c r="H792" s="55" t="s">
        <v>1119</v>
      </c>
      <c r="I792" s="69" t="s">
        <v>1120</v>
      </c>
      <c r="J792" s="20" t="s">
        <v>771</v>
      </c>
      <c r="K792" s="37">
        <v>43917.0</v>
      </c>
      <c r="L792" s="37">
        <v>43925.0</v>
      </c>
      <c r="M792" s="73" t="s">
        <v>684</v>
      </c>
      <c r="N792" s="179" t="s">
        <v>72</v>
      </c>
      <c r="O792" s="113">
        <v>43723.0</v>
      </c>
      <c r="P792" s="37">
        <v>43753.0</v>
      </c>
      <c r="Q792" s="22"/>
      <c r="R792" s="22"/>
      <c r="S792" s="117"/>
      <c r="T792" s="236"/>
      <c r="U792" s="161"/>
      <c r="V792" s="161"/>
      <c r="W792" s="161"/>
      <c r="X792" s="161"/>
      <c r="Y792" s="161"/>
      <c r="Z792" s="161"/>
      <c r="AA792" s="161"/>
      <c r="AB792" s="161"/>
      <c r="AC792" s="161"/>
      <c r="AD792" s="161"/>
      <c r="AE792" s="277" t="s">
        <v>97</v>
      </c>
      <c r="AF792" s="161"/>
      <c r="AG792" s="161"/>
      <c r="AH792" s="163"/>
      <c r="AI792" s="163"/>
      <c r="AJ792" s="163"/>
      <c r="AK792" s="163"/>
      <c r="AL792" s="163"/>
      <c r="AM792" s="163"/>
      <c r="AN792" s="161"/>
      <c r="AO792" s="161"/>
      <c r="AP792" s="161"/>
      <c r="AQ792" s="161"/>
      <c r="AR792" s="161"/>
      <c r="AS792" s="119"/>
    </row>
    <row r="793">
      <c r="A793" s="101">
        <v>797.0</v>
      </c>
      <c r="B793" s="103">
        <v>11.0</v>
      </c>
      <c r="C793" s="104" t="s">
        <v>4368</v>
      </c>
      <c r="D793" s="138" t="s">
        <v>57</v>
      </c>
      <c r="E793" s="107" t="s">
        <v>306</v>
      </c>
      <c r="F793" s="109"/>
      <c r="G793" s="10" t="s">
        <v>4369</v>
      </c>
      <c r="H793" s="17" t="s">
        <v>4370</v>
      </c>
      <c r="I793" s="111" t="s">
        <v>4371</v>
      </c>
      <c r="J793" s="155"/>
      <c r="K793" s="37">
        <v>44142.0</v>
      </c>
      <c r="L793" s="37">
        <v>44142.0</v>
      </c>
      <c r="M793" s="24" t="s">
        <v>684</v>
      </c>
      <c r="N793" s="24" t="s">
        <v>72</v>
      </c>
      <c r="O793" s="37">
        <v>43920.0</v>
      </c>
      <c r="P793" s="37">
        <v>44007.0</v>
      </c>
      <c r="Q793" s="115"/>
      <c r="R793" s="115"/>
      <c r="S793" s="117"/>
      <c r="T793" s="118"/>
      <c r="U793" s="119"/>
      <c r="V793" s="119"/>
      <c r="W793" s="119"/>
      <c r="X793" s="119"/>
      <c r="Y793" s="119"/>
      <c r="Z793" s="119"/>
      <c r="AA793" s="119"/>
      <c r="AB793" s="307" t="s">
        <v>97</v>
      </c>
      <c r="AC793" s="119"/>
      <c r="AD793" s="119"/>
      <c r="AE793" s="119"/>
      <c r="AF793" s="119"/>
      <c r="AG793" s="119"/>
      <c r="AH793" s="121"/>
      <c r="AI793" s="121"/>
      <c r="AJ793" s="121"/>
      <c r="AK793" s="121"/>
      <c r="AL793" s="121"/>
      <c r="AM793" s="121"/>
      <c r="AN793" s="119"/>
      <c r="AO793" s="119"/>
      <c r="AP793" s="119"/>
      <c r="AQ793" s="119"/>
      <c r="AR793" s="119"/>
      <c r="AS793" s="119"/>
    </row>
    <row r="794">
      <c r="A794" s="137">
        <v>588.0</v>
      </c>
      <c r="B794" s="197"/>
      <c r="C794" s="104" t="s">
        <v>4372</v>
      </c>
      <c r="D794" s="138" t="s">
        <v>56</v>
      </c>
      <c r="E794" s="156" t="s">
        <v>227</v>
      </c>
      <c r="F794" s="178"/>
      <c r="G794" s="77" t="s">
        <v>4373</v>
      </c>
      <c r="H794" s="81" t="s">
        <v>4374</v>
      </c>
      <c r="I794" s="34" t="s">
        <v>4375</v>
      </c>
      <c r="J794" s="155"/>
      <c r="K794" s="37">
        <v>43859.0</v>
      </c>
      <c r="L794" s="37">
        <v>43863.0</v>
      </c>
      <c r="M794" s="85" t="s">
        <v>684</v>
      </c>
      <c r="N794" s="85" t="s">
        <v>72</v>
      </c>
      <c r="O794" s="114">
        <v>43752.0</v>
      </c>
      <c r="P794" s="114">
        <v>43819.0</v>
      </c>
      <c r="Q794" s="223"/>
      <c r="R794" s="223"/>
      <c r="S794" s="224"/>
      <c r="T794" s="181"/>
      <c r="U794" s="184"/>
      <c r="V794" s="184"/>
      <c r="W794" s="184"/>
      <c r="X794" s="184"/>
      <c r="Y794" s="184"/>
      <c r="Z794" s="184"/>
      <c r="AA794" s="398" t="s">
        <v>97</v>
      </c>
      <c r="AB794" s="184"/>
      <c r="AC794" s="184"/>
      <c r="AD794" s="186"/>
      <c r="AE794" s="187"/>
      <c r="AF794" s="184"/>
      <c r="AG794" s="187"/>
      <c r="AH794" s="189"/>
      <c r="AI794" s="189"/>
      <c r="AJ794" s="189"/>
      <c r="AK794" s="189"/>
      <c r="AL794" s="189"/>
      <c r="AM794" s="189"/>
      <c r="AN794" s="187"/>
      <c r="AO794" s="187"/>
      <c r="AP794" s="184"/>
      <c r="AQ794" s="187"/>
      <c r="AR794" s="187"/>
      <c r="AS794" s="119"/>
    </row>
    <row r="795">
      <c r="A795" s="101">
        <v>589.0</v>
      </c>
      <c r="B795" s="177">
        <v>10.0</v>
      </c>
      <c r="C795" s="104" t="s">
        <v>4376</v>
      </c>
      <c r="D795" s="105" t="s">
        <v>48</v>
      </c>
      <c r="E795" s="107" t="s">
        <v>48</v>
      </c>
      <c r="F795" s="178"/>
      <c r="G795" s="77" t="s">
        <v>4377</v>
      </c>
      <c r="H795" s="81" t="s">
        <v>4378</v>
      </c>
      <c r="I795" s="84" t="s">
        <v>4379</v>
      </c>
      <c r="J795" s="155"/>
      <c r="K795" s="37">
        <v>44117.0</v>
      </c>
      <c r="L795" s="37">
        <v>44122.0</v>
      </c>
      <c r="M795" s="85" t="s">
        <v>684</v>
      </c>
      <c r="N795" s="85" t="s">
        <v>72</v>
      </c>
      <c r="O795" s="37">
        <v>43903.0</v>
      </c>
      <c r="P795" s="37">
        <v>44025.0</v>
      </c>
      <c r="Q795" s="373"/>
      <c r="R795" s="373"/>
      <c r="S795" s="224"/>
      <c r="T795" s="181"/>
      <c r="U795" s="182" t="s">
        <v>97</v>
      </c>
      <c r="V795" s="184"/>
      <c r="W795" s="184"/>
      <c r="X795" s="184"/>
      <c r="Y795" s="184"/>
      <c r="Z795" s="184"/>
      <c r="AA795" s="184"/>
      <c r="AB795" s="184"/>
      <c r="AC795" s="184"/>
      <c r="AD795" s="186"/>
      <c r="AE795" s="187"/>
      <c r="AF795" s="184"/>
      <c r="AG795" s="187"/>
      <c r="AH795" s="189"/>
      <c r="AI795" s="189"/>
      <c r="AJ795" s="189"/>
      <c r="AK795" s="189"/>
      <c r="AL795" s="189"/>
      <c r="AM795" s="189"/>
      <c r="AN795" s="187"/>
      <c r="AO795" s="187"/>
      <c r="AP795" s="184"/>
      <c r="AQ795" s="187"/>
      <c r="AR795" s="187"/>
      <c r="AS795" s="119"/>
    </row>
    <row r="796">
      <c r="A796" s="137">
        <v>590.0</v>
      </c>
      <c r="B796" s="177">
        <v>8.0</v>
      </c>
      <c r="C796" s="104" t="s">
        <v>4380</v>
      </c>
      <c r="D796" s="105" t="s">
        <v>88</v>
      </c>
      <c r="E796" s="107" t="s">
        <v>88</v>
      </c>
      <c r="F796" s="178"/>
      <c r="G796" s="77" t="s">
        <v>4381</v>
      </c>
      <c r="H796" s="81" t="s">
        <v>4382</v>
      </c>
      <c r="I796" s="84" t="s">
        <v>4383</v>
      </c>
      <c r="J796" s="155"/>
      <c r="K796" s="37">
        <v>44064.0</v>
      </c>
      <c r="L796" s="37">
        <v>44066.0</v>
      </c>
      <c r="M796" s="85" t="s">
        <v>684</v>
      </c>
      <c r="N796" s="85" t="s">
        <v>72</v>
      </c>
      <c r="O796" s="37">
        <v>43871.0</v>
      </c>
      <c r="P796" s="37">
        <v>44043.0</v>
      </c>
      <c r="Q796" s="22"/>
      <c r="R796" s="22"/>
      <c r="S796" s="117"/>
      <c r="T796" s="181"/>
      <c r="U796" s="184"/>
      <c r="V796" s="184"/>
      <c r="W796" s="184"/>
      <c r="X796" s="184"/>
      <c r="Y796" s="184"/>
      <c r="Z796" s="184"/>
      <c r="AA796" s="184"/>
      <c r="AB796" s="184"/>
      <c r="AC796" s="184"/>
      <c r="AD796" s="186"/>
      <c r="AE796" s="187"/>
      <c r="AF796" s="184"/>
      <c r="AG796" s="187"/>
      <c r="AH796" s="189"/>
      <c r="AI796" s="189"/>
      <c r="AJ796" s="189"/>
      <c r="AK796" s="189"/>
      <c r="AL796" s="189"/>
      <c r="AM796" s="189"/>
      <c r="AN796" s="187"/>
      <c r="AO796" s="187"/>
      <c r="AP796" s="686" t="s">
        <v>97</v>
      </c>
      <c r="AQ796" s="187"/>
      <c r="AR796" s="187"/>
      <c r="AS796" s="119"/>
    </row>
    <row r="797">
      <c r="A797" s="137">
        <v>591.0</v>
      </c>
      <c r="B797" s="177"/>
      <c r="C797" s="104" t="s">
        <v>4384</v>
      </c>
      <c r="D797" s="296" t="s">
        <v>55</v>
      </c>
      <c r="E797" s="297" t="s">
        <v>55</v>
      </c>
      <c r="F797" s="178"/>
      <c r="G797" s="77" t="s">
        <v>4385</v>
      </c>
      <c r="H797" s="81" t="s">
        <v>4386</v>
      </c>
      <c r="I797" s="84" t="s">
        <v>4387</v>
      </c>
      <c r="J797" s="155"/>
      <c r="K797" s="37">
        <v>43873.0</v>
      </c>
      <c r="L797" s="37">
        <v>43884.0</v>
      </c>
      <c r="M797" s="85" t="s">
        <v>684</v>
      </c>
      <c r="N797" s="85" t="s">
        <v>72</v>
      </c>
      <c r="O797" s="113">
        <v>43709.0</v>
      </c>
      <c r="P797" s="37">
        <v>43709.0</v>
      </c>
      <c r="Q797" s="22"/>
      <c r="R797" s="22"/>
      <c r="S797" s="117"/>
      <c r="T797" s="181"/>
      <c r="U797" s="184"/>
      <c r="V797" s="184"/>
      <c r="W797" s="184"/>
      <c r="X797" s="184"/>
      <c r="Y797" s="184"/>
      <c r="Z797" s="420" t="s">
        <v>97</v>
      </c>
      <c r="AA797" s="184"/>
      <c r="AB797" s="184"/>
      <c r="AC797" s="184"/>
      <c r="AD797" s="186"/>
      <c r="AE797" s="187"/>
      <c r="AF797" s="184"/>
      <c r="AG797" s="187"/>
      <c r="AH797" s="189"/>
      <c r="AI797" s="189"/>
      <c r="AJ797" s="189"/>
      <c r="AK797" s="189"/>
      <c r="AL797" s="189"/>
      <c r="AM797" s="189"/>
      <c r="AN797" s="187"/>
      <c r="AO797" s="187"/>
      <c r="AP797" s="184"/>
      <c r="AQ797" s="187"/>
      <c r="AR797" s="187"/>
      <c r="AS797" s="119"/>
    </row>
    <row r="798">
      <c r="A798" s="101">
        <v>592.0</v>
      </c>
      <c r="B798" s="177"/>
      <c r="C798" s="104" t="s">
        <v>4388</v>
      </c>
      <c r="D798" s="138" t="s">
        <v>59</v>
      </c>
      <c r="E798" s="107" t="s">
        <v>352</v>
      </c>
      <c r="F798" s="178"/>
      <c r="G798" s="77" t="s">
        <v>1205</v>
      </c>
      <c r="H798" s="250" t="s">
        <v>1206</v>
      </c>
      <c r="I798" s="84" t="s">
        <v>1208</v>
      </c>
      <c r="J798" s="222" t="s">
        <v>78</v>
      </c>
      <c r="K798" s="113">
        <v>43902.0</v>
      </c>
      <c r="L798" s="113">
        <v>43912.0</v>
      </c>
      <c r="M798" s="85" t="s">
        <v>684</v>
      </c>
      <c r="N798" s="85" t="s">
        <v>72</v>
      </c>
      <c r="O798" s="113">
        <v>43721.0</v>
      </c>
      <c r="P798" s="113">
        <v>43784.0</v>
      </c>
      <c r="Q798" s="535"/>
      <c r="R798" s="535"/>
      <c r="S798" s="117"/>
      <c r="T798" s="181"/>
      <c r="U798" s="184"/>
      <c r="V798" s="184"/>
      <c r="W798" s="184"/>
      <c r="X798" s="184"/>
      <c r="Y798" s="184"/>
      <c r="Z798" s="184"/>
      <c r="AA798" s="184"/>
      <c r="AB798" s="184"/>
      <c r="AC798" s="421" t="s">
        <v>97</v>
      </c>
      <c r="AD798" s="186"/>
      <c r="AE798" s="187"/>
      <c r="AF798" s="184"/>
      <c r="AG798" s="187"/>
      <c r="AH798" s="189"/>
      <c r="AI798" s="189"/>
      <c r="AJ798" s="189"/>
      <c r="AK798" s="189"/>
      <c r="AL798" s="189"/>
      <c r="AM798" s="189"/>
      <c r="AN798" s="187"/>
      <c r="AO798" s="187"/>
      <c r="AP798" s="184"/>
      <c r="AQ798" s="187"/>
      <c r="AR798" s="187"/>
      <c r="AS798" s="119"/>
    </row>
    <row r="799">
      <c r="A799" s="137">
        <v>593.0</v>
      </c>
      <c r="B799" s="150"/>
      <c r="C799" s="104" t="s">
        <v>4389</v>
      </c>
      <c r="D799" s="138" t="s">
        <v>71</v>
      </c>
      <c r="E799" s="107" t="s">
        <v>71</v>
      </c>
      <c r="F799" s="101"/>
      <c r="G799" s="40" t="s">
        <v>4390</v>
      </c>
      <c r="H799" s="55" t="s">
        <v>4391</v>
      </c>
      <c r="I799" s="69" t="s">
        <v>4392</v>
      </c>
      <c r="J799" s="344"/>
      <c r="K799" s="152">
        <v>43958.0</v>
      </c>
      <c r="L799" s="152">
        <v>43960.0</v>
      </c>
      <c r="M799" s="290" t="s">
        <v>684</v>
      </c>
      <c r="N799" s="290" t="s">
        <v>72</v>
      </c>
      <c r="O799" s="114">
        <v>43910.0</v>
      </c>
      <c r="P799" s="152">
        <v>43910.0</v>
      </c>
      <c r="Q799" s="345"/>
      <c r="R799" s="345"/>
      <c r="S799" s="117"/>
      <c r="T799" s="141"/>
      <c r="U799" s="161"/>
      <c r="V799" s="161"/>
      <c r="W799" s="161"/>
      <c r="X799" s="161"/>
      <c r="Y799" s="161"/>
      <c r="Z799" s="161"/>
      <c r="AA799" s="161"/>
      <c r="AB799" s="161"/>
      <c r="AC799" s="161"/>
      <c r="AD799" s="161"/>
      <c r="AE799" s="161"/>
      <c r="AF799" s="161"/>
      <c r="AG799" s="161"/>
      <c r="AH799" s="163"/>
      <c r="AI799" s="163"/>
      <c r="AJ799" s="163"/>
      <c r="AK799" s="163"/>
      <c r="AL799" s="163"/>
      <c r="AM799" s="165" t="s">
        <v>97</v>
      </c>
      <c r="AN799" s="161"/>
      <c r="AO799" s="161"/>
      <c r="AP799" s="161"/>
      <c r="AQ799" s="161"/>
      <c r="AR799" s="161"/>
      <c r="AS799" s="119"/>
    </row>
    <row r="800">
      <c r="A800" s="137">
        <v>594.0</v>
      </c>
      <c r="B800" s="150"/>
      <c r="C800" s="104" t="s">
        <v>4393</v>
      </c>
      <c r="D800" s="105" t="s">
        <v>65</v>
      </c>
      <c r="E800" s="107" t="s">
        <v>65</v>
      </c>
      <c r="F800" s="101"/>
      <c r="G800" s="40" t="s">
        <v>4394</v>
      </c>
      <c r="H800" s="55" t="s">
        <v>4395</v>
      </c>
      <c r="I800" s="69" t="s">
        <v>4396</v>
      </c>
      <c r="J800" s="155"/>
      <c r="K800" s="37">
        <v>44063.0</v>
      </c>
      <c r="L800" s="37">
        <v>44066.0</v>
      </c>
      <c r="M800" s="73" t="s">
        <v>684</v>
      </c>
      <c r="N800" s="179" t="s">
        <v>72</v>
      </c>
      <c r="O800" s="113">
        <v>43800.0</v>
      </c>
      <c r="P800" s="37">
        <v>44003.0</v>
      </c>
      <c r="Q800" s="22"/>
      <c r="R800" s="22"/>
      <c r="S800" s="117"/>
      <c r="T800" s="236"/>
      <c r="U800" s="161"/>
      <c r="V800" s="161"/>
      <c r="W800" s="161"/>
      <c r="X800" s="161"/>
      <c r="Y800" s="161"/>
      <c r="Z800" s="161"/>
      <c r="AA800" s="161"/>
      <c r="AB800" s="161"/>
      <c r="AC800" s="161"/>
      <c r="AD800" s="161"/>
      <c r="AE800" s="161"/>
      <c r="AF800" s="161"/>
      <c r="AG800" s="161"/>
      <c r="AH800" s="163"/>
      <c r="AI800" s="283" t="s">
        <v>97</v>
      </c>
      <c r="AJ800" s="163"/>
      <c r="AK800" s="163"/>
      <c r="AL800" s="163"/>
      <c r="AM800" s="163"/>
      <c r="AN800" s="161"/>
      <c r="AO800" s="161"/>
      <c r="AP800" s="161"/>
      <c r="AQ800" s="161"/>
      <c r="AR800" s="161"/>
      <c r="AS800" s="119"/>
    </row>
    <row r="801">
      <c r="A801" s="137">
        <v>986.0</v>
      </c>
      <c r="B801" s="122">
        <v>10.0</v>
      </c>
      <c r="C801" s="123" t="s">
        <v>4397</v>
      </c>
      <c r="D801" s="124" t="s">
        <v>71</v>
      </c>
      <c r="E801" s="126" t="s">
        <v>4398</v>
      </c>
      <c r="F801" s="127"/>
      <c r="G801" s="128" t="s">
        <v>4399</v>
      </c>
      <c r="H801" s="89" t="s">
        <v>4400</v>
      </c>
      <c r="I801" s="91" t="str">
        <f>HYPERLINK("https://filmfreeway.com/SanDiegoUnderSeaFilmExhibition","https://filmfreeway.com/SanDiegoUnderSeaFilmExhibition")</f>
        <v>https://filmfreeway.com/SanDiegoUnderSeaFilmExhibition</v>
      </c>
      <c r="J801" s="155"/>
      <c r="K801" s="22" t="s">
        <v>27</v>
      </c>
      <c r="L801" s="22" t="s">
        <v>27</v>
      </c>
      <c r="M801" s="130" t="s">
        <v>684</v>
      </c>
      <c r="N801" s="130" t="s">
        <v>72</v>
      </c>
      <c r="O801" s="22" t="s">
        <v>27</v>
      </c>
      <c r="P801" s="22" t="s">
        <v>27</v>
      </c>
      <c r="Q801" s="131"/>
      <c r="R801" s="132"/>
      <c r="S801" s="132"/>
      <c r="T801" s="118"/>
      <c r="U801" s="119"/>
      <c r="V801" s="119"/>
      <c r="W801" s="119"/>
      <c r="X801" s="119"/>
      <c r="Y801" s="134"/>
      <c r="Z801" s="119"/>
      <c r="AA801" s="119"/>
      <c r="AB801" s="119"/>
      <c r="AC801" s="119"/>
      <c r="AD801" s="119"/>
      <c r="AE801" s="119"/>
      <c r="AF801" s="119"/>
      <c r="AG801" s="119"/>
      <c r="AH801" s="121"/>
      <c r="AI801" s="121"/>
      <c r="AJ801" s="121"/>
      <c r="AK801" s="121"/>
      <c r="AL801" s="121"/>
      <c r="AM801" s="165" t="s">
        <v>97</v>
      </c>
      <c r="AN801" s="143" t="s">
        <v>97</v>
      </c>
      <c r="AO801" s="119"/>
      <c r="AP801" s="119"/>
      <c r="AQ801" s="119"/>
      <c r="AR801" s="119"/>
      <c r="AS801" s="119"/>
    </row>
    <row r="802">
      <c r="A802" s="137">
        <v>595.0</v>
      </c>
      <c r="B802" s="177"/>
      <c r="C802" s="104" t="s">
        <v>4401</v>
      </c>
      <c r="D802" s="138" t="s">
        <v>56</v>
      </c>
      <c r="E802" s="156" t="s">
        <v>227</v>
      </c>
      <c r="F802" s="178"/>
      <c r="G802" s="77" t="s">
        <v>4402</v>
      </c>
      <c r="H802" s="81" t="s">
        <v>4403</v>
      </c>
      <c r="I802" s="84" t="s">
        <v>4404</v>
      </c>
      <c r="J802" s="155"/>
      <c r="K802" s="37">
        <v>43993.0</v>
      </c>
      <c r="L802" s="37">
        <v>43996.0</v>
      </c>
      <c r="M802" s="85" t="s">
        <v>399</v>
      </c>
      <c r="N802" s="85" t="s">
        <v>72</v>
      </c>
      <c r="O802" s="113">
        <v>43800.0</v>
      </c>
      <c r="P802" s="37">
        <v>43891.0</v>
      </c>
      <c r="Q802" s="22"/>
      <c r="R802" s="22"/>
      <c r="S802" s="117"/>
      <c r="T802" s="181"/>
      <c r="U802" s="184"/>
      <c r="V802" s="184"/>
      <c r="W802" s="184"/>
      <c r="X802" s="184"/>
      <c r="Y802" s="184"/>
      <c r="Z802" s="184"/>
      <c r="AA802" s="398" t="s">
        <v>97</v>
      </c>
      <c r="AB802" s="184"/>
      <c r="AC802" s="184"/>
      <c r="AD802" s="186"/>
      <c r="AE802" s="187"/>
      <c r="AF802" s="184"/>
      <c r="AG802" s="187"/>
      <c r="AH802" s="189"/>
      <c r="AI802" s="189"/>
      <c r="AJ802" s="189"/>
      <c r="AK802" s="189"/>
      <c r="AL802" s="189"/>
      <c r="AM802" s="189"/>
      <c r="AN802" s="187"/>
      <c r="AO802" s="187"/>
      <c r="AP802" s="184"/>
      <c r="AQ802" s="187"/>
      <c r="AR802" s="187"/>
      <c r="AS802" s="119"/>
    </row>
    <row r="803">
      <c r="A803" s="101">
        <v>596.0</v>
      </c>
      <c r="B803" s="150"/>
      <c r="C803" s="104" t="s">
        <v>4405</v>
      </c>
      <c r="D803" s="105" t="s">
        <v>51</v>
      </c>
      <c r="E803" s="107" t="s">
        <v>51</v>
      </c>
      <c r="F803" s="101"/>
      <c r="G803" s="40" t="s">
        <v>4406</v>
      </c>
      <c r="H803" s="55" t="s">
        <v>4407</v>
      </c>
      <c r="I803" s="69" t="s">
        <v>4408</v>
      </c>
      <c r="J803" s="155"/>
      <c r="K803" s="37">
        <v>43986.0</v>
      </c>
      <c r="L803" s="37">
        <v>44000.0</v>
      </c>
      <c r="M803" s="73" t="s">
        <v>399</v>
      </c>
      <c r="N803" s="179" t="s">
        <v>72</v>
      </c>
      <c r="O803" s="113">
        <v>43806.0</v>
      </c>
      <c r="P803" s="37">
        <v>43922.0</v>
      </c>
      <c r="Q803" s="22"/>
      <c r="R803" s="22"/>
      <c r="S803" s="193" t="s">
        <v>97</v>
      </c>
      <c r="T803" s="236"/>
      <c r="U803" s="161"/>
      <c r="V803" s="241" t="s">
        <v>97</v>
      </c>
      <c r="W803" s="161"/>
      <c r="X803" s="161"/>
      <c r="Y803" s="161"/>
      <c r="Z803" s="161"/>
      <c r="AA803" s="161"/>
      <c r="AB803" s="161"/>
      <c r="AC803" s="161"/>
      <c r="AD803" s="161"/>
      <c r="AE803" s="161"/>
      <c r="AF803" s="161"/>
      <c r="AG803" s="161"/>
      <c r="AH803" s="163"/>
      <c r="AI803" s="163"/>
      <c r="AJ803" s="163"/>
      <c r="AK803" s="163"/>
      <c r="AL803" s="163"/>
      <c r="AM803" s="163"/>
      <c r="AN803" s="161"/>
      <c r="AO803" s="161"/>
      <c r="AP803" s="161"/>
      <c r="AQ803" s="161"/>
      <c r="AR803" s="161"/>
      <c r="AS803" s="119"/>
    </row>
    <row r="804">
      <c r="A804" s="137">
        <v>597.0</v>
      </c>
      <c r="B804" s="177"/>
      <c r="C804" s="104" t="s">
        <v>4409</v>
      </c>
      <c r="D804" s="105" t="s">
        <v>48</v>
      </c>
      <c r="E804" s="107" t="s">
        <v>48</v>
      </c>
      <c r="F804" s="178"/>
      <c r="G804" s="77" t="s">
        <v>4410</v>
      </c>
      <c r="H804" s="81" t="s">
        <v>4411</v>
      </c>
      <c r="I804" s="84" t="s">
        <v>4412</v>
      </c>
      <c r="J804" s="155"/>
      <c r="K804" s="37">
        <v>44029.0</v>
      </c>
      <c r="L804" s="37">
        <v>44033.0</v>
      </c>
      <c r="M804" s="85" t="s">
        <v>399</v>
      </c>
      <c r="N804" s="85" t="s">
        <v>72</v>
      </c>
      <c r="O804" s="113">
        <v>43708.0</v>
      </c>
      <c r="P804" s="37">
        <v>43982.0</v>
      </c>
      <c r="Q804" s="22"/>
      <c r="R804" s="22"/>
      <c r="S804" s="117"/>
      <c r="T804" s="181"/>
      <c r="U804" s="182" t="s">
        <v>97</v>
      </c>
      <c r="V804" s="184"/>
      <c r="W804" s="184"/>
      <c r="X804" s="184"/>
      <c r="Y804" s="184"/>
      <c r="Z804" s="184"/>
      <c r="AA804" s="184"/>
      <c r="AB804" s="184"/>
      <c r="AC804" s="184"/>
      <c r="AD804" s="186"/>
      <c r="AE804" s="187"/>
      <c r="AF804" s="184"/>
      <c r="AG804" s="187"/>
      <c r="AH804" s="189"/>
      <c r="AI804" s="189"/>
      <c r="AJ804" s="189"/>
      <c r="AK804" s="189"/>
      <c r="AL804" s="189"/>
      <c r="AM804" s="189"/>
      <c r="AN804" s="187"/>
      <c r="AO804" s="187"/>
      <c r="AP804" s="184"/>
      <c r="AQ804" s="187"/>
      <c r="AR804" s="187"/>
      <c r="AS804" s="119"/>
    </row>
    <row r="805">
      <c r="A805" s="137">
        <v>598.0</v>
      </c>
      <c r="B805" s="150">
        <v>10.0</v>
      </c>
      <c r="C805" s="104" t="s">
        <v>4413</v>
      </c>
      <c r="D805" s="138" t="s">
        <v>62</v>
      </c>
      <c r="E805" s="107" t="s">
        <v>523</v>
      </c>
      <c r="F805" s="101"/>
      <c r="G805" s="40" t="s">
        <v>4414</v>
      </c>
      <c r="H805" s="55" t="s">
        <v>4415</v>
      </c>
      <c r="I805" s="69" t="s">
        <v>4416</v>
      </c>
      <c r="J805" s="155"/>
      <c r="K805" s="37">
        <v>44121.0</v>
      </c>
      <c r="L805" s="37">
        <v>44128.0</v>
      </c>
      <c r="M805" s="73" t="s">
        <v>399</v>
      </c>
      <c r="N805" s="179" t="s">
        <v>72</v>
      </c>
      <c r="O805" s="37">
        <v>43952.0</v>
      </c>
      <c r="P805" s="37">
        <v>43973.0</v>
      </c>
      <c r="Q805" s="22"/>
      <c r="R805" s="22"/>
      <c r="S805" s="117"/>
      <c r="T805" s="236"/>
      <c r="U805" s="161"/>
      <c r="V805" s="161"/>
      <c r="W805" s="161"/>
      <c r="X805" s="161"/>
      <c r="Y805" s="161"/>
      <c r="Z805" s="161"/>
      <c r="AA805" s="161"/>
      <c r="AB805" s="161"/>
      <c r="AC805" s="161"/>
      <c r="AD805" s="161"/>
      <c r="AE805" s="161"/>
      <c r="AF805" s="548" t="s">
        <v>97</v>
      </c>
      <c r="AG805" s="161"/>
      <c r="AH805" s="163"/>
      <c r="AI805" s="163"/>
      <c r="AJ805" s="163"/>
      <c r="AK805" s="163"/>
      <c r="AL805" s="163"/>
      <c r="AM805" s="163"/>
      <c r="AN805" s="161"/>
      <c r="AO805" s="161"/>
      <c r="AP805" s="161"/>
      <c r="AQ805" s="161"/>
      <c r="AR805" s="161"/>
      <c r="AS805" s="119"/>
    </row>
    <row r="806">
      <c r="A806" s="137">
        <v>1002.0</v>
      </c>
      <c r="B806" s="122">
        <v>9.0</v>
      </c>
      <c r="C806" s="123" t="s">
        <v>4417</v>
      </c>
      <c r="D806" s="138" t="s">
        <v>75</v>
      </c>
      <c r="E806" s="138" t="s">
        <v>75</v>
      </c>
      <c r="F806" s="144"/>
      <c r="G806" s="637" t="s">
        <v>4418</v>
      </c>
      <c r="H806" s="89" t="s">
        <v>4419</v>
      </c>
      <c r="I806" s="91" t="str">
        <f>HYPERLINK("https://filmfreeway.com/GreenFilmFest","https://filmfreeway.com/GreenFilmFest")</f>
        <v>https://filmfreeway.com/GreenFilmFest</v>
      </c>
      <c r="J806" s="155"/>
      <c r="K806" s="37">
        <v>44084.0</v>
      </c>
      <c r="L806" s="37">
        <v>44094.0</v>
      </c>
      <c r="M806" s="130" t="s">
        <v>399</v>
      </c>
      <c r="N806" s="130" t="s">
        <v>72</v>
      </c>
      <c r="O806" s="37">
        <v>43884.0</v>
      </c>
      <c r="P806" s="37">
        <v>43926.0</v>
      </c>
      <c r="Q806" s="131"/>
      <c r="R806" s="132"/>
      <c r="S806" s="148" t="s">
        <v>97</v>
      </c>
      <c r="T806" s="118"/>
      <c r="U806" s="119"/>
      <c r="V806" s="119"/>
      <c r="W806" s="119"/>
      <c r="X806" s="119"/>
      <c r="Y806" s="134"/>
      <c r="Z806" s="119"/>
      <c r="AA806" s="119"/>
      <c r="AB806" s="119"/>
      <c r="AC806" s="119"/>
      <c r="AD806" s="119"/>
      <c r="AE806" s="119"/>
      <c r="AF806" s="119"/>
      <c r="AG806" s="119"/>
      <c r="AH806" s="121"/>
      <c r="AI806" s="121"/>
      <c r="AJ806" s="121"/>
      <c r="AK806" s="121"/>
      <c r="AL806" s="121"/>
      <c r="AM806" s="135"/>
      <c r="AN806" s="143" t="s">
        <v>97</v>
      </c>
      <c r="AO806" s="119"/>
      <c r="AP806" s="119"/>
      <c r="AQ806" s="119"/>
      <c r="AR806" s="119"/>
      <c r="AS806" s="119"/>
    </row>
    <row r="807">
      <c r="A807" s="101">
        <v>599.0</v>
      </c>
      <c r="B807" s="177"/>
      <c r="C807" s="104" t="s">
        <v>4420</v>
      </c>
      <c r="D807" s="105" t="s">
        <v>48</v>
      </c>
      <c r="E807" s="107" t="s">
        <v>48</v>
      </c>
      <c r="F807" s="178"/>
      <c r="G807" s="77" t="s">
        <v>4421</v>
      </c>
      <c r="H807" s="81" t="s">
        <v>4422</v>
      </c>
      <c r="I807" s="84" t="s">
        <v>4423</v>
      </c>
      <c r="J807" s="155"/>
      <c r="K807" s="37">
        <v>43860.0</v>
      </c>
      <c r="L807" s="37">
        <v>43874.0</v>
      </c>
      <c r="M807" s="85" t="s">
        <v>399</v>
      </c>
      <c r="N807" s="85" t="s">
        <v>72</v>
      </c>
      <c r="O807" s="113">
        <v>43617.0</v>
      </c>
      <c r="P807" s="37">
        <v>43770.0</v>
      </c>
      <c r="Q807" s="22"/>
      <c r="R807" s="22"/>
      <c r="S807" s="193" t="s">
        <v>97</v>
      </c>
      <c r="T807" s="181"/>
      <c r="U807" s="182" t="s">
        <v>97</v>
      </c>
      <c r="V807" s="184"/>
      <c r="W807" s="184"/>
      <c r="X807" s="184"/>
      <c r="Y807" s="184"/>
      <c r="Z807" s="184"/>
      <c r="AA807" s="184"/>
      <c r="AB807" s="184"/>
      <c r="AC807" s="184"/>
      <c r="AD807" s="186"/>
      <c r="AE807" s="187"/>
      <c r="AF807" s="184"/>
      <c r="AG807" s="187"/>
      <c r="AH807" s="189"/>
      <c r="AI807" s="189"/>
      <c r="AJ807" s="189"/>
      <c r="AK807" s="189"/>
      <c r="AL807" s="189"/>
      <c r="AM807" s="189"/>
      <c r="AN807" s="187"/>
      <c r="AO807" s="187"/>
      <c r="AP807" s="184"/>
      <c r="AQ807" s="187"/>
      <c r="AR807" s="187"/>
      <c r="AS807" s="119"/>
    </row>
    <row r="808">
      <c r="A808" s="137">
        <v>943.0</v>
      </c>
      <c r="B808" s="284"/>
      <c r="C808" s="123" t="s">
        <v>2301</v>
      </c>
      <c r="D808" s="124" t="s">
        <v>52</v>
      </c>
      <c r="E808" s="126" t="s">
        <v>52</v>
      </c>
      <c r="F808" s="144"/>
      <c r="G808" s="87" t="s">
        <v>4424</v>
      </c>
      <c r="H808" s="89" t="s">
        <v>4425</v>
      </c>
      <c r="I808" s="91" t="str">
        <f>HYPERLINK("https://filmfreeway.com/SFIndieShorts","https://filmfreeway.com/SFIndieShorts")</f>
        <v>https://filmfreeway.com/SFIndieShorts</v>
      </c>
      <c r="J808" s="288"/>
      <c r="K808" s="145">
        <v>44099.0</v>
      </c>
      <c r="L808" s="145">
        <v>44101.0</v>
      </c>
      <c r="M808" s="130" t="s">
        <v>399</v>
      </c>
      <c r="N808" s="130" t="s">
        <v>72</v>
      </c>
      <c r="O808" s="145">
        <v>43891.0</v>
      </c>
      <c r="P808" s="145">
        <v>44057.0</v>
      </c>
      <c r="Q808" s="131"/>
      <c r="R808" s="132"/>
      <c r="S808" s="148" t="s">
        <v>97</v>
      </c>
      <c r="T808" s="118"/>
      <c r="U808" s="119"/>
      <c r="V808" s="119"/>
      <c r="W808" s="120" t="s">
        <v>97</v>
      </c>
      <c r="X808" s="119"/>
      <c r="Y808" s="134"/>
      <c r="Z808" s="119"/>
      <c r="AA808" s="119"/>
      <c r="AB808" s="119"/>
      <c r="AC808" s="119"/>
      <c r="AD808" s="119"/>
      <c r="AE808" s="119"/>
      <c r="AF808" s="119"/>
      <c r="AG808" s="119"/>
      <c r="AH808" s="121"/>
      <c r="AI808" s="121"/>
      <c r="AJ808" s="121"/>
      <c r="AK808" s="121"/>
      <c r="AL808" s="121"/>
      <c r="AM808" s="135"/>
      <c r="AN808" s="119"/>
      <c r="AO808" s="119"/>
      <c r="AP808" s="119"/>
      <c r="AQ808" s="119"/>
      <c r="AR808" s="119"/>
      <c r="AS808" s="119"/>
    </row>
    <row r="809">
      <c r="A809" s="137">
        <v>600.0</v>
      </c>
      <c r="B809" s="197"/>
      <c r="C809" s="104" t="s">
        <v>4426</v>
      </c>
      <c r="D809" s="105" t="s">
        <v>48</v>
      </c>
      <c r="E809" s="107" t="s">
        <v>48</v>
      </c>
      <c r="F809" s="178"/>
      <c r="G809" s="77" t="s">
        <v>881</v>
      </c>
      <c r="H809" s="81" t="s">
        <v>882</v>
      </c>
      <c r="I809" s="175" t="s">
        <v>883</v>
      </c>
      <c r="J809" s="20" t="s">
        <v>26</v>
      </c>
      <c r="K809" s="37">
        <v>43929.0</v>
      </c>
      <c r="L809" s="37">
        <v>43942.0</v>
      </c>
      <c r="M809" s="85" t="s">
        <v>399</v>
      </c>
      <c r="N809" s="85" t="s">
        <v>72</v>
      </c>
      <c r="O809" s="113">
        <v>43745.0</v>
      </c>
      <c r="P809" s="37">
        <v>43808.0</v>
      </c>
      <c r="Q809" s="200" t="s">
        <v>222</v>
      </c>
      <c r="R809" s="200" t="s">
        <v>222</v>
      </c>
      <c r="S809" s="224"/>
      <c r="T809" s="181"/>
      <c r="U809" s="182" t="s">
        <v>97</v>
      </c>
      <c r="V809" s="184"/>
      <c r="W809" s="184"/>
      <c r="X809" s="184"/>
      <c r="Y809" s="184"/>
      <c r="Z809" s="184"/>
      <c r="AA809" s="184"/>
      <c r="AB809" s="184"/>
      <c r="AC809" s="184"/>
      <c r="AD809" s="186"/>
      <c r="AE809" s="187"/>
      <c r="AF809" s="184"/>
      <c r="AG809" s="187"/>
      <c r="AH809" s="189"/>
      <c r="AI809" s="189"/>
      <c r="AJ809" s="189"/>
      <c r="AK809" s="189"/>
      <c r="AL809" s="189"/>
      <c r="AM809" s="189"/>
      <c r="AN809" s="187"/>
      <c r="AO809" s="187"/>
      <c r="AP809" s="184"/>
      <c r="AQ809" s="187"/>
      <c r="AR809" s="187"/>
      <c r="AS809" s="119"/>
    </row>
    <row r="810">
      <c r="A810" s="137">
        <v>601.0</v>
      </c>
      <c r="B810" s="197"/>
      <c r="C810" s="104" t="s">
        <v>4427</v>
      </c>
      <c r="D810" s="226" t="s">
        <v>54</v>
      </c>
      <c r="E810" s="227" t="s">
        <v>54</v>
      </c>
      <c r="F810" s="178"/>
      <c r="G810" s="77" t="s">
        <v>4428</v>
      </c>
      <c r="H810" s="81" t="s">
        <v>4429</v>
      </c>
      <c r="I810" s="34" t="s">
        <v>4430</v>
      </c>
      <c r="J810" s="155"/>
      <c r="K810" s="37">
        <v>44000.0</v>
      </c>
      <c r="L810" s="37">
        <v>44010.0</v>
      </c>
      <c r="M810" s="85" t="s">
        <v>399</v>
      </c>
      <c r="N810" s="85" t="s">
        <v>72</v>
      </c>
      <c r="O810" s="113">
        <v>43809.0</v>
      </c>
      <c r="P810" s="37">
        <v>43890.0</v>
      </c>
      <c r="Q810" s="22"/>
      <c r="R810" s="22"/>
      <c r="S810" s="117"/>
      <c r="T810" s="181"/>
      <c r="U810" s="184"/>
      <c r="V810" s="184"/>
      <c r="W810" s="184"/>
      <c r="X810" s="184"/>
      <c r="Y810" s="233" t="s">
        <v>97</v>
      </c>
      <c r="Z810" s="184"/>
      <c r="AA810" s="184"/>
      <c r="AB810" s="184"/>
      <c r="AC810" s="184"/>
      <c r="AD810" s="186"/>
      <c r="AE810" s="187"/>
      <c r="AF810" s="184"/>
      <c r="AG810" s="187"/>
      <c r="AH810" s="189"/>
      <c r="AI810" s="189"/>
      <c r="AJ810" s="189"/>
      <c r="AK810" s="189"/>
      <c r="AL810" s="189"/>
      <c r="AM810" s="189"/>
      <c r="AN810" s="187"/>
      <c r="AO810" s="187"/>
      <c r="AP810" s="184"/>
      <c r="AQ810" s="187"/>
      <c r="AR810" s="187"/>
      <c r="AS810" s="119"/>
    </row>
    <row r="811">
      <c r="A811" s="101">
        <v>602.0</v>
      </c>
      <c r="B811" s="150">
        <v>10.0</v>
      </c>
      <c r="C811" s="104" t="s">
        <v>4431</v>
      </c>
      <c r="D811" s="138" t="s">
        <v>71</v>
      </c>
      <c r="E811" s="107" t="s">
        <v>71</v>
      </c>
      <c r="F811" s="101"/>
      <c r="G811" s="40" t="s">
        <v>4432</v>
      </c>
      <c r="H811" s="55" t="s">
        <v>4433</v>
      </c>
      <c r="I811" s="69" t="s">
        <v>4434</v>
      </c>
      <c r="J811" s="155"/>
      <c r="K811" s="37">
        <v>44130.0</v>
      </c>
      <c r="L811" s="37">
        <v>44136.0</v>
      </c>
      <c r="M811" s="73" t="s">
        <v>4435</v>
      </c>
      <c r="N811" s="179" t="s">
        <v>72</v>
      </c>
      <c r="O811" s="37">
        <v>43830.0</v>
      </c>
      <c r="P811" s="37">
        <v>44074.0</v>
      </c>
      <c r="Q811" s="22"/>
      <c r="R811" s="22"/>
      <c r="S811" s="117"/>
      <c r="T811" s="236"/>
      <c r="U811" s="161"/>
      <c r="V811" s="161"/>
      <c r="W811" s="161"/>
      <c r="X811" s="161"/>
      <c r="Y811" s="161"/>
      <c r="Z811" s="161"/>
      <c r="AA811" s="161"/>
      <c r="AB811" s="161"/>
      <c r="AC811" s="161"/>
      <c r="AD811" s="161"/>
      <c r="AE811" s="161"/>
      <c r="AF811" s="161"/>
      <c r="AG811" s="161"/>
      <c r="AH811" s="163"/>
      <c r="AI811" s="163"/>
      <c r="AJ811" s="163"/>
      <c r="AK811" s="163"/>
      <c r="AL811" s="163"/>
      <c r="AM811" s="165" t="s">
        <v>97</v>
      </c>
      <c r="AN811" s="161"/>
      <c r="AO811" s="161"/>
      <c r="AP811" s="161"/>
      <c r="AQ811" s="161"/>
      <c r="AR811" s="161"/>
      <c r="AS811" s="119"/>
    </row>
    <row r="812">
      <c r="A812" s="137">
        <v>603.0</v>
      </c>
      <c r="B812" s="197"/>
      <c r="C812" s="104" t="s">
        <v>4436</v>
      </c>
      <c r="D812" s="296" t="s">
        <v>55</v>
      </c>
      <c r="E812" s="297" t="s">
        <v>55</v>
      </c>
      <c r="F812" s="178"/>
      <c r="G812" s="77" t="s">
        <v>2119</v>
      </c>
      <c r="H812" s="81" t="s">
        <v>4437</v>
      </c>
      <c r="I812" s="34" t="s">
        <v>4438</v>
      </c>
      <c r="J812" s="155"/>
      <c r="K812" s="37">
        <v>44028.0</v>
      </c>
      <c r="L812" s="37">
        <v>44045.0</v>
      </c>
      <c r="M812" s="85" t="s">
        <v>399</v>
      </c>
      <c r="N812" s="85" t="s">
        <v>72</v>
      </c>
      <c r="O812" s="113">
        <v>43871.0</v>
      </c>
      <c r="P812" s="37">
        <v>43871.0</v>
      </c>
      <c r="Q812" s="22"/>
      <c r="R812" s="200" t="s">
        <v>222</v>
      </c>
      <c r="S812" s="224"/>
      <c r="T812" s="181"/>
      <c r="U812" s="184"/>
      <c r="V812" s="184"/>
      <c r="W812" s="184"/>
      <c r="X812" s="184"/>
      <c r="Y812" s="184"/>
      <c r="Z812" s="420" t="s">
        <v>97</v>
      </c>
      <c r="AA812" s="184"/>
      <c r="AB812" s="184"/>
      <c r="AC812" s="184"/>
      <c r="AD812" s="186"/>
      <c r="AE812" s="187"/>
      <c r="AF812" s="184"/>
      <c r="AG812" s="187"/>
      <c r="AH812" s="189"/>
      <c r="AI812" s="189"/>
      <c r="AJ812" s="189"/>
      <c r="AK812" s="189"/>
      <c r="AL812" s="189"/>
      <c r="AM812" s="189"/>
      <c r="AN812" s="187"/>
      <c r="AO812" s="187"/>
      <c r="AP812" s="184"/>
      <c r="AQ812" s="187"/>
      <c r="AR812" s="187"/>
      <c r="AS812" s="119"/>
    </row>
    <row r="813">
      <c r="A813" s="137">
        <v>604.0</v>
      </c>
      <c r="B813" s="177">
        <v>5.0</v>
      </c>
      <c r="C813" s="104" t="s">
        <v>4439</v>
      </c>
      <c r="D813" s="105" t="s">
        <v>48</v>
      </c>
      <c r="E813" s="107" t="s">
        <v>48</v>
      </c>
      <c r="F813" s="178"/>
      <c r="G813" s="77" t="s">
        <v>4440</v>
      </c>
      <c r="H813" s="81" t="s">
        <v>4441</v>
      </c>
      <c r="I813" s="84" t="s">
        <v>4442</v>
      </c>
      <c r="J813" s="155"/>
      <c r="K813" s="22" t="s">
        <v>27</v>
      </c>
      <c r="L813" s="22" t="s">
        <v>27</v>
      </c>
      <c r="M813" s="85" t="s">
        <v>399</v>
      </c>
      <c r="N813" s="85" t="s">
        <v>72</v>
      </c>
      <c r="O813" s="22" t="s">
        <v>27</v>
      </c>
      <c r="P813" s="22" t="s">
        <v>27</v>
      </c>
      <c r="Q813" s="22"/>
      <c r="R813" s="22"/>
      <c r="S813" s="117"/>
      <c r="T813" s="181"/>
      <c r="U813" s="182" t="s">
        <v>97</v>
      </c>
      <c r="V813" s="184"/>
      <c r="W813" s="184"/>
      <c r="X813" s="184"/>
      <c r="Y813" s="184"/>
      <c r="Z813" s="184"/>
      <c r="AA813" s="184"/>
      <c r="AB813" s="184"/>
      <c r="AC813" s="184"/>
      <c r="AD813" s="186"/>
      <c r="AE813" s="187"/>
      <c r="AF813" s="184"/>
      <c r="AG813" s="187"/>
      <c r="AH813" s="189"/>
      <c r="AI813" s="189"/>
      <c r="AJ813" s="189"/>
      <c r="AK813" s="189"/>
      <c r="AL813" s="189"/>
      <c r="AM813" s="189"/>
      <c r="AN813" s="187"/>
      <c r="AO813" s="187"/>
      <c r="AP813" s="184"/>
      <c r="AQ813" s="187"/>
      <c r="AR813" s="187"/>
      <c r="AS813" s="119"/>
    </row>
    <row r="814">
      <c r="A814" s="101">
        <v>605.0</v>
      </c>
      <c r="B814" s="177">
        <v>11.0</v>
      </c>
      <c r="C814" s="104" t="s">
        <v>4443</v>
      </c>
      <c r="D814" s="226" t="s">
        <v>54</v>
      </c>
      <c r="E814" s="227" t="s">
        <v>54</v>
      </c>
      <c r="F814" s="178"/>
      <c r="G814" s="77" t="s">
        <v>4444</v>
      </c>
      <c r="H814" s="81" t="s">
        <v>4445</v>
      </c>
      <c r="I814" s="84" t="s">
        <v>4446</v>
      </c>
      <c r="J814" s="155"/>
      <c r="K814" s="37">
        <v>44147.0</v>
      </c>
      <c r="L814" s="37">
        <v>44150.0</v>
      </c>
      <c r="M814" s="85" t="s">
        <v>399</v>
      </c>
      <c r="N814" s="85" t="s">
        <v>72</v>
      </c>
      <c r="O814" s="37">
        <v>44044.0</v>
      </c>
      <c r="P814" s="37">
        <v>44064.0</v>
      </c>
      <c r="Q814" s="373"/>
      <c r="R814" s="373"/>
      <c r="S814" s="224"/>
      <c r="T814" s="181"/>
      <c r="U814" s="184"/>
      <c r="V814" s="184"/>
      <c r="W814" s="184"/>
      <c r="X814" s="184"/>
      <c r="Y814" s="233" t="s">
        <v>97</v>
      </c>
      <c r="Z814" s="184"/>
      <c r="AA814" s="184"/>
      <c r="AB814" s="184"/>
      <c r="AC814" s="184"/>
      <c r="AD814" s="186"/>
      <c r="AE814" s="187"/>
      <c r="AF814" s="184"/>
      <c r="AG814" s="187"/>
      <c r="AH814" s="189"/>
      <c r="AI814" s="189"/>
      <c r="AJ814" s="189"/>
      <c r="AK814" s="189"/>
      <c r="AL814" s="189"/>
      <c r="AM814" s="189"/>
      <c r="AN814" s="187"/>
      <c r="AO814" s="187"/>
      <c r="AP814" s="184"/>
      <c r="AQ814" s="187"/>
      <c r="AR814" s="187"/>
      <c r="AS814" s="119"/>
    </row>
    <row r="815">
      <c r="A815" s="137">
        <v>826.0</v>
      </c>
      <c r="B815" s="197"/>
      <c r="C815" s="104" t="s">
        <v>4447</v>
      </c>
      <c r="D815" s="138" t="s">
        <v>71</v>
      </c>
      <c r="E815" s="107" t="s">
        <v>71</v>
      </c>
      <c r="F815" s="109"/>
      <c r="G815" s="10" t="s">
        <v>2007</v>
      </c>
      <c r="H815" s="17" t="s">
        <v>4448</v>
      </c>
      <c r="I815" s="34" t="s">
        <v>4449</v>
      </c>
      <c r="J815" s="155"/>
      <c r="K815" s="37">
        <v>44142.0</v>
      </c>
      <c r="L815" s="37">
        <v>44143.0</v>
      </c>
      <c r="M815" s="24" t="s">
        <v>399</v>
      </c>
      <c r="N815" s="24" t="s">
        <v>72</v>
      </c>
      <c r="O815" s="114">
        <v>43922.0</v>
      </c>
      <c r="P815" s="114">
        <v>44063.0</v>
      </c>
      <c r="Q815" s="223"/>
      <c r="R815" s="223"/>
      <c r="S815" s="224"/>
      <c r="T815" s="118"/>
      <c r="U815" s="119"/>
      <c r="V815" s="119"/>
      <c r="W815" s="119"/>
      <c r="X815" s="119"/>
      <c r="Y815" s="119"/>
      <c r="Z815" s="119"/>
      <c r="AA815" s="119"/>
      <c r="AB815" s="119"/>
      <c r="AC815" s="119"/>
      <c r="AD815" s="119"/>
      <c r="AE815" s="119"/>
      <c r="AF815" s="119"/>
      <c r="AG815" s="119"/>
      <c r="AH815" s="121"/>
      <c r="AI815" s="121"/>
      <c r="AJ815" s="121"/>
      <c r="AK815" s="121"/>
      <c r="AL815" s="121"/>
      <c r="AM815" s="165" t="s">
        <v>97</v>
      </c>
      <c r="AN815" s="119"/>
      <c r="AO815" s="119"/>
      <c r="AP815" s="119"/>
      <c r="AQ815" s="119"/>
      <c r="AR815" s="119"/>
      <c r="AS815" s="119"/>
    </row>
    <row r="816">
      <c r="A816" s="137">
        <v>606.0</v>
      </c>
      <c r="B816" s="406">
        <v>10.0</v>
      </c>
      <c r="C816" s="104" t="s">
        <v>4450</v>
      </c>
      <c r="D816" s="105" t="s">
        <v>52</v>
      </c>
      <c r="E816" s="107" t="s">
        <v>52</v>
      </c>
      <c r="F816" s="627"/>
      <c r="G816" s="628" t="s">
        <v>4451</v>
      </c>
      <c r="H816" s="81" t="s">
        <v>4452</v>
      </c>
      <c r="I816" s="409" t="s">
        <v>4453</v>
      </c>
      <c r="J816" s="155"/>
      <c r="K816" s="37">
        <v>44126.0</v>
      </c>
      <c r="L816" s="37">
        <v>44129.0</v>
      </c>
      <c r="M816" s="410" t="s">
        <v>1289</v>
      </c>
      <c r="N816" s="410" t="s">
        <v>72</v>
      </c>
      <c r="O816" s="37">
        <v>43890.0</v>
      </c>
      <c r="P816" s="37">
        <v>44012.0</v>
      </c>
      <c r="Q816" s="22"/>
      <c r="R816" s="22"/>
      <c r="S816" s="117"/>
      <c r="T816" s="411"/>
      <c r="U816" s="187"/>
      <c r="V816" s="187"/>
      <c r="W816" s="768" t="s">
        <v>97</v>
      </c>
      <c r="X816" s="187"/>
      <c r="Y816" s="187"/>
      <c r="Z816" s="187"/>
      <c r="AA816" s="187"/>
      <c r="AB816" s="187"/>
      <c r="AC816" s="187"/>
      <c r="AD816" s="186"/>
      <c r="AE816" s="187"/>
      <c r="AF816" s="187"/>
      <c r="AG816" s="187"/>
      <c r="AH816" s="189"/>
      <c r="AI816" s="189"/>
      <c r="AJ816" s="189"/>
      <c r="AK816" s="189"/>
      <c r="AL816" s="189"/>
      <c r="AM816" s="189"/>
      <c r="AN816" s="187"/>
      <c r="AO816" s="187"/>
      <c r="AP816" s="187"/>
      <c r="AQ816" s="187"/>
      <c r="AR816" s="187"/>
      <c r="AS816" s="119"/>
    </row>
    <row r="817">
      <c r="A817" s="137">
        <v>607.0</v>
      </c>
      <c r="B817" s="177"/>
      <c r="C817" s="104" t="s">
        <v>4454</v>
      </c>
      <c r="D817" s="105" t="s">
        <v>48</v>
      </c>
      <c r="E817" s="107" t="s">
        <v>48</v>
      </c>
      <c r="F817" s="178"/>
      <c r="G817" s="77" t="s">
        <v>1209</v>
      </c>
      <c r="H817" s="81" t="s">
        <v>1210</v>
      </c>
      <c r="I817" s="84" t="s">
        <v>1211</v>
      </c>
      <c r="J817" s="20" t="s">
        <v>26</v>
      </c>
      <c r="K817" s="37">
        <v>43907.0</v>
      </c>
      <c r="L817" s="37">
        <v>43912.0</v>
      </c>
      <c r="M817" s="85" t="s">
        <v>1212</v>
      </c>
      <c r="N817" s="85" t="s">
        <v>72</v>
      </c>
      <c r="O817" s="113">
        <v>43717.0</v>
      </c>
      <c r="P817" s="37">
        <v>43801.0</v>
      </c>
      <c r="Q817" s="22"/>
      <c r="R817" s="22"/>
      <c r="S817" s="193" t="s">
        <v>97</v>
      </c>
      <c r="T817" s="181"/>
      <c r="U817" s="182" t="s">
        <v>97</v>
      </c>
      <c r="V817" s="184"/>
      <c r="W817" s="184"/>
      <c r="X817" s="184"/>
      <c r="Y817" s="184"/>
      <c r="Z817" s="184"/>
      <c r="AA817" s="184"/>
      <c r="AB817" s="184"/>
      <c r="AC817" s="184"/>
      <c r="AD817" s="186"/>
      <c r="AE817" s="187"/>
      <c r="AF817" s="184"/>
      <c r="AG817" s="187"/>
      <c r="AH817" s="189"/>
      <c r="AI817" s="189"/>
      <c r="AJ817" s="189"/>
      <c r="AK817" s="189"/>
      <c r="AL817" s="189"/>
      <c r="AM817" s="189"/>
      <c r="AN817" s="187"/>
      <c r="AO817" s="187"/>
      <c r="AP817" s="184"/>
      <c r="AQ817" s="187"/>
      <c r="AR817" s="187"/>
      <c r="AS817" s="119"/>
    </row>
    <row r="818">
      <c r="A818" s="101">
        <v>608.0</v>
      </c>
      <c r="B818" s="173"/>
      <c r="C818" s="104" t="s">
        <v>4455</v>
      </c>
      <c r="D818" s="296" t="s">
        <v>55</v>
      </c>
      <c r="E818" s="297" t="s">
        <v>55</v>
      </c>
      <c r="F818" s="190"/>
      <c r="G818" s="40" t="s">
        <v>4456</v>
      </c>
      <c r="H818" s="55" t="s">
        <v>4457</v>
      </c>
      <c r="I818" s="289" t="s">
        <v>24</v>
      </c>
      <c r="J818" s="155"/>
      <c r="K818" s="37">
        <v>43832.0</v>
      </c>
      <c r="L818" s="37">
        <v>43835.0</v>
      </c>
      <c r="M818" s="290" t="s">
        <v>1212</v>
      </c>
      <c r="N818" s="290" t="s">
        <v>72</v>
      </c>
      <c r="O818" s="114" t="s">
        <v>24</v>
      </c>
      <c r="P818" s="114" t="s">
        <v>24</v>
      </c>
      <c r="Q818" s="223"/>
      <c r="R818" s="223"/>
      <c r="S818" s="224"/>
      <c r="T818" s="141"/>
      <c r="U818" s="119"/>
      <c r="V818" s="119"/>
      <c r="W818" s="119"/>
      <c r="X818" s="119"/>
      <c r="Y818" s="119"/>
      <c r="Z818" s="299" t="s">
        <v>97</v>
      </c>
      <c r="AA818" s="119"/>
      <c r="AB818" s="119"/>
      <c r="AC818" s="119"/>
      <c r="AD818" s="119"/>
      <c r="AE818" s="119"/>
      <c r="AF818" s="119"/>
      <c r="AG818" s="119"/>
      <c r="AH818" s="121"/>
      <c r="AI818" s="121"/>
      <c r="AJ818" s="121"/>
      <c r="AK818" s="121"/>
      <c r="AL818" s="121"/>
      <c r="AM818" s="121"/>
      <c r="AN818" s="119"/>
      <c r="AO818" s="119"/>
      <c r="AP818" s="119"/>
      <c r="AQ818" s="119"/>
      <c r="AR818" s="119"/>
      <c r="AS818" s="119"/>
    </row>
    <row r="819">
      <c r="A819" s="137">
        <v>609.0</v>
      </c>
      <c r="B819" s="150"/>
      <c r="C819" s="104" t="s">
        <v>4458</v>
      </c>
      <c r="D819" s="105" t="s">
        <v>48</v>
      </c>
      <c r="E819" s="107" t="s">
        <v>48</v>
      </c>
      <c r="F819" s="101"/>
      <c r="G819" s="40" t="s">
        <v>4459</v>
      </c>
      <c r="H819" s="55" t="s">
        <v>4460</v>
      </c>
      <c r="I819" s="69" t="s">
        <v>4461</v>
      </c>
      <c r="J819" s="155"/>
      <c r="K819" s="37">
        <v>44140.0</v>
      </c>
      <c r="L819" s="37">
        <v>44143.0</v>
      </c>
      <c r="M819" s="73" t="s">
        <v>4462</v>
      </c>
      <c r="N819" s="179" t="s">
        <v>72</v>
      </c>
      <c r="O819" s="113">
        <v>43861.0</v>
      </c>
      <c r="P819" s="37">
        <v>44043.0</v>
      </c>
      <c r="Q819" s="22"/>
      <c r="R819" s="22"/>
      <c r="S819" s="117"/>
      <c r="T819" s="236"/>
      <c r="U819" s="176" t="s">
        <v>97</v>
      </c>
      <c r="V819" s="161"/>
      <c r="W819" s="161"/>
      <c r="X819" s="161"/>
      <c r="Y819" s="161"/>
      <c r="Z819" s="161"/>
      <c r="AA819" s="161"/>
      <c r="AB819" s="161"/>
      <c r="AC819" s="161"/>
      <c r="AD819" s="161"/>
      <c r="AE819" s="161"/>
      <c r="AF819" s="161"/>
      <c r="AG819" s="161"/>
      <c r="AH819" s="163"/>
      <c r="AI819" s="163"/>
      <c r="AJ819" s="163"/>
      <c r="AK819" s="163"/>
      <c r="AL819" s="163"/>
      <c r="AM819" s="163"/>
      <c r="AN819" s="161"/>
      <c r="AO819" s="161"/>
      <c r="AP819" s="161"/>
      <c r="AQ819" s="161"/>
      <c r="AR819" s="161"/>
      <c r="AS819" s="119"/>
    </row>
    <row r="820">
      <c r="A820" s="137">
        <v>610.0</v>
      </c>
      <c r="B820" s="150">
        <v>11.0</v>
      </c>
      <c r="C820" s="104" t="s">
        <v>4463</v>
      </c>
      <c r="D820" s="105" t="s">
        <v>52</v>
      </c>
      <c r="E820" s="107" t="s">
        <v>52</v>
      </c>
      <c r="F820" s="101"/>
      <c r="G820" s="40" t="s">
        <v>4464</v>
      </c>
      <c r="H820" s="55" t="s">
        <v>4465</v>
      </c>
      <c r="I820" s="69" t="s">
        <v>4466</v>
      </c>
      <c r="J820" s="155"/>
      <c r="K820" s="22" t="s">
        <v>27</v>
      </c>
      <c r="L820" s="22" t="s">
        <v>27</v>
      </c>
      <c r="M820" s="73" t="s">
        <v>4467</v>
      </c>
      <c r="N820" s="179" t="s">
        <v>1186</v>
      </c>
      <c r="O820" s="22" t="s">
        <v>27</v>
      </c>
      <c r="P820" s="22" t="s">
        <v>27</v>
      </c>
      <c r="Q820" s="22"/>
      <c r="R820" s="22"/>
      <c r="S820" s="117"/>
      <c r="T820" s="236"/>
      <c r="U820" s="161"/>
      <c r="V820" s="161"/>
      <c r="W820" s="120" t="s">
        <v>97</v>
      </c>
      <c r="X820" s="161"/>
      <c r="Y820" s="161"/>
      <c r="Z820" s="161"/>
      <c r="AA820" s="161"/>
      <c r="AB820" s="161"/>
      <c r="AC820" s="161"/>
      <c r="AD820" s="161"/>
      <c r="AE820" s="161"/>
      <c r="AF820" s="161"/>
      <c r="AG820" s="161"/>
      <c r="AH820" s="163"/>
      <c r="AI820" s="163"/>
      <c r="AJ820" s="163"/>
      <c r="AK820" s="163"/>
      <c r="AL820" s="163"/>
      <c r="AM820" s="163"/>
      <c r="AN820" s="161"/>
      <c r="AO820" s="161"/>
      <c r="AP820" s="161"/>
      <c r="AQ820" s="161"/>
      <c r="AR820" s="161"/>
      <c r="AS820" s="119"/>
    </row>
    <row r="821">
      <c r="A821" s="137">
        <v>930.0</v>
      </c>
      <c r="B821" s="122">
        <v>11.0</v>
      </c>
      <c r="C821" s="123" t="s">
        <v>4468</v>
      </c>
      <c r="D821" s="124" t="s">
        <v>89</v>
      </c>
      <c r="E821" s="287" t="s">
        <v>4469</v>
      </c>
      <c r="F821" s="127"/>
      <c r="G821" s="128" t="s">
        <v>1580</v>
      </c>
      <c r="H821" s="89" t="s">
        <v>4470</v>
      </c>
      <c r="I821" s="91" t="str">
        <f>HYPERLINK("https://filmfreeway.com/SansSouciFest","https://filmfreeway.com/SansSouciFest")</f>
        <v>https://filmfreeway.com/SansSouciFest</v>
      </c>
      <c r="J821" s="155"/>
      <c r="K821" s="37">
        <v>44056.0</v>
      </c>
      <c r="L821" s="37">
        <v>44165.0</v>
      </c>
      <c r="M821" s="130" t="s">
        <v>185</v>
      </c>
      <c r="N821" s="130" t="s">
        <v>110</v>
      </c>
      <c r="O821" s="37">
        <v>43890.0</v>
      </c>
      <c r="P821" s="37">
        <v>43930.0</v>
      </c>
      <c r="Q821" s="131"/>
      <c r="R821" s="132"/>
      <c r="S821" s="132"/>
      <c r="T821" s="118"/>
      <c r="U821" s="119"/>
      <c r="V821" s="119"/>
      <c r="W821" s="120" t="s">
        <v>97</v>
      </c>
      <c r="X821" s="119"/>
      <c r="Y821" s="134"/>
      <c r="Z821" s="119"/>
      <c r="AA821" s="119"/>
      <c r="AB821" s="119"/>
      <c r="AC821" s="119"/>
      <c r="AD821" s="119"/>
      <c r="AE821" s="119"/>
      <c r="AF821" s="119"/>
      <c r="AG821" s="119"/>
      <c r="AH821" s="121"/>
      <c r="AI821" s="121"/>
      <c r="AJ821" s="121"/>
      <c r="AK821" s="121"/>
      <c r="AL821" s="121"/>
      <c r="AM821" s="135"/>
      <c r="AN821" s="119"/>
      <c r="AO821" s="119"/>
      <c r="AP821" s="119"/>
      <c r="AQ821" s="172" t="s">
        <v>97</v>
      </c>
      <c r="AR821" s="119"/>
      <c r="AS821" s="119"/>
    </row>
    <row r="822">
      <c r="A822" s="101">
        <v>611.0</v>
      </c>
      <c r="B822" s="177"/>
      <c r="C822" s="104" t="s">
        <v>4471</v>
      </c>
      <c r="D822" s="105" t="s">
        <v>48</v>
      </c>
      <c r="E822" s="107" t="s">
        <v>48</v>
      </c>
      <c r="F822" s="178"/>
      <c r="G822" s="77" t="s">
        <v>4472</v>
      </c>
      <c r="H822" s="81" t="s">
        <v>4473</v>
      </c>
      <c r="I822" s="84" t="s">
        <v>4474</v>
      </c>
      <c r="J822" s="155"/>
      <c r="K822" s="37">
        <v>43845.0</v>
      </c>
      <c r="L822" s="37">
        <v>43855.0</v>
      </c>
      <c r="M822" s="85" t="s">
        <v>1303</v>
      </c>
      <c r="N822" s="85" t="s">
        <v>72</v>
      </c>
      <c r="O822" s="113">
        <v>43658.0</v>
      </c>
      <c r="P822" s="37">
        <v>43784.0</v>
      </c>
      <c r="Q822" s="200" t="s">
        <v>222</v>
      </c>
      <c r="R822" s="22"/>
      <c r="S822" s="117"/>
      <c r="T822" s="181"/>
      <c r="U822" s="182" t="s">
        <v>97</v>
      </c>
      <c r="V822" s="184"/>
      <c r="W822" s="184"/>
      <c r="X822" s="184"/>
      <c r="Y822" s="184"/>
      <c r="Z822" s="184"/>
      <c r="AA822" s="184"/>
      <c r="AB822" s="184"/>
      <c r="AC822" s="184"/>
      <c r="AD822" s="186"/>
      <c r="AE822" s="187"/>
      <c r="AF822" s="184"/>
      <c r="AG822" s="187"/>
      <c r="AH822" s="189"/>
      <c r="AI822" s="189"/>
      <c r="AJ822" s="189"/>
      <c r="AK822" s="189"/>
      <c r="AL822" s="189"/>
      <c r="AM822" s="189"/>
      <c r="AN822" s="187"/>
      <c r="AO822" s="187"/>
      <c r="AP822" s="184"/>
      <c r="AQ822" s="187"/>
      <c r="AR822" s="187"/>
      <c r="AS822" s="119"/>
    </row>
    <row r="823">
      <c r="A823" s="137">
        <v>612.0</v>
      </c>
      <c r="B823" s="150"/>
      <c r="C823" s="104" t="s">
        <v>4475</v>
      </c>
      <c r="D823" s="296" t="s">
        <v>55</v>
      </c>
      <c r="E823" s="297" t="s">
        <v>55</v>
      </c>
      <c r="F823" s="101"/>
      <c r="G823" s="40" t="s">
        <v>1295</v>
      </c>
      <c r="H823" s="55" t="s">
        <v>1296</v>
      </c>
      <c r="I823" s="69" t="s">
        <v>1300</v>
      </c>
      <c r="J823" s="20" t="s">
        <v>1301</v>
      </c>
      <c r="K823" s="37">
        <v>43901.0</v>
      </c>
      <c r="L823" s="37">
        <v>43905.0</v>
      </c>
      <c r="M823" s="73" t="s">
        <v>1303</v>
      </c>
      <c r="N823" s="179" t="s">
        <v>72</v>
      </c>
      <c r="O823" s="113">
        <v>43735.0</v>
      </c>
      <c r="P823" s="37">
        <v>43799.0</v>
      </c>
      <c r="Q823" s="22"/>
      <c r="R823" s="22"/>
      <c r="S823" s="117"/>
      <c r="T823" s="236"/>
      <c r="U823" s="161"/>
      <c r="V823" s="161"/>
      <c r="W823" s="161"/>
      <c r="X823" s="161"/>
      <c r="Y823" s="161"/>
      <c r="Z823" s="299" t="s">
        <v>97</v>
      </c>
      <c r="AA823" s="161"/>
      <c r="AB823" s="161"/>
      <c r="AC823" s="161"/>
      <c r="AD823" s="161"/>
      <c r="AE823" s="161"/>
      <c r="AF823" s="161"/>
      <c r="AG823" s="161"/>
      <c r="AH823" s="163"/>
      <c r="AI823" s="163"/>
      <c r="AJ823" s="163"/>
      <c r="AK823" s="163"/>
      <c r="AL823" s="163"/>
      <c r="AM823" s="163"/>
      <c r="AN823" s="161"/>
      <c r="AO823" s="161"/>
      <c r="AP823" s="161"/>
      <c r="AQ823" s="161"/>
      <c r="AR823" s="161"/>
      <c r="AS823" s="119"/>
    </row>
    <row r="824">
      <c r="A824" s="137">
        <v>613.0</v>
      </c>
      <c r="B824" s="177">
        <v>10.0</v>
      </c>
      <c r="C824" s="104" t="s">
        <v>4476</v>
      </c>
      <c r="D824" s="105" t="s">
        <v>48</v>
      </c>
      <c r="E824" s="107" t="s">
        <v>48</v>
      </c>
      <c r="F824" s="178"/>
      <c r="G824" s="77" t="s">
        <v>4477</v>
      </c>
      <c r="H824" s="81" t="s">
        <v>4478</v>
      </c>
      <c r="I824" s="84" t="s">
        <v>4479</v>
      </c>
      <c r="J824" s="155"/>
      <c r="K824" s="37">
        <v>44117.0</v>
      </c>
      <c r="L824" s="37">
        <v>44122.0</v>
      </c>
      <c r="M824" s="85" t="s">
        <v>330</v>
      </c>
      <c r="N824" s="85" t="s">
        <v>72</v>
      </c>
      <c r="O824" s="37">
        <v>43905.0</v>
      </c>
      <c r="P824" s="37">
        <v>43987.0</v>
      </c>
      <c r="Q824" s="229"/>
      <c r="R824" s="229"/>
      <c r="S824" s="760"/>
      <c r="T824" s="181"/>
      <c r="U824" s="182" t="s">
        <v>97</v>
      </c>
      <c r="V824" s="184"/>
      <c r="W824" s="184"/>
      <c r="X824" s="184"/>
      <c r="Y824" s="184"/>
      <c r="Z824" s="184"/>
      <c r="AA824" s="184"/>
      <c r="AB824" s="184"/>
      <c r="AC824" s="184"/>
      <c r="AD824" s="186"/>
      <c r="AE824" s="187"/>
      <c r="AF824" s="184"/>
      <c r="AG824" s="187"/>
      <c r="AH824" s="189"/>
      <c r="AI824" s="189"/>
      <c r="AJ824" s="189"/>
      <c r="AK824" s="189"/>
      <c r="AL824" s="189"/>
      <c r="AM824" s="189"/>
      <c r="AN824" s="187"/>
      <c r="AO824" s="187"/>
      <c r="AP824" s="184"/>
      <c r="AQ824" s="187"/>
      <c r="AR824" s="187"/>
      <c r="AS824" s="119"/>
    </row>
    <row r="825">
      <c r="A825" s="101">
        <v>614.0</v>
      </c>
      <c r="B825" s="177"/>
      <c r="C825" s="104" t="s">
        <v>4480</v>
      </c>
      <c r="D825" s="105" t="s">
        <v>48</v>
      </c>
      <c r="E825" s="107" t="s">
        <v>48</v>
      </c>
      <c r="F825" s="178"/>
      <c r="G825" s="77" t="s">
        <v>4481</v>
      </c>
      <c r="H825" s="81" t="s">
        <v>4482</v>
      </c>
      <c r="I825" s="84" t="s">
        <v>4483</v>
      </c>
      <c r="J825" s="155"/>
      <c r="K825" s="37">
        <v>43873.0</v>
      </c>
      <c r="L825" s="37">
        <v>43877.0</v>
      </c>
      <c r="M825" s="85" t="s">
        <v>4484</v>
      </c>
      <c r="N825" s="85" t="s">
        <v>430</v>
      </c>
      <c r="O825" s="113">
        <v>43591.0</v>
      </c>
      <c r="P825" s="37">
        <v>43773.0</v>
      </c>
      <c r="Q825" s="22"/>
      <c r="R825" s="22"/>
      <c r="S825" s="117"/>
      <c r="T825" s="181"/>
      <c r="U825" s="182" t="s">
        <v>97</v>
      </c>
      <c r="V825" s="184"/>
      <c r="W825" s="184"/>
      <c r="X825" s="184"/>
      <c r="Y825" s="184"/>
      <c r="Z825" s="184"/>
      <c r="AA825" s="184"/>
      <c r="AB825" s="184"/>
      <c r="AC825" s="184"/>
      <c r="AD825" s="186"/>
      <c r="AE825" s="187"/>
      <c r="AF825" s="184"/>
      <c r="AG825" s="187"/>
      <c r="AH825" s="189"/>
      <c r="AI825" s="189"/>
      <c r="AJ825" s="189"/>
      <c r="AK825" s="189"/>
      <c r="AL825" s="189"/>
      <c r="AM825" s="189"/>
      <c r="AN825" s="187"/>
      <c r="AO825" s="187"/>
      <c r="AP825" s="184"/>
      <c r="AQ825" s="187"/>
      <c r="AR825" s="187"/>
      <c r="AS825" s="119"/>
    </row>
    <row r="826">
      <c r="A826" s="137">
        <v>615.0</v>
      </c>
      <c r="B826" s="292"/>
      <c r="C826" s="104" t="s">
        <v>4485</v>
      </c>
      <c r="D826" s="105" t="s">
        <v>48</v>
      </c>
      <c r="E826" s="107" t="s">
        <v>48</v>
      </c>
      <c r="F826" s="190"/>
      <c r="G826" s="192" t="s">
        <v>4486</v>
      </c>
      <c r="H826" s="81" t="s">
        <v>4487</v>
      </c>
      <c r="I826" s="158" t="s">
        <v>4488</v>
      </c>
      <c r="J826" s="155"/>
      <c r="K826" s="37">
        <v>44118.0</v>
      </c>
      <c r="L826" s="37">
        <v>44122.0</v>
      </c>
      <c r="M826" s="73" t="s">
        <v>4484</v>
      </c>
      <c r="N826" s="73" t="s">
        <v>430</v>
      </c>
      <c r="O826" s="113">
        <v>43894.0</v>
      </c>
      <c r="P826" s="37">
        <v>44028.0</v>
      </c>
      <c r="Q826" s="22"/>
      <c r="R826" s="22"/>
      <c r="S826" s="117"/>
      <c r="T826" s="157"/>
      <c r="U826" s="293" t="s">
        <v>97</v>
      </c>
      <c r="V826" s="194"/>
      <c r="W826" s="194"/>
      <c r="X826" s="194"/>
      <c r="Y826" s="194"/>
      <c r="Z826" s="194"/>
      <c r="AA826" s="194"/>
      <c r="AB826" s="194"/>
      <c r="AC826" s="194"/>
      <c r="AD826" s="186"/>
      <c r="AE826" s="187"/>
      <c r="AF826" s="194"/>
      <c r="AG826" s="187"/>
      <c r="AH826" s="189"/>
      <c r="AI826" s="189"/>
      <c r="AJ826" s="189"/>
      <c r="AK826" s="189"/>
      <c r="AL826" s="189"/>
      <c r="AM826" s="189"/>
      <c r="AN826" s="187"/>
      <c r="AO826" s="187"/>
      <c r="AP826" s="194"/>
      <c r="AQ826" s="187"/>
      <c r="AR826" s="187"/>
      <c r="AS826" s="119"/>
    </row>
    <row r="827">
      <c r="A827" s="137">
        <v>616.0</v>
      </c>
      <c r="B827" s="177"/>
      <c r="C827" s="104" t="s">
        <v>4489</v>
      </c>
      <c r="D827" s="105" t="s">
        <v>48</v>
      </c>
      <c r="E827" s="107" t="s">
        <v>48</v>
      </c>
      <c r="F827" s="178"/>
      <c r="G827" s="77" t="s">
        <v>4490</v>
      </c>
      <c r="H827" s="81" t="s">
        <v>4491</v>
      </c>
      <c r="I827" s="84" t="s">
        <v>4492</v>
      </c>
      <c r="J827" s="155"/>
      <c r="K827" s="37">
        <v>44165.0</v>
      </c>
      <c r="L827" s="37">
        <v>44165.0</v>
      </c>
      <c r="M827" s="85" t="s">
        <v>662</v>
      </c>
      <c r="N827" s="85" t="s">
        <v>72</v>
      </c>
      <c r="O827" s="113">
        <v>43511.0</v>
      </c>
      <c r="P827" s="37">
        <v>43745.0</v>
      </c>
      <c r="Q827" s="22"/>
      <c r="R827" s="22"/>
      <c r="S827" s="117"/>
      <c r="T827" s="181"/>
      <c r="U827" s="182" t="s">
        <v>97</v>
      </c>
      <c r="V827" s="184"/>
      <c r="W827" s="184"/>
      <c r="X827" s="184"/>
      <c r="Y827" s="184"/>
      <c r="Z827" s="184"/>
      <c r="AA827" s="184"/>
      <c r="AB827" s="184"/>
      <c r="AC827" s="184"/>
      <c r="AD827" s="186"/>
      <c r="AE827" s="187"/>
      <c r="AF827" s="184"/>
      <c r="AG827" s="187"/>
      <c r="AH827" s="189"/>
      <c r="AI827" s="189"/>
      <c r="AJ827" s="189"/>
      <c r="AK827" s="189"/>
      <c r="AL827" s="189"/>
      <c r="AM827" s="189"/>
      <c r="AN827" s="187"/>
      <c r="AO827" s="187"/>
      <c r="AP827" s="184"/>
      <c r="AQ827" s="187"/>
      <c r="AR827" s="187"/>
      <c r="AS827" s="119"/>
    </row>
    <row r="828">
      <c r="A828" s="137">
        <v>617.0</v>
      </c>
      <c r="B828" s="150">
        <v>6.0</v>
      </c>
      <c r="C828" s="104" t="s">
        <v>4493</v>
      </c>
      <c r="D828" s="105" t="s">
        <v>70</v>
      </c>
      <c r="E828" s="107" t="s">
        <v>1326</v>
      </c>
      <c r="F828" s="101"/>
      <c r="G828" s="40" t="s">
        <v>4494</v>
      </c>
      <c r="H828" s="55" t="s">
        <v>4495</v>
      </c>
      <c r="I828" s="69" t="s">
        <v>4496</v>
      </c>
      <c r="J828" s="155"/>
      <c r="K828" s="22" t="s">
        <v>27</v>
      </c>
      <c r="L828" s="22" t="s">
        <v>27</v>
      </c>
      <c r="M828" s="73" t="s">
        <v>662</v>
      </c>
      <c r="N828" s="179" t="s">
        <v>72</v>
      </c>
      <c r="O828" s="22" t="s">
        <v>27</v>
      </c>
      <c r="P828" s="22" t="s">
        <v>27</v>
      </c>
      <c r="Q828" s="22"/>
      <c r="R828" s="22"/>
      <c r="S828" s="117"/>
      <c r="T828" s="236"/>
      <c r="U828" s="161"/>
      <c r="V828" s="161"/>
      <c r="W828" s="120" t="s">
        <v>97</v>
      </c>
      <c r="X828" s="161"/>
      <c r="Y828" s="161"/>
      <c r="Z828" s="161"/>
      <c r="AA828" s="161"/>
      <c r="AB828" s="161"/>
      <c r="AC828" s="161"/>
      <c r="AD828" s="161"/>
      <c r="AE828" s="161"/>
      <c r="AF828" s="161"/>
      <c r="AG828" s="161"/>
      <c r="AH828" s="163"/>
      <c r="AI828" s="163"/>
      <c r="AJ828" s="163"/>
      <c r="AK828" s="163"/>
      <c r="AL828" s="149" t="s">
        <v>97</v>
      </c>
      <c r="AM828" s="163"/>
      <c r="AN828" s="161"/>
      <c r="AO828" s="161"/>
      <c r="AP828" s="161"/>
      <c r="AQ828" s="161"/>
      <c r="AR828" s="161"/>
      <c r="AS828" s="119"/>
    </row>
    <row r="829">
      <c r="A829" s="101">
        <v>618.0</v>
      </c>
      <c r="B829" s="177"/>
      <c r="C829" s="104" t="s">
        <v>4497</v>
      </c>
      <c r="D829" s="105" t="s">
        <v>48</v>
      </c>
      <c r="E829" s="107" t="s">
        <v>48</v>
      </c>
      <c r="F829" s="178"/>
      <c r="G829" s="77" t="s">
        <v>907</v>
      </c>
      <c r="H829" s="81" t="s">
        <v>908</v>
      </c>
      <c r="I829" s="84" t="s">
        <v>909</v>
      </c>
      <c r="J829" s="20" t="s">
        <v>78</v>
      </c>
      <c r="K829" s="37">
        <v>43917.0</v>
      </c>
      <c r="L829" s="37">
        <v>43926.0</v>
      </c>
      <c r="M829" s="85" t="s">
        <v>911</v>
      </c>
      <c r="N829" s="85" t="s">
        <v>46</v>
      </c>
      <c r="O829" s="113">
        <v>43708.0</v>
      </c>
      <c r="P829" s="37">
        <v>43794.0</v>
      </c>
      <c r="Q829" s="22"/>
      <c r="R829" s="22"/>
      <c r="S829" s="117"/>
      <c r="T829" s="181"/>
      <c r="U829" s="182" t="s">
        <v>97</v>
      </c>
      <c r="V829" s="184"/>
      <c r="W829" s="184"/>
      <c r="X829" s="184"/>
      <c r="Y829" s="184"/>
      <c r="Z829" s="184"/>
      <c r="AA829" s="184"/>
      <c r="AB829" s="184"/>
      <c r="AC829" s="184"/>
      <c r="AD829" s="186"/>
      <c r="AE829" s="187"/>
      <c r="AF829" s="184"/>
      <c r="AG829" s="187"/>
      <c r="AH829" s="189"/>
      <c r="AI829" s="189"/>
      <c r="AJ829" s="189"/>
      <c r="AK829" s="189"/>
      <c r="AL829" s="189"/>
      <c r="AM829" s="189"/>
      <c r="AN829" s="187"/>
      <c r="AO829" s="187"/>
      <c r="AP829" s="184"/>
      <c r="AQ829" s="187"/>
      <c r="AR829" s="187"/>
      <c r="AS829" s="119"/>
    </row>
    <row r="830">
      <c r="A830" s="137">
        <v>619.0</v>
      </c>
      <c r="B830" s="177"/>
      <c r="C830" s="104" t="s">
        <v>4498</v>
      </c>
      <c r="D830" s="105" t="s">
        <v>48</v>
      </c>
      <c r="E830" s="107" t="s">
        <v>48</v>
      </c>
      <c r="F830" s="178"/>
      <c r="G830" s="77" t="s">
        <v>4499</v>
      </c>
      <c r="H830" s="81" t="s">
        <v>4500</v>
      </c>
      <c r="I830" s="84" t="s">
        <v>4501</v>
      </c>
      <c r="J830" s="155"/>
      <c r="K830" s="37">
        <v>44128.0</v>
      </c>
      <c r="L830" s="37">
        <v>44135.0</v>
      </c>
      <c r="M830" s="85" t="s">
        <v>4502</v>
      </c>
      <c r="N830" s="85" t="s">
        <v>19</v>
      </c>
      <c r="O830" s="113">
        <v>43921.0</v>
      </c>
      <c r="P830" s="37">
        <v>44012.0</v>
      </c>
      <c r="Q830" s="22"/>
      <c r="R830" s="22"/>
      <c r="S830" s="117"/>
      <c r="T830" s="181"/>
      <c r="U830" s="182" t="s">
        <v>97</v>
      </c>
      <c r="V830" s="184"/>
      <c r="W830" s="184"/>
      <c r="X830" s="184"/>
      <c r="Y830" s="184"/>
      <c r="Z830" s="184"/>
      <c r="AA830" s="184"/>
      <c r="AB830" s="184"/>
      <c r="AC830" s="184"/>
      <c r="AD830" s="186"/>
      <c r="AE830" s="187"/>
      <c r="AF830" s="184"/>
      <c r="AG830" s="187"/>
      <c r="AH830" s="189"/>
      <c r="AI830" s="189"/>
      <c r="AJ830" s="189"/>
      <c r="AK830" s="189"/>
      <c r="AL830" s="189"/>
      <c r="AM830" s="189"/>
      <c r="AN830" s="187"/>
      <c r="AO830" s="187"/>
      <c r="AP830" s="184"/>
      <c r="AQ830" s="187"/>
      <c r="AR830" s="187"/>
      <c r="AS830" s="119"/>
    </row>
    <row r="831">
      <c r="A831" s="137">
        <v>620.0</v>
      </c>
      <c r="B831" s="177">
        <v>1.0</v>
      </c>
      <c r="C831" s="104" t="s">
        <v>4503</v>
      </c>
      <c r="D831" s="296" t="s">
        <v>55</v>
      </c>
      <c r="E831" s="297" t="s">
        <v>55</v>
      </c>
      <c r="F831" s="178"/>
      <c r="G831" s="77" t="s">
        <v>4504</v>
      </c>
      <c r="H831" s="81" t="s">
        <v>4505</v>
      </c>
      <c r="I831" s="84" t="s">
        <v>4506</v>
      </c>
      <c r="J831" s="155"/>
      <c r="K831" s="22" t="s">
        <v>27</v>
      </c>
      <c r="L831" s="22" t="s">
        <v>27</v>
      </c>
      <c r="M831" s="85" t="s">
        <v>4502</v>
      </c>
      <c r="N831" s="85" t="s">
        <v>19</v>
      </c>
      <c r="O831" s="22" t="s">
        <v>27</v>
      </c>
      <c r="P831" s="22" t="s">
        <v>27</v>
      </c>
      <c r="Q831" s="373"/>
      <c r="R831" s="373"/>
      <c r="S831" s="224"/>
      <c r="T831" s="181"/>
      <c r="U831" s="184"/>
      <c r="V831" s="184"/>
      <c r="W831" s="184"/>
      <c r="X831" s="184"/>
      <c r="Y831" s="184"/>
      <c r="Z831" s="420" t="s">
        <v>97</v>
      </c>
      <c r="AA831" s="184"/>
      <c r="AB831" s="184"/>
      <c r="AC831" s="184"/>
      <c r="AD831" s="186"/>
      <c r="AE831" s="187"/>
      <c r="AF831" s="184"/>
      <c r="AG831" s="187"/>
      <c r="AH831" s="189"/>
      <c r="AI831" s="189"/>
      <c r="AJ831" s="189"/>
      <c r="AK831" s="189"/>
      <c r="AL831" s="189"/>
      <c r="AM831" s="189"/>
      <c r="AN831" s="187"/>
      <c r="AO831" s="187"/>
      <c r="AP831" s="184"/>
      <c r="AQ831" s="187"/>
      <c r="AR831" s="187"/>
      <c r="AS831" s="119"/>
    </row>
    <row r="832">
      <c r="A832" s="101">
        <v>621.0</v>
      </c>
      <c r="B832" s="150"/>
      <c r="C832" s="104" t="s">
        <v>4507</v>
      </c>
      <c r="D832" s="105" t="s">
        <v>52</v>
      </c>
      <c r="E832" s="107" t="s">
        <v>1139</v>
      </c>
      <c r="F832" s="101"/>
      <c r="G832" s="40" t="s">
        <v>4508</v>
      </c>
      <c r="H832" s="55" t="s">
        <v>4509</v>
      </c>
      <c r="I832" s="69" t="s">
        <v>4510</v>
      </c>
      <c r="J832" s="155"/>
      <c r="K832" s="37">
        <v>44030.0</v>
      </c>
      <c r="L832" s="37">
        <v>44030.0</v>
      </c>
      <c r="M832" s="73" t="s">
        <v>900</v>
      </c>
      <c r="N832" s="179" t="s">
        <v>379</v>
      </c>
      <c r="O832" s="113">
        <v>43848.0</v>
      </c>
      <c r="P832" s="37">
        <v>43960.0</v>
      </c>
      <c r="Q832" s="22"/>
      <c r="R832" s="22"/>
      <c r="S832" s="117"/>
      <c r="T832" s="236"/>
      <c r="U832" s="161"/>
      <c r="V832" s="161"/>
      <c r="W832" s="120" t="s">
        <v>97</v>
      </c>
      <c r="X832" s="161"/>
      <c r="Y832" s="161"/>
      <c r="Z832" s="161"/>
      <c r="AA832" s="161"/>
      <c r="AB832" s="161"/>
      <c r="AC832" s="161"/>
      <c r="AD832" s="161"/>
      <c r="AE832" s="161"/>
      <c r="AF832" s="161"/>
      <c r="AG832" s="161"/>
      <c r="AH832" s="163"/>
      <c r="AI832" s="163"/>
      <c r="AJ832" s="163"/>
      <c r="AK832" s="163"/>
      <c r="AL832" s="163"/>
      <c r="AM832" s="165" t="s">
        <v>97</v>
      </c>
      <c r="AN832" s="161"/>
      <c r="AO832" s="161"/>
      <c r="AP832" s="161"/>
      <c r="AQ832" s="161"/>
      <c r="AR832" s="161"/>
      <c r="AS832" s="119"/>
    </row>
    <row r="833">
      <c r="A833" s="137">
        <v>622.0</v>
      </c>
      <c r="B833" s="150"/>
      <c r="C833" s="104" t="s">
        <v>4511</v>
      </c>
      <c r="D833" s="105" t="s">
        <v>64</v>
      </c>
      <c r="E833" s="107" t="s">
        <v>64</v>
      </c>
      <c r="F833" s="101"/>
      <c r="G833" s="40" t="s">
        <v>4512</v>
      </c>
      <c r="H833" s="55" t="s">
        <v>4513</v>
      </c>
      <c r="I833" s="69" t="s">
        <v>4514</v>
      </c>
      <c r="J833" s="155"/>
      <c r="K833" s="37">
        <v>44120.0</v>
      </c>
      <c r="L833" s="37">
        <v>44122.0</v>
      </c>
      <c r="M833" s="73" t="s">
        <v>4515</v>
      </c>
      <c r="N833" s="179" t="s">
        <v>29</v>
      </c>
      <c r="O833" s="113">
        <v>43845.0</v>
      </c>
      <c r="P833" s="37">
        <v>44048.0</v>
      </c>
      <c r="Q833" s="22"/>
      <c r="R833" s="22"/>
      <c r="S833" s="117"/>
      <c r="T833" s="236"/>
      <c r="U833" s="161"/>
      <c r="V833" s="161"/>
      <c r="W833" s="161"/>
      <c r="X833" s="161"/>
      <c r="Y833" s="161"/>
      <c r="Z833" s="161"/>
      <c r="AA833" s="161"/>
      <c r="AB833" s="161"/>
      <c r="AC833" s="161"/>
      <c r="AD833" s="161"/>
      <c r="AE833" s="161"/>
      <c r="AF833" s="161"/>
      <c r="AG833" s="161"/>
      <c r="AH833" s="246" t="s">
        <v>97</v>
      </c>
      <c r="AI833" s="163"/>
      <c r="AJ833" s="163"/>
      <c r="AK833" s="163"/>
      <c r="AL833" s="163"/>
      <c r="AM833" s="163"/>
      <c r="AN833" s="161"/>
      <c r="AO833" s="161"/>
      <c r="AP833" s="161"/>
      <c r="AQ833" s="161"/>
      <c r="AR833" s="161"/>
      <c r="AS833" s="119"/>
    </row>
    <row r="834">
      <c r="A834" s="137">
        <v>920.0</v>
      </c>
      <c r="B834" s="284"/>
      <c r="C834" s="123" t="s">
        <v>4516</v>
      </c>
      <c r="D834" s="138" t="s">
        <v>63</v>
      </c>
      <c r="E834" s="126" t="s">
        <v>4517</v>
      </c>
      <c r="F834" s="312"/>
      <c r="G834" s="216" t="s">
        <v>968</v>
      </c>
      <c r="H834" s="89" t="s">
        <v>969</v>
      </c>
      <c r="I834" s="91" t="str">
        <f>HYPERLINK("https://filmfreeway.com/SFFSFFseattle","https://filmfreeway.com/SFFSFFseattle")</f>
        <v>https://filmfreeway.com/SFFSFFseattle</v>
      </c>
      <c r="J834" s="93" t="s">
        <v>972</v>
      </c>
      <c r="K834" s="145">
        <v>43918.0</v>
      </c>
      <c r="L834" s="145">
        <v>43918.0</v>
      </c>
      <c r="M834" s="130" t="s">
        <v>250</v>
      </c>
      <c r="N834" s="130" t="s">
        <v>251</v>
      </c>
      <c r="O834" s="145">
        <v>43696.0</v>
      </c>
      <c r="P834" s="145">
        <v>43752.0</v>
      </c>
      <c r="Q834" s="131"/>
      <c r="R834" s="132"/>
      <c r="S834" s="132"/>
      <c r="T834" s="118"/>
      <c r="U834" s="119"/>
      <c r="V834" s="119"/>
      <c r="W834" s="120" t="s">
        <v>97</v>
      </c>
      <c r="X834" s="119"/>
      <c r="Y834" s="134"/>
      <c r="Z834" s="119"/>
      <c r="AA834" s="119"/>
      <c r="AB834" s="119"/>
      <c r="AC834" s="119"/>
      <c r="AD834" s="119"/>
      <c r="AE834" s="119"/>
      <c r="AF834" s="119"/>
      <c r="AG834" s="275" t="s">
        <v>97</v>
      </c>
      <c r="AH834" s="121"/>
      <c r="AI834" s="121"/>
      <c r="AJ834" s="121"/>
      <c r="AK834" s="121"/>
      <c r="AL834" s="121"/>
      <c r="AM834" s="135"/>
      <c r="AN834" s="119"/>
      <c r="AO834" s="119"/>
      <c r="AP834" s="119"/>
      <c r="AQ834" s="119"/>
      <c r="AR834" s="119"/>
      <c r="AS834" s="119"/>
    </row>
    <row r="835">
      <c r="A835" s="137">
        <v>623.0</v>
      </c>
      <c r="B835" s="177">
        <v>11.0</v>
      </c>
      <c r="C835" s="104" t="s">
        <v>4518</v>
      </c>
      <c r="D835" s="105" t="s">
        <v>48</v>
      </c>
      <c r="E835" s="107" t="s">
        <v>48</v>
      </c>
      <c r="F835" s="178"/>
      <c r="G835" s="77" t="s">
        <v>4519</v>
      </c>
      <c r="H835" s="250" t="s">
        <v>4520</v>
      </c>
      <c r="I835" s="84" t="s">
        <v>4521</v>
      </c>
      <c r="J835" s="155"/>
      <c r="K835" s="37">
        <v>44141.0</v>
      </c>
      <c r="L835" s="37">
        <v>44150.0</v>
      </c>
      <c r="M835" s="85" t="s">
        <v>4522</v>
      </c>
      <c r="N835" s="85" t="s">
        <v>179</v>
      </c>
      <c r="O835" s="37">
        <v>43927.0</v>
      </c>
      <c r="P835" s="37">
        <v>44046.0</v>
      </c>
      <c r="Q835" s="535"/>
      <c r="R835" s="535"/>
      <c r="S835" s="117"/>
      <c r="T835" s="181"/>
      <c r="U835" s="182" t="s">
        <v>97</v>
      </c>
      <c r="V835" s="184"/>
      <c r="W835" s="184"/>
      <c r="X835" s="184"/>
      <c r="Y835" s="184"/>
      <c r="Z835" s="184"/>
      <c r="AA835" s="184"/>
      <c r="AB835" s="184"/>
      <c r="AC835" s="184"/>
      <c r="AD835" s="186"/>
      <c r="AE835" s="187"/>
      <c r="AF835" s="184"/>
      <c r="AG835" s="187"/>
      <c r="AH835" s="189"/>
      <c r="AI835" s="189"/>
      <c r="AJ835" s="189"/>
      <c r="AK835" s="189"/>
      <c r="AL835" s="189"/>
      <c r="AM835" s="189"/>
      <c r="AN835" s="187"/>
      <c r="AO835" s="187"/>
      <c r="AP835" s="184"/>
      <c r="AQ835" s="187"/>
      <c r="AR835" s="187"/>
      <c r="AS835" s="119"/>
    </row>
    <row r="836">
      <c r="A836" s="137">
        <v>1024.0</v>
      </c>
      <c r="B836" s="173"/>
      <c r="C836" s="740" t="s">
        <v>4523</v>
      </c>
      <c r="D836" s="622" t="s">
        <v>70</v>
      </c>
      <c r="E836" s="622" t="s">
        <v>70</v>
      </c>
      <c r="F836" s="254"/>
      <c r="G836" s="256" t="s">
        <v>609</v>
      </c>
      <c r="H836" s="258" t="s">
        <v>610</v>
      </c>
      <c r="I836" s="259" t="s">
        <v>612</v>
      </c>
      <c r="J836" s="93" t="s">
        <v>614</v>
      </c>
      <c r="K836" s="286">
        <v>43937.0</v>
      </c>
      <c r="L836" s="286">
        <v>43939.0</v>
      </c>
      <c r="M836" s="254" t="s">
        <v>447</v>
      </c>
      <c r="N836" s="254" t="s">
        <v>80</v>
      </c>
      <c r="O836" s="286">
        <v>43749.0</v>
      </c>
      <c r="P836" s="286">
        <v>43840.0</v>
      </c>
      <c r="Q836" s="22"/>
      <c r="R836" s="22"/>
      <c r="S836" s="117"/>
      <c r="T836" s="236"/>
      <c r="U836" s="161"/>
      <c r="V836" s="161"/>
      <c r="W836" s="161"/>
      <c r="X836" s="161"/>
      <c r="Y836" s="161"/>
      <c r="Z836" s="161"/>
      <c r="AA836" s="161"/>
      <c r="AB836" s="161"/>
      <c r="AC836" s="161"/>
      <c r="AD836" s="161"/>
      <c r="AE836" s="161"/>
      <c r="AF836" s="161"/>
      <c r="AG836" s="237"/>
      <c r="AH836" s="163"/>
      <c r="AI836" s="163"/>
      <c r="AJ836" s="163"/>
      <c r="AK836" s="163"/>
      <c r="AL836" s="149" t="s">
        <v>97</v>
      </c>
      <c r="AM836" s="163"/>
      <c r="AN836" s="161"/>
      <c r="AO836" s="161"/>
      <c r="AP836" s="161"/>
      <c r="AQ836" s="161"/>
      <c r="AR836" s="161"/>
      <c r="AS836" s="119"/>
    </row>
    <row r="837">
      <c r="A837" s="137">
        <v>807.0</v>
      </c>
      <c r="B837" s="103">
        <v>10.0</v>
      </c>
      <c r="C837" s="104" t="s">
        <v>4524</v>
      </c>
      <c r="D837" s="105" t="s">
        <v>64</v>
      </c>
      <c r="E837" s="107" t="s">
        <v>64</v>
      </c>
      <c r="F837" s="109"/>
      <c r="G837" s="10" t="s">
        <v>4525</v>
      </c>
      <c r="H837" s="17" t="s">
        <v>4526</v>
      </c>
      <c r="I837" s="111" t="s">
        <v>4527</v>
      </c>
      <c r="J837" s="155"/>
      <c r="K837" s="37">
        <v>44110.0</v>
      </c>
      <c r="L837" s="37">
        <v>44119.0</v>
      </c>
      <c r="M837" s="24" t="s">
        <v>2891</v>
      </c>
      <c r="N837" s="24" t="s">
        <v>72</v>
      </c>
      <c r="O837" s="37">
        <v>43936.0</v>
      </c>
      <c r="P837" s="37">
        <v>44047.0</v>
      </c>
      <c r="Q837" s="115"/>
      <c r="R837" s="115"/>
      <c r="S837" s="117"/>
      <c r="T837" s="118"/>
      <c r="U837" s="119"/>
      <c r="V837" s="119"/>
      <c r="W837" s="119"/>
      <c r="X837" s="119"/>
      <c r="Y837" s="119"/>
      <c r="Z837" s="119"/>
      <c r="AA837" s="119"/>
      <c r="AB837" s="119"/>
      <c r="AC837" s="119"/>
      <c r="AD837" s="119"/>
      <c r="AE837" s="119"/>
      <c r="AF837" s="119"/>
      <c r="AG837" s="119"/>
      <c r="AH837" s="246" t="s">
        <v>97</v>
      </c>
      <c r="AI837" s="121"/>
      <c r="AJ837" s="121"/>
      <c r="AK837" s="121"/>
      <c r="AL837" s="121"/>
      <c r="AM837" s="121"/>
      <c r="AN837" s="119"/>
      <c r="AO837" s="119"/>
      <c r="AP837" s="119"/>
      <c r="AQ837" s="119"/>
      <c r="AR837" s="119"/>
      <c r="AS837" s="119"/>
    </row>
    <row r="838">
      <c r="A838" s="101">
        <v>624.0</v>
      </c>
      <c r="B838" s="292"/>
      <c r="C838" s="104" t="s">
        <v>4528</v>
      </c>
      <c r="D838" s="138" t="s">
        <v>57</v>
      </c>
      <c r="E838" s="107" t="s">
        <v>306</v>
      </c>
      <c r="F838" s="518"/>
      <c r="G838" s="153" t="s">
        <v>4529</v>
      </c>
      <c r="H838" s="81" t="s">
        <v>4530</v>
      </c>
      <c r="I838" s="158" t="s">
        <v>4531</v>
      </c>
      <c r="J838" s="155"/>
      <c r="K838" s="37">
        <v>43881.0</v>
      </c>
      <c r="L838" s="37">
        <v>43884.0</v>
      </c>
      <c r="M838" s="73" t="s">
        <v>250</v>
      </c>
      <c r="N838" s="73" t="s">
        <v>251</v>
      </c>
      <c r="O838" s="113">
        <v>43739.0</v>
      </c>
      <c r="P838" s="37">
        <v>43769.0</v>
      </c>
      <c r="Q838" s="22"/>
      <c r="R838" s="22"/>
      <c r="S838" s="117"/>
      <c r="T838" s="157"/>
      <c r="U838" s="194"/>
      <c r="V838" s="194"/>
      <c r="W838" s="194"/>
      <c r="X838" s="194"/>
      <c r="Y838" s="194"/>
      <c r="Z838" s="194"/>
      <c r="AA838" s="194"/>
      <c r="AB838" s="417" t="s">
        <v>97</v>
      </c>
      <c r="AC838" s="194"/>
      <c r="AD838" s="186"/>
      <c r="AE838" s="187"/>
      <c r="AF838" s="194"/>
      <c r="AG838" s="187"/>
      <c r="AH838" s="189"/>
      <c r="AI838" s="189"/>
      <c r="AJ838" s="189"/>
      <c r="AK838" s="189"/>
      <c r="AL838" s="189"/>
      <c r="AM838" s="189"/>
      <c r="AN838" s="187"/>
      <c r="AO838" s="187"/>
      <c r="AP838" s="194"/>
      <c r="AQ838" s="187"/>
      <c r="AR838" s="187"/>
      <c r="AS838" s="119"/>
    </row>
    <row r="839">
      <c r="A839" s="137">
        <v>353.0</v>
      </c>
      <c r="B839" s="177"/>
      <c r="C839" s="104" t="s">
        <v>4532</v>
      </c>
      <c r="D839" s="138" t="s">
        <v>56</v>
      </c>
      <c r="E839" s="156" t="s">
        <v>227</v>
      </c>
      <c r="F839" s="178"/>
      <c r="G839" s="77" t="s">
        <v>243</v>
      </c>
      <c r="H839" s="81" t="s">
        <v>244</v>
      </c>
      <c r="I839" s="175" t="s">
        <v>246</v>
      </c>
      <c r="J839" s="20" t="s">
        <v>248</v>
      </c>
      <c r="K839" s="37">
        <v>43944.0</v>
      </c>
      <c r="L839" s="37">
        <v>43947.0</v>
      </c>
      <c r="M839" s="85" t="s">
        <v>250</v>
      </c>
      <c r="N839" s="85" t="s">
        <v>251</v>
      </c>
      <c r="O839" s="113">
        <v>43794.0</v>
      </c>
      <c r="P839" s="37">
        <v>43835.0</v>
      </c>
      <c r="Q839" s="22"/>
      <c r="R839" s="22"/>
      <c r="S839" s="117"/>
      <c r="T839" s="181"/>
      <c r="U839" s="184"/>
      <c r="V839" s="184"/>
      <c r="W839" s="184"/>
      <c r="X839" s="184"/>
      <c r="Y839" s="184"/>
      <c r="Z839" s="184"/>
      <c r="AA839" s="398" t="s">
        <v>97</v>
      </c>
      <c r="AB839" s="184"/>
      <c r="AC839" s="184"/>
      <c r="AD839" s="186"/>
      <c r="AE839" s="187"/>
      <c r="AF839" s="184"/>
      <c r="AG839" s="187"/>
      <c r="AH839" s="189"/>
      <c r="AI839" s="189"/>
      <c r="AJ839" s="189"/>
      <c r="AK839" s="189"/>
      <c r="AL839" s="189"/>
      <c r="AM839" s="189"/>
      <c r="AN839" s="187"/>
      <c r="AO839" s="187"/>
      <c r="AP839" s="184"/>
      <c r="AQ839" s="187"/>
      <c r="AR839" s="187"/>
      <c r="AS839" s="119"/>
    </row>
    <row r="840">
      <c r="A840" s="137">
        <v>625.0</v>
      </c>
      <c r="B840" s="177"/>
      <c r="C840" s="104" t="s">
        <v>4533</v>
      </c>
      <c r="D840" s="105" t="s">
        <v>48</v>
      </c>
      <c r="E840" s="107" t="s">
        <v>48</v>
      </c>
      <c r="F840" s="178"/>
      <c r="G840" s="77" t="s">
        <v>472</v>
      </c>
      <c r="H840" s="81" t="s">
        <v>474</v>
      </c>
      <c r="I840" s="84" t="s">
        <v>476</v>
      </c>
      <c r="J840" s="20" t="s">
        <v>26</v>
      </c>
      <c r="K840" s="37">
        <v>43965.0</v>
      </c>
      <c r="L840" s="37">
        <v>43989.0</v>
      </c>
      <c r="M840" s="85" t="s">
        <v>250</v>
      </c>
      <c r="N840" s="85" t="s">
        <v>251</v>
      </c>
      <c r="O840" s="113">
        <v>43742.0</v>
      </c>
      <c r="P840" s="37">
        <v>43861.0</v>
      </c>
      <c r="Q840" s="200" t="s">
        <v>222</v>
      </c>
      <c r="R840" s="200" t="s">
        <v>222</v>
      </c>
      <c r="S840" s="203" t="s">
        <v>97</v>
      </c>
      <c r="T840" s="181"/>
      <c r="U840" s="182" t="s">
        <v>97</v>
      </c>
      <c r="V840" s="184"/>
      <c r="W840" s="184"/>
      <c r="X840" s="184"/>
      <c r="Y840" s="184"/>
      <c r="Z840" s="184"/>
      <c r="AA840" s="184"/>
      <c r="AB840" s="184"/>
      <c r="AC840" s="184"/>
      <c r="AD840" s="186"/>
      <c r="AE840" s="187"/>
      <c r="AF840" s="184"/>
      <c r="AG840" s="187"/>
      <c r="AH840" s="189"/>
      <c r="AI840" s="189"/>
      <c r="AJ840" s="189"/>
      <c r="AK840" s="189"/>
      <c r="AL840" s="189"/>
      <c r="AM840" s="189"/>
      <c r="AN840" s="187"/>
      <c r="AO840" s="187"/>
      <c r="AP840" s="184"/>
      <c r="AQ840" s="187"/>
      <c r="AR840" s="187"/>
      <c r="AS840" s="119"/>
    </row>
    <row r="841">
      <c r="A841" s="137">
        <v>626.0</v>
      </c>
      <c r="B841" s="197"/>
      <c r="C841" s="104" t="s">
        <v>4534</v>
      </c>
      <c r="D841" s="296" t="s">
        <v>55</v>
      </c>
      <c r="E841" s="297" t="s">
        <v>55</v>
      </c>
      <c r="F841" s="101"/>
      <c r="G841" s="40" t="s">
        <v>1077</v>
      </c>
      <c r="H841" s="55" t="s">
        <v>1079</v>
      </c>
      <c r="I841" s="34" t="s">
        <v>1082</v>
      </c>
      <c r="J841" s="20" t="s">
        <v>78</v>
      </c>
      <c r="K841" s="37">
        <v>43911.0</v>
      </c>
      <c r="L841" s="37">
        <v>43926.0</v>
      </c>
      <c r="M841" s="174" t="s">
        <v>1083</v>
      </c>
      <c r="N841" s="290" t="s">
        <v>251</v>
      </c>
      <c r="O841" s="114">
        <v>43646.0</v>
      </c>
      <c r="P841" s="114">
        <v>43770.0</v>
      </c>
      <c r="Q841" s="223"/>
      <c r="R841" s="223"/>
      <c r="S841" s="224"/>
      <c r="T841" s="141"/>
      <c r="U841" s="119"/>
      <c r="V841" s="119"/>
      <c r="W841" s="119"/>
      <c r="X841" s="119"/>
      <c r="Y841" s="119"/>
      <c r="Z841" s="299" t="s">
        <v>97</v>
      </c>
      <c r="AA841" s="119"/>
      <c r="AB841" s="119"/>
      <c r="AC841" s="119"/>
      <c r="AD841" s="119"/>
      <c r="AE841" s="119"/>
      <c r="AF841" s="119"/>
      <c r="AG841" s="119"/>
      <c r="AH841" s="121"/>
      <c r="AI841" s="121"/>
      <c r="AJ841" s="121"/>
      <c r="AK841" s="121"/>
      <c r="AL841" s="121"/>
      <c r="AM841" s="121"/>
      <c r="AN841" s="119"/>
      <c r="AO841" s="119"/>
      <c r="AP841" s="119"/>
      <c r="AQ841" s="119"/>
      <c r="AR841" s="119"/>
      <c r="AS841" s="119"/>
    </row>
    <row r="842">
      <c r="A842" s="101">
        <v>627.0</v>
      </c>
      <c r="B842" s="150"/>
      <c r="C842" s="104" t="s">
        <v>4535</v>
      </c>
      <c r="D842" s="138" t="s">
        <v>59</v>
      </c>
      <c r="E842" s="107" t="s">
        <v>352</v>
      </c>
      <c r="F842" s="101"/>
      <c r="G842" s="40" t="s">
        <v>4536</v>
      </c>
      <c r="H842" s="55" t="s">
        <v>4537</v>
      </c>
      <c r="I842" s="69" t="s">
        <v>4538</v>
      </c>
      <c r="J842" s="155"/>
      <c r="K842" s="37">
        <v>44113.0</v>
      </c>
      <c r="L842" s="37">
        <v>44121.0</v>
      </c>
      <c r="M842" s="174" t="s">
        <v>250</v>
      </c>
      <c r="N842" s="179" t="s">
        <v>251</v>
      </c>
      <c r="O842" s="113">
        <v>43900.0</v>
      </c>
      <c r="P842" s="37">
        <v>43992.0</v>
      </c>
      <c r="Q842" s="22"/>
      <c r="R842" s="22"/>
      <c r="S842" s="117"/>
      <c r="T842" s="236"/>
      <c r="U842" s="161"/>
      <c r="V842" s="161"/>
      <c r="W842" s="161"/>
      <c r="X842" s="161"/>
      <c r="Y842" s="161"/>
      <c r="Z842" s="161"/>
      <c r="AA842" s="161"/>
      <c r="AB842" s="161"/>
      <c r="AC842" s="551" t="s">
        <v>97</v>
      </c>
      <c r="AD842" s="161"/>
      <c r="AE842" s="161"/>
      <c r="AF842" s="161"/>
      <c r="AG842" s="161"/>
      <c r="AH842" s="163"/>
      <c r="AI842" s="163"/>
      <c r="AJ842" s="163"/>
      <c r="AK842" s="163"/>
      <c r="AL842" s="163"/>
      <c r="AM842" s="163"/>
      <c r="AN842" s="161"/>
      <c r="AO842" s="161"/>
      <c r="AP842" s="161"/>
      <c r="AQ842" s="161"/>
      <c r="AR842" s="161"/>
      <c r="AS842" s="119"/>
    </row>
    <row r="843">
      <c r="A843" s="137">
        <v>971.0</v>
      </c>
      <c r="B843" s="122">
        <v>10.0</v>
      </c>
      <c r="C843" s="123" t="s">
        <v>4539</v>
      </c>
      <c r="D843" s="138" t="s">
        <v>62</v>
      </c>
      <c r="E843" s="138" t="s">
        <v>62</v>
      </c>
      <c r="F843" s="127"/>
      <c r="G843" s="128" t="s">
        <v>4540</v>
      </c>
      <c r="H843" s="89" t="s">
        <v>4541</v>
      </c>
      <c r="I843" s="91" t="str">
        <f>HYPERLINK("https://filmfreeway.com/PolishFilmFestivalSeattle","https://filmfreeway.com/PolishFilmFestivalSeattle")</f>
        <v>https://filmfreeway.com/PolishFilmFestivalSeattle</v>
      </c>
      <c r="J843" s="155"/>
      <c r="K843" s="22" t="s">
        <v>27</v>
      </c>
      <c r="L843" s="22" t="s">
        <v>27</v>
      </c>
      <c r="M843" s="130" t="s">
        <v>250</v>
      </c>
      <c r="N843" s="130" t="s">
        <v>251</v>
      </c>
      <c r="O843" s="22" t="s">
        <v>27</v>
      </c>
      <c r="P843" s="22" t="s">
        <v>27</v>
      </c>
      <c r="Q843" s="131"/>
      <c r="R843" s="132"/>
      <c r="S843" s="132"/>
      <c r="T843" s="118"/>
      <c r="U843" s="119"/>
      <c r="V843" s="119"/>
      <c r="W843" s="119"/>
      <c r="X843" s="119"/>
      <c r="Y843" s="134"/>
      <c r="Z843" s="119"/>
      <c r="AA843" s="119"/>
      <c r="AB843" s="119"/>
      <c r="AC843" s="119"/>
      <c r="AD843" s="119"/>
      <c r="AE843" s="119"/>
      <c r="AF843" s="548" t="s">
        <v>97</v>
      </c>
      <c r="AG843" s="119"/>
      <c r="AH843" s="121"/>
      <c r="AI843" s="121"/>
      <c r="AJ843" s="121"/>
      <c r="AK843" s="121"/>
      <c r="AL843" s="121"/>
      <c r="AM843" s="135"/>
      <c r="AN843" s="119"/>
      <c r="AO843" s="119"/>
      <c r="AP843" s="119"/>
      <c r="AQ843" s="119"/>
      <c r="AR843" s="119"/>
      <c r="AS843" s="119"/>
    </row>
    <row r="844">
      <c r="A844" s="137">
        <v>818.0</v>
      </c>
      <c r="B844" s="197">
        <v>10.0</v>
      </c>
      <c r="C844" s="104" t="s">
        <v>4542</v>
      </c>
      <c r="D844" s="226" t="s">
        <v>54</v>
      </c>
      <c r="E844" s="227" t="s">
        <v>54</v>
      </c>
      <c r="F844" s="109"/>
      <c r="G844" s="10" t="s">
        <v>4543</v>
      </c>
      <c r="H844" s="582" t="s">
        <v>4544</v>
      </c>
      <c r="I844" s="175" t="s">
        <v>4545</v>
      </c>
      <c r="J844" s="155"/>
      <c r="K844" s="22" t="s">
        <v>27</v>
      </c>
      <c r="L844" s="22" t="s">
        <v>27</v>
      </c>
      <c r="M844" s="24" t="s">
        <v>250</v>
      </c>
      <c r="N844" s="24" t="s">
        <v>251</v>
      </c>
      <c r="O844" s="22" t="s">
        <v>27</v>
      </c>
      <c r="P844" s="22" t="s">
        <v>27</v>
      </c>
      <c r="Q844" s="223"/>
      <c r="R844" s="223"/>
      <c r="S844" s="203" t="s">
        <v>97</v>
      </c>
      <c r="T844" s="118"/>
      <c r="U844" s="119"/>
      <c r="V844" s="119"/>
      <c r="W844" s="119"/>
      <c r="X844" s="119"/>
      <c r="Y844" s="374" t="s">
        <v>97</v>
      </c>
      <c r="Z844" s="119"/>
      <c r="AA844" s="119"/>
      <c r="AB844" s="119"/>
      <c r="AC844" s="119"/>
      <c r="AD844" s="119"/>
      <c r="AE844" s="119"/>
      <c r="AF844" s="119"/>
      <c r="AG844" s="119"/>
      <c r="AH844" s="121"/>
      <c r="AI844" s="121"/>
      <c r="AJ844" s="121"/>
      <c r="AK844" s="121"/>
      <c r="AL844" s="121"/>
      <c r="AM844" s="121"/>
      <c r="AN844" s="119"/>
      <c r="AO844" s="119"/>
      <c r="AP844" s="119"/>
      <c r="AQ844" s="119"/>
      <c r="AR844" s="119"/>
      <c r="AS844" s="119"/>
    </row>
    <row r="845">
      <c r="A845" s="137">
        <v>628.0</v>
      </c>
      <c r="B845" s="150">
        <v>7.0</v>
      </c>
      <c r="C845" s="104" t="s">
        <v>4546</v>
      </c>
      <c r="D845" s="105" t="s">
        <v>48</v>
      </c>
      <c r="E845" s="107" t="s">
        <v>48</v>
      </c>
      <c r="F845" s="101"/>
      <c r="G845" s="40" t="s">
        <v>4547</v>
      </c>
      <c r="H845" s="55" t="s">
        <v>4548</v>
      </c>
      <c r="I845" s="69" t="s">
        <v>4549</v>
      </c>
      <c r="J845" s="155"/>
      <c r="K845" s="37">
        <v>44070.0</v>
      </c>
      <c r="L845" s="37">
        <v>44073.0</v>
      </c>
      <c r="M845" s="174" t="s">
        <v>250</v>
      </c>
      <c r="N845" s="179" t="s">
        <v>251</v>
      </c>
      <c r="O845" s="37">
        <v>43881.0</v>
      </c>
      <c r="P845" s="37">
        <v>44049.0</v>
      </c>
      <c r="Q845" s="22"/>
      <c r="R845" s="22"/>
      <c r="S845" s="117"/>
      <c r="T845" s="236"/>
      <c r="U845" s="176" t="s">
        <v>97</v>
      </c>
      <c r="V845" s="161"/>
      <c r="W845" s="161"/>
      <c r="X845" s="161"/>
      <c r="Y845" s="161"/>
      <c r="Z845" s="161"/>
      <c r="AA845" s="161"/>
      <c r="AB845" s="161"/>
      <c r="AC845" s="161"/>
      <c r="AD845" s="161"/>
      <c r="AE845" s="161"/>
      <c r="AF845" s="161"/>
      <c r="AG845" s="161"/>
      <c r="AH845" s="163"/>
      <c r="AI845" s="163"/>
      <c r="AJ845" s="163"/>
      <c r="AK845" s="163"/>
      <c r="AL845" s="163"/>
      <c r="AM845" s="163"/>
      <c r="AN845" s="161"/>
      <c r="AO845" s="161"/>
      <c r="AP845" s="161"/>
      <c r="AQ845" s="161"/>
      <c r="AR845" s="161"/>
      <c r="AS845" s="119"/>
    </row>
    <row r="846">
      <c r="A846" s="137">
        <v>629.0</v>
      </c>
      <c r="B846" s="150"/>
      <c r="C846" s="104" t="s">
        <v>4550</v>
      </c>
      <c r="D846" s="105" t="s">
        <v>51</v>
      </c>
      <c r="E846" s="107" t="s">
        <v>51</v>
      </c>
      <c r="F846" s="101"/>
      <c r="G846" s="40" t="s">
        <v>1167</v>
      </c>
      <c r="H846" s="55" t="s">
        <v>1168</v>
      </c>
      <c r="I846" s="69" t="s">
        <v>1171</v>
      </c>
      <c r="J846" s="20" t="s">
        <v>78</v>
      </c>
      <c r="K846" s="37">
        <v>43916.0</v>
      </c>
      <c r="L846" s="37">
        <v>43919.0</v>
      </c>
      <c r="M846" s="73" t="s">
        <v>1173</v>
      </c>
      <c r="N846" s="179" t="s">
        <v>72</v>
      </c>
      <c r="O846" s="113">
        <v>43654.0</v>
      </c>
      <c r="P846" s="37">
        <v>43744.0</v>
      </c>
      <c r="Q846" s="22"/>
      <c r="R846" s="22"/>
      <c r="S846" s="117"/>
      <c r="T846" s="236"/>
      <c r="U846" s="161"/>
      <c r="V846" s="241" t="s">
        <v>97</v>
      </c>
      <c r="W846" s="161"/>
      <c r="X846" s="161"/>
      <c r="Y846" s="161"/>
      <c r="Z846" s="161"/>
      <c r="AA846" s="161"/>
      <c r="AB846" s="161"/>
      <c r="AC846" s="161"/>
      <c r="AD846" s="161"/>
      <c r="AE846" s="161"/>
      <c r="AF846" s="161"/>
      <c r="AG846" s="161"/>
      <c r="AH846" s="163"/>
      <c r="AI846" s="163"/>
      <c r="AJ846" s="163"/>
      <c r="AK846" s="163"/>
      <c r="AL846" s="163"/>
      <c r="AM846" s="163"/>
      <c r="AN846" s="161"/>
      <c r="AO846" s="161"/>
      <c r="AP846" s="161"/>
      <c r="AQ846" s="161"/>
      <c r="AR846" s="161"/>
      <c r="AS846" s="119"/>
    </row>
    <row r="847">
      <c r="A847" s="101">
        <v>630.0</v>
      </c>
      <c r="B847" s="292"/>
      <c r="C847" s="104" t="s">
        <v>4551</v>
      </c>
      <c r="D847" s="105" t="s">
        <v>48</v>
      </c>
      <c r="E847" s="107" t="s">
        <v>48</v>
      </c>
      <c r="F847" s="518"/>
      <c r="G847" s="153" t="s">
        <v>4552</v>
      </c>
      <c r="H847" s="81" t="s">
        <v>4553</v>
      </c>
      <c r="I847" s="158" t="s">
        <v>4554</v>
      </c>
      <c r="J847" s="155"/>
      <c r="K847" s="37">
        <v>43883.0</v>
      </c>
      <c r="L847" s="37">
        <v>43891.0</v>
      </c>
      <c r="M847" s="73" t="s">
        <v>4555</v>
      </c>
      <c r="N847" s="73" t="s">
        <v>179</v>
      </c>
      <c r="O847" s="113">
        <v>43692.0</v>
      </c>
      <c r="P847" s="37">
        <v>43790.0</v>
      </c>
      <c r="Q847" s="22"/>
      <c r="R847" s="22"/>
      <c r="S847" s="193" t="s">
        <v>97</v>
      </c>
      <c r="T847" s="157"/>
      <c r="U847" s="293" t="s">
        <v>97</v>
      </c>
      <c r="V847" s="194"/>
      <c r="W847" s="194"/>
      <c r="X847" s="194"/>
      <c r="Y847" s="194"/>
      <c r="Z847" s="194"/>
      <c r="AA847" s="194"/>
      <c r="AB847" s="194"/>
      <c r="AC847" s="194"/>
      <c r="AD847" s="186"/>
      <c r="AE847" s="187"/>
      <c r="AF847" s="194"/>
      <c r="AG847" s="187"/>
      <c r="AH847" s="189"/>
      <c r="AI847" s="189"/>
      <c r="AJ847" s="189"/>
      <c r="AK847" s="189"/>
      <c r="AL847" s="189"/>
      <c r="AM847" s="189"/>
      <c r="AN847" s="187"/>
      <c r="AO847" s="187"/>
      <c r="AP847" s="194"/>
      <c r="AQ847" s="187"/>
      <c r="AR847" s="187"/>
      <c r="AS847" s="119"/>
    </row>
    <row r="848">
      <c r="A848" s="137">
        <v>631.0</v>
      </c>
      <c r="B848" s="150"/>
      <c r="C848" s="104" t="s">
        <v>4556</v>
      </c>
      <c r="D848" s="105" t="s">
        <v>48</v>
      </c>
      <c r="E848" s="107" t="s">
        <v>48</v>
      </c>
      <c r="F848" s="101"/>
      <c r="G848" s="40" t="s">
        <v>4557</v>
      </c>
      <c r="H848" s="55" t="s">
        <v>4558</v>
      </c>
      <c r="I848" s="69" t="s">
        <v>4559</v>
      </c>
      <c r="J848" s="155"/>
      <c r="K848" s="37">
        <v>44117.0</v>
      </c>
      <c r="L848" s="37">
        <v>44121.0</v>
      </c>
      <c r="M848" s="73" t="s">
        <v>4560</v>
      </c>
      <c r="N848" s="179" t="s">
        <v>701</v>
      </c>
      <c r="O848" s="113">
        <v>43805.0</v>
      </c>
      <c r="P848" s="37">
        <v>43994.0</v>
      </c>
      <c r="Q848" s="22"/>
      <c r="R848" s="22"/>
      <c r="S848" s="193" t="s">
        <v>97</v>
      </c>
      <c r="T848" s="236"/>
      <c r="U848" s="176" t="s">
        <v>97</v>
      </c>
      <c r="V848" s="161"/>
      <c r="W848" s="161"/>
      <c r="X848" s="161"/>
      <c r="Y848" s="161"/>
      <c r="Z848" s="161"/>
      <c r="AA848" s="161"/>
      <c r="AB848" s="161"/>
      <c r="AC848" s="161"/>
      <c r="AD848" s="161"/>
      <c r="AE848" s="161"/>
      <c r="AF848" s="161"/>
      <c r="AG848" s="161"/>
      <c r="AH848" s="163"/>
      <c r="AI848" s="163"/>
      <c r="AJ848" s="163"/>
      <c r="AK848" s="163"/>
      <c r="AL848" s="163"/>
      <c r="AM848" s="163"/>
      <c r="AN848" s="161"/>
      <c r="AO848" s="161"/>
      <c r="AP848" s="161"/>
      <c r="AQ848" s="161"/>
      <c r="AR848" s="161"/>
      <c r="AS848" s="119"/>
    </row>
    <row r="849">
      <c r="A849" s="137">
        <v>632.0</v>
      </c>
      <c r="B849" s="177"/>
      <c r="C849" s="104" t="s">
        <v>4561</v>
      </c>
      <c r="D849" s="105" t="s">
        <v>52</v>
      </c>
      <c r="E849" s="107" t="s">
        <v>52</v>
      </c>
      <c r="F849" s="178"/>
      <c r="G849" s="77" t="s">
        <v>4562</v>
      </c>
      <c r="H849" s="81" t="s">
        <v>4563</v>
      </c>
      <c r="I849" s="84" t="s">
        <v>4564</v>
      </c>
      <c r="J849" s="155"/>
      <c r="K849" s="37">
        <v>44126.0</v>
      </c>
      <c r="L849" s="37">
        <v>44128.0</v>
      </c>
      <c r="M849" s="85" t="s">
        <v>399</v>
      </c>
      <c r="N849" s="85" t="s">
        <v>72</v>
      </c>
      <c r="O849" s="113">
        <v>43847.0</v>
      </c>
      <c r="P849" s="37">
        <v>44043.0</v>
      </c>
      <c r="Q849" s="22"/>
      <c r="R849" s="22"/>
      <c r="S849" s="193" t="s">
        <v>97</v>
      </c>
      <c r="T849" s="181"/>
      <c r="U849" s="184"/>
      <c r="V849" s="184"/>
      <c r="W849" s="319" t="s">
        <v>97</v>
      </c>
      <c r="X849" s="184"/>
      <c r="Y849" s="184"/>
      <c r="Z849" s="184"/>
      <c r="AA849" s="184"/>
      <c r="AB849" s="184"/>
      <c r="AC849" s="184"/>
      <c r="AD849" s="186"/>
      <c r="AE849" s="187"/>
      <c r="AF849" s="184"/>
      <c r="AG849" s="187"/>
      <c r="AH849" s="189"/>
      <c r="AI849" s="189"/>
      <c r="AJ849" s="189"/>
      <c r="AK849" s="189"/>
      <c r="AL849" s="189"/>
      <c r="AM849" s="189"/>
      <c r="AN849" s="187"/>
      <c r="AO849" s="187"/>
      <c r="AP849" s="184"/>
      <c r="AQ849" s="187"/>
      <c r="AR849" s="187"/>
      <c r="AS849" s="119"/>
    </row>
    <row r="850">
      <c r="A850" s="101">
        <v>633.0</v>
      </c>
      <c r="B850" s="150"/>
      <c r="C850" s="104" t="s">
        <v>4565</v>
      </c>
      <c r="D850" s="105" t="s">
        <v>48</v>
      </c>
      <c r="E850" s="107" t="s">
        <v>48</v>
      </c>
      <c r="F850" s="101"/>
      <c r="G850" s="40" t="s">
        <v>4566</v>
      </c>
      <c r="H850" s="55" t="s">
        <v>4567</v>
      </c>
      <c r="I850" s="69" t="s">
        <v>4568</v>
      </c>
      <c r="J850" s="155"/>
      <c r="K850" s="37">
        <v>44105.0</v>
      </c>
      <c r="L850" s="37">
        <v>44107.0</v>
      </c>
      <c r="M850" s="73" t="s">
        <v>4569</v>
      </c>
      <c r="N850" s="179" t="s">
        <v>80</v>
      </c>
      <c r="O850" s="113">
        <v>43940.0</v>
      </c>
      <c r="P850" s="37">
        <v>44062.0</v>
      </c>
      <c r="Q850" s="22"/>
      <c r="R850" s="22"/>
      <c r="S850" s="193" t="s">
        <v>97</v>
      </c>
      <c r="T850" s="236"/>
      <c r="U850" s="176" t="s">
        <v>97</v>
      </c>
      <c r="V850" s="161"/>
      <c r="W850" s="161"/>
      <c r="X850" s="161"/>
      <c r="Y850" s="161"/>
      <c r="Z850" s="161"/>
      <c r="AA850" s="161"/>
      <c r="AB850" s="161"/>
      <c r="AC850" s="161"/>
      <c r="AD850" s="161"/>
      <c r="AE850" s="161"/>
      <c r="AF850" s="161"/>
      <c r="AG850" s="161"/>
      <c r="AH850" s="163"/>
      <c r="AI850" s="163"/>
      <c r="AJ850" s="163"/>
      <c r="AK850" s="163"/>
      <c r="AL850" s="163"/>
      <c r="AM850" s="163"/>
      <c r="AN850" s="161"/>
      <c r="AO850" s="161"/>
      <c r="AP850" s="161"/>
      <c r="AQ850" s="161"/>
      <c r="AR850" s="161"/>
      <c r="AS850" s="119"/>
    </row>
    <row r="851">
      <c r="A851" s="137">
        <v>634.0</v>
      </c>
      <c r="B851" s="150">
        <v>11.0</v>
      </c>
      <c r="C851" s="104" t="s">
        <v>4570</v>
      </c>
      <c r="D851" s="105" t="s">
        <v>48</v>
      </c>
      <c r="E851" s="107" t="s">
        <v>48</v>
      </c>
      <c r="F851" s="101"/>
      <c r="G851" s="40" t="s">
        <v>4571</v>
      </c>
      <c r="H851" s="55" t="s">
        <v>4572</v>
      </c>
      <c r="I851" s="69" t="s">
        <v>4573</v>
      </c>
      <c r="J851" s="155"/>
      <c r="K851" s="37">
        <v>44147.0</v>
      </c>
      <c r="L851" s="37">
        <v>44150.0</v>
      </c>
      <c r="M851" s="73" t="s">
        <v>122</v>
      </c>
      <c r="N851" s="179" t="s">
        <v>72</v>
      </c>
      <c r="O851" s="37">
        <v>43966.0</v>
      </c>
      <c r="P851" s="37">
        <v>44062.0</v>
      </c>
      <c r="Q851" s="22"/>
      <c r="R851" s="22"/>
      <c r="S851" s="117"/>
      <c r="T851" s="236"/>
      <c r="U851" s="176" t="s">
        <v>97</v>
      </c>
      <c r="V851" s="161"/>
      <c r="W851" s="161"/>
      <c r="X851" s="161"/>
      <c r="Y851" s="161"/>
      <c r="Z851" s="161"/>
      <c r="AA851" s="161"/>
      <c r="AB851" s="161"/>
      <c r="AC851" s="161"/>
      <c r="AD851" s="161"/>
      <c r="AE851" s="161"/>
      <c r="AF851" s="161"/>
      <c r="AG851" s="161"/>
      <c r="AH851" s="163"/>
      <c r="AI851" s="163"/>
      <c r="AJ851" s="163"/>
      <c r="AK851" s="163"/>
      <c r="AL851" s="163"/>
      <c r="AM851" s="163"/>
      <c r="AN851" s="161"/>
      <c r="AO851" s="161"/>
      <c r="AP851" s="161"/>
      <c r="AQ851" s="161"/>
      <c r="AR851" s="161"/>
      <c r="AS851" s="119"/>
    </row>
    <row r="852">
      <c r="A852" s="137">
        <v>635.0</v>
      </c>
      <c r="B852" s="173"/>
      <c r="C852" s="104" t="s">
        <v>4574</v>
      </c>
      <c r="D852" s="105" t="s">
        <v>52</v>
      </c>
      <c r="E852" s="107" t="s">
        <v>52</v>
      </c>
      <c r="F852" s="101"/>
      <c r="G852" s="40" t="s">
        <v>4575</v>
      </c>
      <c r="H852" s="769" t="s">
        <v>4576</v>
      </c>
      <c r="I852" s="175" t="s">
        <v>4577</v>
      </c>
      <c r="J852" s="155"/>
      <c r="K852" s="37">
        <v>43848.0</v>
      </c>
      <c r="L852" s="37">
        <v>43848.0</v>
      </c>
      <c r="M852" s="73" t="s">
        <v>2504</v>
      </c>
      <c r="N852" s="73" t="s">
        <v>336</v>
      </c>
      <c r="O852" s="113">
        <v>43840.0</v>
      </c>
      <c r="P852" s="37">
        <v>43840.0</v>
      </c>
      <c r="Q852" s="22"/>
      <c r="R852" s="22"/>
      <c r="S852" s="117"/>
      <c r="T852" s="157"/>
      <c r="U852" s="161"/>
      <c r="V852" s="161"/>
      <c r="W852" s="120" t="s">
        <v>97</v>
      </c>
      <c r="X852" s="161"/>
      <c r="Y852" s="161"/>
      <c r="Z852" s="161"/>
      <c r="AA852" s="161"/>
      <c r="AB852" s="161"/>
      <c r="AC852" s="161"/>
      <c r="AD852" s="161"/>
      <c r="AE852" s="161"/>
      <c r="AF852" s="161"/>
      <c r="AG852" s="161"/>
      <c r="AH852" s="163"/>
      <c r="AI852" s="163"/>
      <c r="AJ852" s="163"/>
      <c r="AK852" s="163"/>
      <c r="AL852" s="163"/>
      <c r="AM852" s="163"/>
      <c r="AN852" s="161"/>
      <c r="AO852" s="161"/>
      <c r="AP852" s="161"/>
      <c r="AQ852" s="161"/>
      <c r="AR852" s="161"/>
      <c r="AS852" s="119"/>
    </row>
    <row r="853">
      <c r="A853" s="101">
        <v>636.0</v>
      </c>
      <c r="B853" s="150"/>
      <c r="C853" s="104" t="s">
        <v>4578</v>
      </c>
      <c r="D853" s="105" t="s">
        <v>52</v>
      </c>
      <c r="E853" s="107" t="s">
        <v>52</v>
      </c>
      <c r="F853" s="101"/>
      <c r="G853" s="40" t="s">
        <v>4579</v>
      </c>
      <c r="H853" s="55" t="s">
        <v>4580</v>
      </c>
      <c r="I853" s="69" t="s">
        <v>4581</v>
      </c>
      <c r="J853" s="155"/>
      <c r="K853" s="37">
        <v>43887.0</v>
      </c>
      <c r="L853" s="37">
        <v>43891.0</v>
      </c>
      <c r="M853" s="73" t="s">
        <v>1090</v>
      </c>
      <c r="N853" s="179" t="s">
        <v>622</v>
      </c>
      <c r="O853" s="113">
        <v>43738.0</v>
      </c>
      <c r="P853" s="37">
        <v>43830.0</v>
      </c>
      <c r="Q853" s="22"/>
      <c r="R853" s="22"/>
      <c r="S853" s="193" t="s">
        <v>97</v>
      </c>
      <c r="T853" s="236"/>
      <c r="U853" s="161"/>
      <c r="V853" s="161"/>
      <c r="W853" s="120" t="s">
        <v>97</v>
      </c>
      <c r="X853" s="161"/>
      <c r="Y853" s="161"/>
      <c r="Z853" s="161"/>
      <c r="AA853" s="161"/>
      <c r="AB853" s="161"/>
      <c r="AC853" s="161"/>
      <c r="AD853" s="161"/>
      <c r="AE853" s="161"/>
      <c r="AF853" s="161"/>
      <c r="AG853" s="161"/>
      <c r="AH853" s="163"/>
      <c r="AI853" s="163"/>
      <c r="AJ853" s="163"/>
      <c r="AK853" s="163"/>
      <c r="AL853" s="163"/>
      <c r="AM853" s="163"/>
      <c r="AN853" s="161"/>
      <c r="AO853" s="161"/>
      <c r="AP853" s="161"/>
      <c r="AQ853" s="161"/>
      <c r="AR853" s="161"/>
      <c r="AS853" s="119"/>
    </row>
    <row r="854">
      <c r="A854" s="137">
        <v>637.0</v>
      </c>
      <c r="B854" s="150">
        <v>9.0</v>
      </c>
      <c r="C854" s="104" t="s">
        <v>4582</v>
      </c>
      <c r="D854" s="105" t="s">
        <v>52</v>
      </c>
      <c r="E854" s="107" t="s">
        <v>52</v>
      </c>
      <c r="F854" s="101"/>
      <c r="G854" s="40" t="s">
        <v>4583</v>
      </c>
      <c r="H854" s="55" t="s">
        <v>4584</v>
      </c>
      <c r="I854" s="69" t="s">
        <v>4585</v>
      </c>
      <c r="J854" s="155"/>
      <c r="K854" s="37">
        <v>44100.0</v>
      </c>
      <c r="L854" s="37">
        <v>44100.0</v>
      </c>
      <c r="M854" s="73" t="s">
        <v>230</v>
      </c>
      <c r="N854" s="179" t="s">
        <v>231</v>
      </c>
      <c r="O854" s="37">
        <v>44007.0</v>
      </c>
      <c r="P854" s="37">
        <v>44048.0</v>
      </c>
      <c r="Q854" s="22"/>
      <c r="R854" s="22"/>
      <c r="S854" s="117"/>
      <c r="T854" s="236"/>
      <c r="U854" s="161"/>
      <c r="V854" s="161"/>
      <c r="W854" s="120" t="s">
        <v>97</v>
      </c>
      <c r="X854" s="161"/>
      <c r="Y854" s="161"/>
      <c r="Z854" s="161"/>
      <c r="AA854" s="161"/>
      <c r="AB854" s="161"/>
      <c r="AC854" s="161"/>
      <c r="AD854" s="161"/>
      <c r="AE854" s="161"/>
      <c r="AF854" s="161"/>
      <c r="AG854" s="161"/>
      <c r="AH854" s="163"/>
      <c r="AI854" s="163"/>
      <c r="AJ854" s="163"/>
      <c r="AK854" s="163"/>
      <c r="AL854" s="163"/>
      <c r="AM854" s="163"/>
      <c r="AN854" s="161"/>
      <c r="AO854" s="161"/>
      <c r="AP854" s="161"/>
      <c r="AQ854" s="161"/>
      <c r="AR854" s="161"/>
      <c r="AS854" s="119"/>
    </row>
    <row r="855">
      <c r="A855" s="137">
        <v>638.0</v>
      </c>
      <c r="B855" s="150"/>
      <c r="C855" s="104" t="s">
        <v>4586</v>
      </c>
      <c r="D855" s="105" t="s">
        <v>52</v>
      </c>
      <c r="E855" s="107" t="s">
        <v>2364</v>
      </c>
      <c r="F855" s="101"/>
      <c r="G855" s="40" t="s">
        <v>4587</v>
      </c>
      <c r="H855" s="55" t="s">
        <v>4588</v>
      </c>
      <c r="I855" s="69" t="s">
        <v>4589</v>
      </c>
      <c r="J855" s="155"/>
      <c r="K855" s="37">
        <v>43922.0</v>
      </c>
      <c r="L855" s="37">
        <v>43922.0</v>
      </c>
      <c r="M855" s="73" t="s">
        <v>4590</v>
      </c>
      <c r="N855" s="179" t="s">
        <v>256</v>
      </c>
      <c r="O855" s="113">
        <v>43739.0</v>
      </c>
      <c r="P855" s="37">
        <v>43770.0</v>
      </c>
      <c r="Q855" s="22"/>
      <c r="R855" s="22"/>
      <c r="S855" s="117"/>
      <c r="T855" s="236"/>
      <c r="U855" s="161"/>
      <c r="V855" s="161"/>
      <c r="W855" s="120" t="s">
        <v>97</v>
      </c>
      <c r="X855" s="161"/>
      <c r="Y855" s="161"/>
      <c r="Z855" s="161"/>
      <c r="AA855" s="161"/>
      <c r="AB855" s="161"/>
      <c r="AC855" s="161"/>
      <c r="AD855" s="161"/>
      <c r="AE855" s="161"/>
      <c r="AF855" s="161"/>
      <c r="AG855" s="161"/>
      <c r="AH855" s="163"/>
      <c r="AI855" s="163"/>
      <c r="AJ855" s="163"/>
      <c r="AK855" s="163"/>
      <c r="AL855" s="163"/>
      <c r="AM855" s="163"/>
      <c r="AN855" s="161"/>
      <c r="AO855" s="351" t="s">
        <v>97</v>
      </c>
      <c r="AP855" s="161"/>
      <c r="AQ855" s="161"/>
      <c r="AR855" s="161"/>
      <c r="AS855" s="119"/>
    </row>
    <row r="856">
      <c r="A856" s="137">
        <v>639.0</v>
      </c>
      <c r="B856" s="150">
        <v>9.0</v>
      </c>
      <c r="C856" s="104" t="s">
        <v>3320</v>
      </c>
      <c r="D856" s="138" t="s">
        <v>63</v>
      </c>
      <c r="E856" s="107" t="s">
        <v>1297</v>
      </c>
      <c r="F856" s="101"/>
      <c r="G856" s="40" t="s">
        <v>4591</v>
      </c>
      <c r="H856" s="55" t="s">
        <v>4592</v>
      </c>
      <c r="I856" s="69" t="s">
        <v>4593</v>
      </c>
      <c r="J856" s="155"/>
      <c r="K856" s="37">
        <v>44105.0</v>
      </c>
      <c r="L856" s="37">
        <v>44108.0</v>
      </c>
      <c r="M856" s="73" t="s">
        <v>221</v>
      </c>
      <c r="N856" s="179" t="s">
        <v>72</v>
      </c>
      <c r="O856" s="37">
        <v>43831.0</v>
      </c>
      <c r="P856" s="37">
        <v>44013.0</v>
      </c>
      <c r="Q856" s="22"/>
      <c r="R856" s="22"/>
      <c r="S856" s="193" t="s">
        <v>97</v>
      </c>
      <c r="T856" s="236"/>
      <c r="U856" s="161"/>
      <c r="V856" s="161"/>
      <c r="W856" s="161"/>
      <c r="X856" s="161"/>
      <c r="Y856" s="161"/>
      <c r="Z856" s="161"/>
      <c r="AA856" s="161"/>
      <c r="AB856" s="161"/>
      <c r="AC856" s="161"/>
      <c r="AD856" s="161"/>
      <c r="AE856" s="161"/>
      <c r="AF856" s="161"/>
      <c r="AG856" s="275" t="s">
        <v>97</v>
      </c>
      <c r="AH856" s="163"/>
      <c r="AI856" s="163"/>
      <c r="AJ856" s="163"/>
      <c r="AK856" s="163"/>
      <c r="AL856" s="163"/>
      <c r="AM856" s="163"/>
      <c r="AN856" s="161"/>
      <c r="AO856" s="161"/>
      <c r="AP856" s="161"/>
      <c r="AQ856" s="161"/>
      <c r="AR856" s="161"/>
      <c r="AS856" s="119"/>
    </row>
    <row r="857">
      <c r="A857" s="137">
        <v>873.0</v>
      </c>
      <c r="B857" s="353"/>
      <c r="C857" s="170" t="s">
        <v>4594</v>
      </c>
      <c r="D857" s="770" t="s">
        <v>65</v>
      </c>
      <c r="E857" s="599" t="s">
        <v>65</v>
      </c>
      <c r="F857" s="359"/>
      <c r="G857" s="159" t="s">
        <v>2108</v>
      </c>
      <c r="H857" s="771" t="s">
        <v>4595</v>
      </c>
      <c r="I857" s="167" t="s">
        <v>4596</v>
      </c>
      <c r="J857" s="643"/>
      <c r="K857" s="169">
        <v>43966.0</v>
      </c>
      <c r="L857" s="169">
        <v>43968.0</v>
      </c>
      <c r="M857" s="170" t="s">
        <v>116</v>
      </c>
      <c r="N857" s="170" t="s">
        <v>46</v>
      </c>
      <c r="O857" s="169">
        <v>43799.0</v>
      </c>
      <c r="P857" s="169">
        <v>43921.0</v>
      </c>
      <c r="Q857" s="361"/>
      <c r="R857" s="361"/>
      <c r="S857" s="117"/>
      <c r="T857" s="362"/>
      <c r="U857" s="269"/>
      <c r="V857" s="269"/>
      <c r="W857" s="269"/>
      <c r="X857" s="269"/>
      <c r="Y857" s="269"/>
      <c r="Z857" s="269"/>
      <c r="AA857" s="266"/>
      <c r="AB857" s="269"/>
      <c r="AC857" s="269"/>
      <c r="AD857" s="269"/>
      <c r="AE857" s="269"/>
      <c r="AF857" s="269"/>
      <c r="AG857" s="269"/>
      <c r="AH857" s="269"/>
      <c r="AI857" s="283" t="s">
        <v>97</v>
      </c>
      <c r="AJ857" s="269"/>
      <c r="AK857" s="269"/>
      <c r="AL857" s="269"/>
      <c r="AM857" s="163"/>
      <c r="AN857" s="269"/>
      <c r="AO857" s="269"/>
      <c r="AP857" s="269"/>
      <c r="AQ857" s="269"/>
      <c r="AR857" s="269"/>
      <c r="AS857" s="119"/>
    </row>
    <row r="858">
      <c r="A858" s="101">
        <v>640.0</v>
      </c>
      <c r="B858" s="150"/>
      <c r="C858" s="104" t="s">
        <v>4597</v>
      </c>
      <c r="D858" s="138" t="s">
        <v>63</v>
      </c>
      <c r="E858" s="107" t="s">
        <v>2543</v>
      </c>
      <c r="F858" s="101"/>
      <c r="G858" s="40" t="s">
        <v>4598</v>
      </c>
      <c r="H858" s="55" t="s">
        <v>4599</v>
      </c>
      <c r="I858" s="69" t="s">
        <v>4600</v>
      </c>
      <c r="J858" s="155"/>
      <c r="K858" s="37">
        <v>44121.0</v>
      </c>
      <c r="L858" s="37">
        <v>44122.0</v>
      </c>
      <c r="M858" s="73" t="s">
        <v>4601</v>
      </c>
      <c r="N858" s="179" t="s">
        <v>159</v>
      </c>
      <c r="O858" s="113">
        <v>43831.0</v>
      </c>
      <c r="P858" s="37">
        <v>43997.0</v>
      </c>
      <c r="Q858" s="22"/>
      <c r="R858" s="22"/>
      <c r="S858" s="117"/>
      <c r="T858" s="236"/>
      <c r="U858" s="161"/>
      <c r="V858" s="161"/>
      <c r="W858" s="120" t="s">
        <v>97</v>
      </c>
      <c r="X858" s="401" t="s">
        <v>97</v>
      </c>
      <c r="Y858" s="161"/>
      <c r="Z858" s="161"/>
      <c r="AA858" s="161"/>
      <c r="AB858" s="161"/>
      <c r="AC858" s="161"/>
      <c r="AD858" s="161"/>
      <c r="AE858" s="161"/>
      <c r="AF858" s="161"/>
      <c r="AG858" s="275" t="s">
        <v>97</v>
      </c>
      <c r="AH858" s="163"/>
      <c r="AI858" s="163"/>
      <c r="AJ858" s="163"/>
      <c r="AK858" s="163"/>
      <c r="AL858" s="163"/>
      <c r="AM858" s="163"/>
      <c r="AN858" s="161"/>
      <c r="AO858" s="161"/>
      <c r="AP858" s="161"/>
      <c r="AQ858" s="161"/>
      <c r="AR858" s="161"/>
      <c r="AS858" s="119"/>
    </row>
    <row r="859">
      <c r="A859" s="137">
        <v>641.0</v>
      </c>
      <c r="B859" s="177"/>
      <c r="C859" s="104" t="s">
        <v>4602</v>
      </c>
      <c r="D859" s="105" t="s">
        <v>48</v>
      </c>
      <c r="E859" s="107" t="s">
        <v>48</v>
      </c>
      <c r="F859" s="178"/>
      <c r="G859" s="77" t="s">
        <v>4603</v>
      </c>
      <c r="H859" s="81" t="s">
        <v>4604</v>
      </c>
      <c r="I859" s="84" t="s">
        <v>4605</v>
      </c>
      <c r="J859" s="155"/>
      <c r="K859" s="37">
        <v>44067.0</v>
      </c>
      <c r="L859" s="37">
        <v>44073.0</v>
      </c>
      <c r="M859" s="85" t="s">
        <v>4606</v>
      </c>
      <c r="N859" s="85" t="s">
        <v>484</v>
      </c>
      <c r="O859" s="113">
        <v>43800.0</v>
      </c>
      <c r="P859" s="37">
        <v>43934.0</v>
      </c>
      <c r="Q859" s="22"/>
      <c r="R859" s="22"/>
      <c r="S859" s="193" t="s">
        <v>97</v>
      </c>
      <c r="T859" s="181"/>
      <c r="U859" s="182" t="s">
        <v>97</v>
      </c>
      <c r="V859" s="184"/>
      <c r="W859" s="184"/>
      <c r="X859" s="184"/>
      <c r="Y859" s="184"/>
      <c r="Z859" s="184"/>
      <c r="AA859" s="184"/>
      <c r="AB859" s="184"/>
      <c r="AC859" s="184"/>
      <c r="AD859" s="186"/>
      <c r="AE859" s="187"/>
      <c r="AF859" s="184"/>
      <c r="AG859" s="187"/>
      <c r="AH859" s="189"/>
      <c r="AI859" s="189"/>
      <c r="AJ859" s="189"/>
      <c r="AK859" s="189"/>
      <c r="AL859" s="189"/>
      <c r="AM859" s="189"/>
      <c r="AN859" s="187"/>
      <c r="AO859" s="187"/>
      <c r="AP859" s="184"/>
      <c r="AQ859" s="187"/>
      <c r="AR859" s="187"/>
      <c r="AS859" s="119"/>
    </row>
    <row r="860">
      <c r="A860" s="137">
        <v>642.0</v>
      </c>
      <c r="B860" s="150"/>
      <c r="C860" s="104" t="s">
        <v>4607</v>
      </c>
      <c r="D860" s="105" t="s">
        <v>70</v>
      </c>
      <c r="E860" s="107" t="s">
        <v>1326</v>
      </c>
      <c r="F860" s="101"/>
      <c r="G860" s="40" t="s">
        <v>4608</v>
      </c>
      <c r="H860" s="55" t="s">
        <v>4609</v>
      </c>
      <c r="I860" s="69" t="s">
        <v>4610</v>
      </c>
      <c r="J860" s="155"/>
      <c r="K860" s="37">
        <v>43910.0</v>
      </c>
      <c r="L860" s="37">
        <v>43910.0</v>
      </c>
      <c r="M860" s="73" t="s">
        <v>221</v>
      </c>
      <c r="N860" s="179" t="s">
        <v>72</v>
      </c>
      <c r="O860" s="535" t="s">
        <v>24</v>
      </c>
      <c r="P860" s="22" t="s">
        <v>24</v>
      </c>
      <c r="Q860" s="22"/>
      <c r="R860" s="22"/>
      <c r="S860" s="117"/>
      <c r="T860" s="236"/>
      <c r="U860" s="161"/>
      <c r="V860" s="161"/>
      <c r="W860" s="120" t="s">
        <v>97</v>
      </c>
      <c r="X860" s="161"/>
      <c r="Y860" s="161"/>
      <c r="Z860" s="161"/>
      <c r="AA860" s="161"/>
      <c r="AB860" s="161"/>
      <c r="AC860" s="161"/>
      <c r="AD860" s="161"/>
      <c r="AE860" s="161"/>
      <c r="AF860" s="161"/>
      <c r="AG860" s="161"/>
      <c r="AH860" s="163"/>
      <c r="AI860" s="163"/>
      <c r="AJ860" s="163"/>
      <c r="AK860" s="163"/>
      <c r="AL860" s="149" t="s">
        <v>97</v>
      </c>
      <c r="AM860" s="163"/>
      <c r="AN860" s="161"/>
      <c r="AO860" s="161"/>
      <c r="AP860" s="161"/>
      <c r="AQ860" s="161"/>
      <c r="AR860" s="161"/>
      <c r="AS860" s="119"/>
    </row>
    <row r="861">
      <c r="A861" s="101">
        <v>643.0</v>
      </c>
      <c r="B861" s="150">
        <v>11.0</v>
      </c>
      <c r="C861" s="104" t="s">
        <v>4611</v>
      </c>
      <c r="D861" s="138" t="s">
        <v>62</v>
      </c>
      <c r="E861" s="107" t="s">
        <v>523</v>
      </c>
      <c r="F861" s="101"/>
      <c r="G861" s="40" t="s">
        <v>4612</v>
      </c>
      <c r="H861" s="55" t="s">
        <v>4613</v>
      </c>
      <c r="I861" s="69" t="s">
        <v>4614</v>
      </c>
      <c r="J861" s="155"/>
      <c r="K861" s="22" t="s">
        <v>27</v>
      </c>
      <c r="L861" s="22" t="s">
        <v>27</v>
      </c>
      <c r="M861" s="73" t="s">
        <v>4615</v>
      </c>
      <c r="N861" s="179" t="s">
        <v>72</v>
      </c>
      <c r="O861" s="22" t="s">
        <v>27</v>
      </c>
      <c r="P861" s="22" t="s">
        <v>27</v>
      </c>
      <c r="Q861" s="22"/>
      <c r="R861" s="22"/>
      <c r="S861" s="117"/>
      <c r="T861" s="236"/>
      <c r="U861" s="161"/>
      <c r="V861" s="161"/>
      <c r="W861" s="161"/>
      <c r="X861" s="161"/>
      <c r="Y861" s="161"/>
      <c r="Z861" s="161"/>
      <c r="AA861" s="161"/>
      <c r="AB861" s="161"/>
      <c r="AC861" s="161"/>
      <c r="AD861" s="161"/>
      <c r="AE861" s="161"/>
      <c r="AF861" s="548" t="s">
        <v>97</v>
      </c>
      <c r="AG861" s="161"/>
      <c r="AH861" s="163"/>
      <c r="AI861" s="163"/>
      <c r="AJ861" s="163"/>
      <c r="AK861" s="163"/>
      <c r="AL861" s="163"/>
      <c r="AM861" s="163"/>
      <c r="AN861" s="161"/>
      <c r="AO861" s="161"/>
      <c r="AP861" s="161"/>
      <c r="AQ861" s="161"/>
      <c r="AR861" s="161"/>
      <c r="AS861" s="119"/>
    </row>
    <row r="862">
      <c r="A862" s="137">
        <v>859.0</v>
      </c>
      <c r="B862" s="103">
        <v>12.0</v>
      </c>
      <c r="C862" s="104" t="s">
        <v>4616</v>
      </c>
      <c r="D862" s="105" t="s">
        <v>48</v>
      </c>
      <c r="E862" s="107" t="s">
        <v>48</v>
      </c>
      <c r="F862" s="109"/>
      <c r="G862" s="10" t="s">
        <v>4617</v>
      </c>
      <c r="H862" s="17" t="s">
        <v>4618</v>
      </c>
      <c r="I862" s="111" t="s">
        <v>4619</v>
      </c>
      <c r="J862" s="155"/>
      <c r="K862" s="37">
        <v>44176.0</v>
      </c>
      <c r="L862" s="37">
        <v>44177.0</v>
      </c>
      <c r="M862" s="24" t="s">
        <v>399</v>
      </c>
      <c r="N862" s="24" t="s">
        <v>72</v>
      </c>
      <c r="O862" s="37">
        <v>43951.0</v>
      </c>
      <c r="P862" s="37">
        <v>44135.0</v>
      </c>
      <c r="Q862" s="223"/>
      <c r="R862" s="223"/>
      <c r="S862" s="224"/>
      <c r="T862" s="118"/>
      <c r="U862" s="176" t="s">
        <v>97</v>
      </c>
      <c r="V862" s="119"/>
      <c r="W862" s="119"/>
      <c r="X862" s="119"/>
      <c r="Y862" s="119"/>
      <c r="Z862" s="119"/>
      <c r="AA862" s="119"/>
      <c r="AB862" s="119"/>
      <c r="AC862" s="119"/>
      <c r="AD862" s="119"/>
      <c r="AE862" s="119"/>
      <c r="AF862" s="119"/>
      <c r="AG862" s="119"/>
      <c r="AH862" s="121"/>
      <c r="AI862" s="121"/>
      <c r="AJ862" s="121"/>
      <c r="AK862" s="121"/>
      <c r="AL862" s="121"/>
      <c r="AM862" s="121"/>
      <c r="AN862" s="119"/>
      <c r="AO862" s="119"/>
      <c r="AP862" s="119"/>
      <c r="AQ862" s="119"/>
      <c r="AR862" s="119"/>
      <c r="AS862" s="119"/>
    </row>
    <row r="863">
      <c r="A863" s="137">
        <v>644.0</v>
      </c>
      <c r="B863" s="177">
        <v>10.0</v>
      </c>
      <c r="C863" s="104" t="s">
        <v>4620</v>
      </c>
      <c r="D863" s="105" t="s">
        <v>48</v>
      </c>
      <c r="E863" s="107" t="s">
        <v>48</v>
      </c>
      <c r="F863" s="178"/>
      <c r="G863" s="77" t="s">
        <v>4621</v>
      </c>
      <c r="H863" s="81" t="s">
        <v>4622</v>
      </c>
      <c r="I863" s="84" t="s">
        <v>4623</v>
      </c>
      <c r="J863" s="155"/>
      <c r="K863" s="37">
        <v>44105.0</v>
      </c>
      <c r="L863" s="37">
        <v>44108.0</v>
      </c>
      <c r="M863" s="85" t="s">
        <v>4624</v>
      </c>
      <c r="N863" s="85" t="s">
        <v>139</v>
      </c>
      <c r="O863" s="37">
        <v>43983.0</v>
      </c>
      <c r="P863" s="37">
        <v>44044.0</v>
      </c>
      <c r="Q863" s="22"/>
      <c r="R863" s="22"/>
      <c r="S863" s="117"/>
      <c r="T863" s="181"/>
      <c r="U863" s="182" t="s">
        <v>97</v>
      </c>
      <c r="V863" s="184"/>
      <c r="W863" s="184"/>
      <c r="X863" s="184"/>
      <c r="Y863" s="184"/>
      <c r="Z863" s="184"/>
      <c r="AA863" s="184"/>
      <c r="AB863" s="184"/>
      <c r="AC863" s="184"/>
      <c r="AD863" s="186"/>
      <c r="AE863" s="187"/>
      <c r="AF863" s="184"/>
      <c r="AG863" s="187"/>
      <c r="AH863" s="189"/>
      <c r="AI863" s="189"/>
      <c r="AJ863" s="189"/>
      <c r="AK863" s="189"/>
      <c r="AL863" s="189"/>
      <c r="AM863" s="189"/>
      <c r="AN863" s="187"/>
      <c r="AO863" s="187"/>
      <c r="AP863" s="184"/>
      <c r="AQ863" s="187"/>
      <c r="AR863" s="187"/>
      <c r="AS863" s="119"/>
    </row>
    <row r="864">
      <c r="A864" s="137">
        <v>914.0</v>
      </c>
      <c r="B864" s="284"/>
      <c r="C864" s="123" t="s">
        <v>4625</v>
      </c>
      <c r="D864" s="138" t="s">
        <v>56</v>
      </c>
      <c r="E864" s="772" t="s">
        <v>3308</v>
      </c>
      <c r="F864" s="312"/>
      <c r="G864" s="216" t="s">
        <v>4626</v>
      </c>
      <c r="H864" s="89" t="s">
        <v>4627</v>
      </c>
      <c r="I864" s="91" t="str">
        <f>HYPERLINK("https://filmfreeway.com/BlackHollywoodEducationResourceCenter","https://filmfreeway.com/BlackHollywoodEducationResourceCenter")</f>
        <v>https://filmfreeway.com/BlackHollywoodEducationResourceCenter</v>
      </c>
      <c r="J864" s="288"/>
      <c r="K864" s="145">
        <v>43922.0</v>
      </c>
      <c r="L864" s="145">
        <v>43922.0</v>
      </c>
      <c r="M864" s="130" t="s">
        <v>221</v>
      </c>
      <c r="N864" s="130" t="s">
        <v>72</v>
      </c>
      <c r="O864" s="145">
        <v>43799.0</v>
      </c>
      <c r="P864" s="145">
        <v>43891.0</v>
      </c>
      <c r="Q864" s="131"/>
      <c r="R864" s="132"/>
      <c r="S864" s="132"/>
      <c r="T864" s="118"/>
      <c r="U864" s="119"/>
      <c r="V864" s="119"/>
      <c r="W864" s="120" t="s">
        <v>97</v>
      </c>
      <c r="X864" s="401" t="s">
        <v>97</v>
      </c>
      <c r="Y864" s="134"/>
      <c r="Z864" s="119"/>
      <c r="AA864" s="218" t="s">
        <v>97</v>
      </c>
      <c r="AB864" s="119"/>
      <c r="AC864" s="119"/>
      <c r="AD864" s="119"/>
      <c r="AE864" s="119"/>
      <c r="AF864" s="119"/>
      <c r="AG864" s="119"/>
      <c r="AH864" s="121"/>
      <c r="AI864" s="121"/>
      <c r="AJ864" s="121"/>
      <c r="AK864" s="121"/>
      <c r="AL864" s="121"/>
      <c r="AM864" s="135"/>
      <c r="AN864" s="119"/>
      <c r="AO864" s="119"/>
      <c r="AP864" s="119"/>
      <c r="AQ864" s="119"/>
      <c r="AR864" s="119"/>
      <c r="AS864" s="119"/>
    </row>
    <row r="865">
      <c r="A865" s="137">
        <v>645.0</v>
      </c>
      <c r="B865" s="292"/>
      <c r="C865" s="104" t="s">
        <v>4628</v>
      </c>
      <c r="D865" s="105" t="s">
        <v>48</v>
      </c>
      <c r="E865" s="107" t="s">
        <v>48</v>
      </c>
      <c r="F865" s="190"/>
      <c r="G865" s="192" t="s">
        <v>4629</v>
      </c>
      <c r="H865" s="81" t="s">
        <v>4630</v>
      </c>
      <c r="I865" s="158" t="s">
        <v>4631</v>
      </c>
      <c r="J865" s="155"/>
      <c r="K865" s="37">
        <v>44084.0</v>
      </c>
      <c r="L865" s="37">
        <v>44087.0</v>
      </c>
      <c r="M865" s="73" t="s">
        <v>4632</v>
      </c>
      <c r="N865" s="73" t="s">
        <v>291</v>
      </c>
      <c r="O865" s="113">
        <v>43799.0</v>
      </c>
      <c r="P865" s="37">
        <v>43951.0</v>
      </c>
      <c r="Q865" s="22"/>
      <c r="R865" s="22"/>
      <c r="S865" s="193" t="s">
        <v>97</v>
      </c>
      <c r="T865" s="157"/>
      <c r="U865" s="293" t="s">
        <v>97</v>
      </c>
      <c r="V865" s="194"/>
      <c r="W865" s="194"/>
      <c r="X865" s="194"/>
      <c r="Y865" s="194"/>
      <c r="Z865" s="194"/>
      <c r="AA865" s="194"/>
      <c r="AB865" s="194"/>
      <c r="AC865" s="194"/>
      <c r="AD865" s="186"/>
      <c r="AE865" s="187"/>
      <c r="AF865" s="194"/>
      <c r="AG865" s="187"/>
      <c r="AH865" s="189"/>
      <c r="AI865" s="189"/>
      <c r="AJ865" s="189"/>
      <c r="AK865" s="189"/>
      <c r="AL865" s="189"/>
      <c r="AM865" s="189"/>
      <c r="AN865" s="187"/>
      <c r="AO865" s="187"/>
      <c r="AP865" s="194"/>
      <c r="AQ865" s="187"/>
      <c r="AR865" s="187"/>
      <c r="AS865" s="119"/>
    </row>
    <row r="866">
      <c r="A866" s="101">
        <v>646.0</v>
      </c>
      <c r="B866" s="197"/>
      <c r="C866" s="104" t="s">
        <v>4633</v>
      </c>
      <c r="D866" s="105" t="s">
        <v>48</v>
      </c>
      <c r="E866" s="107" t="s">
        <v>48</v>
      </c>
      <c r="F866" s="627"/>
      <c r="G866" s="628" t="s">
        <v>4634</v>
      </c>
      <c r="H866" s="81" t="s">
        <v>4635</v>
      </c>
      <c r="I866" s="34" t="s">
        <v>4636</v>
      </c>
      <c r="J866" s="155"/>
      <c r="K866" s="37">
        <v>43854.0</v>
      </c>
      <c r="L866" s="37">
        <v>43860.0</v>
      </c>
      <c r="M866" s="410" t="s">
        <v>4637</v>
      </c>
      <c r="N866" s="410" t="s">
        <v>967</v>
      </c>
      <c r="O866" s="37">
        <v>43661.0</v>
      </c>
      <c r="P866" s="37">
        <v>43750.0</v>
      </c>
      <c r="Q866" s="200" t="s">
        <v>222</v>
      </c>
      <c r="R866" s="200" t="s">
        <v>222</v>
      </c>
      <c r="S866" s="224"/>
      <c r="T866" s="411"/>
      <c r="U866" s="412" t="s">
        <v>97</v>
      </c>
      <c r="V866" s="413"/>
      <c r="W866" s="413"/>
      <c r="X866" s="413"/>
      <c r="Y866" s="413"/>
      <c r="Z866" s="413"/>
      <c r="AA866" s="413"/>
      <c r="AB866" s="413"/>
      <c r="AC866" s="413"/>
      <c r="AD866" s="186"/>
      <c r="AE866" s="187"/>
      <c r="AF866" s="413"/>
      <c r="AG866" s="187"/>
      <c r="AH866" s="189"/>
      <c r="AI866" s="189"/>
      <c r="AJ866" s="189"/>
      <c r="AK866" s="189"/>
      <c r="AL866" s="189"/>
      <c r="AM866" s="189"/>
      <c r="AN866" s="187"/>
      <c r="AO866" s="187"/>
      <c r="AP866" s="413"/>
      <c r="AQ866" s="187"/>
      <c r="AR866" s="187"/>
      <c r="AS866" s="119"/>
    </row>
    <row r="867">
      <c r="A867" s="101">
        <v>919.0</v>
      </c>
      <c r="B867" s="122">
        <v>8.0</v>
      </c>
      <c r="C867" s="123" t="s">
        <v>4638</v>
      </c>
      <c r="D867" s="682" t="s">
        <v>63</v>
      </c>
      <c r="E867" s="287" t="s">
        <v>4639</v>
      </c>
      <c r="F867" s="127"/>
      <c r="G867" s="128" t="s">
        <v>4640</v>
      </c>
      <c r="H867" s="89" t="s">
        <v>4641</v>
      </c>
      <c r="I867" s="91" t="str">
        <f>HYPERLINK("https://filmfreeway.com/SlashandBashHorrorSciFiFilmFestival","https://filmfreeway.com/SlashandBashHorrorSciFiFilmFestival")</f>
        <v>https://filmfreeway.com/SlashandBashHorrorSciFiFilmFestival</v>
      </c>
      <c r="J867" s="155"/>
      <c r="K867" s="37">
        <v>44064.0</v>
      </c>
      <c r="L867" s="37">
        <v>44065.0</v>
      </c>
      <c r="M867" s="130" t="s">
        <v>2759</v>
      </c>
      <c r="N867" s="130" t="s">
        <v>2464</v>
      </c>
      <c r="O867" s="37">
        <v>44055.0</v>
      </c>
      <c r="P867" s="37">
        <v>44055.0</v>
      </c>
      <c r="Q867" s="131"/>
      <c r="R867" s="132"/>
      <c r="S867" s="132"/>
      <c r="T867" s="118"/>
      <c r="U867" s="119"/>
      <c r="V867" s="119"/>
      <c r="W867" s="120" t="s">
        <v>97</v>
      </c>
      <c r="X867" s="119"/>
      <c r="Y867" s="134"/>
      <c r="Z867" s="119"/>
      <c r="AA867" s="119"/>
      <c r="AB867" s="119"/>
      <c r="AC867" s="119"/>
      <c r="AD867" s="119"/>
      <c r="AE867" s="119"/>
      <c r="AF867" s="119"/>
      <c r="AG867" s="275" t="s">
        <v>97</v>
      </c>
      <c r="AH867" s="121"/>
      <c r="AI867" s="121"/>
      <c r="AJ867" s="121"/>
      <c r="AK867" s="121"/>
      <c r="AL867" s="121"/>
      <c r="AM867" s="135"/>
      <c r="AN867" s="119"/>
      <c r="AO867" s="119"/>
      <c r="AP867" s="119"/>
      <c r="AQ867" s="119"/>
      <c r="AR867" s="119"/>
      <c r="AS867" s="119"/>
    </row>
    <row r="868">
      <c r="A868" s="137">
        <v>1019.0</v>
      </c>
      <c r="B868" s="173"/>
      <c r="C868" s="668" t="s">
        <v>4642</v>
      </c>
      <c r="D868" s="622" t="s">
        <v>48</v>
      </c>
      <c r="E868" s="622" t="s">
        <v>48</v>
      </c>
      <c r="F868" s="101"/>
      <c r="G868" s="256" t="s">
        <v>738</v>
      </c>
      <c r="H868" s="89" t="s">
        <v>740</v>
      </c>
      <c r="I868" s="259" t="s">
        <v>740</v>
      </c>
      <c r="J868" s="20" t="s">
        <v>26</v>
      </c>
      <c r="K868" s="37">
        <v>43923.0</v>
      </c>
      <c r="L868" s="37">
        <v>43926.0</v>
      </c>
      <c r="M868" s="254" t="s">
        <v>742</v>
      </c>
      <c r="N868" s="254" t="s">
        <v>46</v>
      </c>
      <c r="O868" s="284" t="s">
        <v>27</v>
      </c>
      <c r="P868" s="284" t="s">
        <v>27</v>
      </c>
      <c r="Q868" s="132"/>
      <c r="R868" s="132"/>
      <c r="S868" s="132"/>
      <c r="T868" s="236"/>
      <c r="U868" s="176" t="s">
        <v>97</v>
      </c>
      <c r="V868" s="161"/>
      <c r="W868" s="161"/>
      <c r="X868" s="161"/>
      <c r="Y868" s="161"/>
      <c r="Z868" s="161"/>
      <c r="AA868" s="161"/>
      <c r="AB868" s="161"/>
      <c r="AC868" s="161"/>
      <c r="AD868" s="161"/>
      <c r="AE868" s="161"/>
      <c r="AF868" s="161"/>
      <c r="AG868" s="237"/>
      <c r="AH868" s="163"/>
      <c r="AI868" s="163"/>
      <c r="AJ868" s="163"/>
      <c r="AK868" s="163"/>
      <c r="AL868" s="163"/>
      <c r="AM868" s="163"/>
      <c r="AN868" s="161"/>
      <c r="AO868" s="161"/>
      <c r="AP868" s="161"/>
      <c r="AQ868" s="161"/>
      <c r="AR868" s="161"/>
      <c r="AS868" s="119"/>
    </row>
    <row r="869">
      <c r="A869" s="137">
        <v>647.0</v>
      </c>
      <c r="B869" s="150"/>
      <c r="C869" s="104" t="s">
        <v>3000</v>
      </c>
      <c r="D869" s="105" t="s">
        <v>48</v>
      </c>
      <c r="E869" s="107" t="s">
        <v>48</v>
      </c>
      <c r="F869" s="101"/>
      <c r="G869" s="40" t="s">
        <v>4643</v>
      </c>
      <c r="H869" s="55" t="s">
        <v>4644</v>
      </c>
      <c r="I869" s="69" t="s">
        <v>4645</v>
      </c>
      <c r="J869" s="155"/>
      <c r="K869" s="37">
        <v>43995.0</v>
      </c>
      <c r="L869" s="37">
        <v>43995.0</v>
      </c>
      <c r="M869" s="174" t="s">
        <v>302</v>
      </c>
      <c r="N869" s="179" t="s">
        <v>303</v>
      </c>
      <c r="O869" s="113">
        <v>43638.0</v>
      </c>
      <c r="P869" s="37">
        <v>43890.0</v>
      </c>
      <c r="Q869" s="22"/>
      <c r="R869" s="22"/>
      <c r="S869" s="117"/>
      <c r="T869" s="236"/>
      <c r="U869" s="176" t="s">
        <v>97</v>
      </c>
      <c r="V869" s="161"/>
      <c r="W869" s="161"/>
      <c r="X869" s="161"/>
      <c r="Y869" s="161"/>
      <c r="Z869" s="161"/>
      <c r="AA869" s="161"/>
      <c r="AB869" s="161"/>
      <c r="AC869" s="161"/>
      <c r="AD869" s="161"/>
      <c r="AE869" s="161"/>
      <c r="AF869" s="161"/>
      <c r="AG869" s="161"/>
      <c r="AH869" s="163"/>
      <c r="AI869" s="163"/>
      <c r="AJ869" s="163"/>
      <c r="AK869" s="163"/>
      <c r="AL869" s="163"/>
      <c r="AM869" s="163"/>
      <c r="AN869" s="161"/>
      <c r="AO869" s="161"/>
      <c r="AP869" s="161"/>
      <c r="AQ869" s="161"/>
      <c r="AR869" s="161"/>
      <c r="AS869" s="119"/>
    </row>
    <row r="870">
      <c r="A870" s="137">
        <v>648.0</v>
      </c>
      <c r="B870" s="150">
        <v>6.0</v>
      </c>
      <c r="C870" s="104" t="s">
        <v>4646</v>
      </c>
      <c r="D870" s="105" t="s">
        <v>52</v>
      </c>
      <c r="E870" s="107" t="s">
        <v>52</v>
      </c>
      <c r="F870" s="101"/>
      <c r="G870" s="40" t="s">
        <v>1560</v>
      </c>
      <c r="H870" s="55" t="s">
        <v>4647</v>
      </c>
      <c r="I870" s="69" t="s">
        <v>4648</v>
      </c>
      <c r="J870" s="155"/>
      <c r="K870" s="37">
        <v>44007.0</v>
      </c>
      <c r="L870" s="37">
        <v>44010.0</v>
      </c>
      <c r="M870" s="73" t="s">
        <v>4649</v>
      </c>
      <c r="N870" s="179" t="s">
        <v>139</v>
      </c>
      <c r="O870" s="37">
        <v>43862.0</v>
      </c>
      <c r="P870" s="37">
        <v>43922.0</v>
      </c>
      <c r="Q870" s="22"/>
      <c r="R870" s="22"/>
      <c r="S870" s="117"/>
      <c r="T870" s="236"/>
      <c r="U870" s="161"/>
      <c r="V870" s="161"/>
      <c r="W870" s="120" t="s">
        <v>97</v>
      </c>
      <c r="X870" s="161"/>
      <c r="Y870" s="161"/>
      <c r="Z870" s="161"/>
      <c r="AA870" s="161"/>
      <c r="AB870" s="161"/>
      <c r="AC870" s="161"/>
      <c r="AD870" s="161"/>
      <c r="AE870" s="161"/>
      <c r="AF870" s="161"/>
      <c r="AG870" s="161"/>
      <c r="AH870" s="163"/>
      <c r="AI870" s="163"/>
      <c r="AJ870" s="163"/>
      <c r="AK870" s="163"/>
      <c r="AL870" s="163"/>
      <c r="AM870" s="163"/>
      <c r="AN870" s="161"/>
      <c r="AO870" s="161"/>
      <c r="AP870" s="161"/>
      <c r="AQ870" s="161"/>
      <c r="AR870" s="161"/>
      <c r="AS870" s="119"/>
    </row>
    <row r="871">
      <c r="A871" s="101">
        <v>649.0</v>
      </c>
      <c r="B871" s="150"/>
      <c r="C871" s="104" t="s">
        <v>4650</v>
      </c>
      <c r="D871" s="105" t="s">
        <v>48</v>
      </c>
      <c r="E871" s="107" t="s">
        <v>48</v>
      </c>
      <c r="F871" s="101"/>
      <c r="G871" s="40" t="s">
        <v>4651</v>
      </c>
      <c r="H871" s="55" t="s">
        <v>4652</v>
      </c>
      <c r="I871" s="69" t="s">
        <v>4653</v>
      </c>
      <c r="J871" s="155"/>
      <c r="K871" s="37">
        <v>43854.0</v>
      </c>
      <c r="L871" s="37">
        <v>43855.0</v>
      </c>
      <c r="M871" s="73" t="s">
        <v>632</v>
      </c>
      <c r="N871" s="179" t="s">
        <v>29</v>
      </c>
      <c r="O871" s="113">
        <v>43678.0</v>
      </c>
      <c r="P871" s="37">
        <v>43800.0</v>
      </c>
      <c r="Q871" s="22"/>
      <c r="R871" s="22"/>
      <c r="S871" s="117"/>
      <c r="T871" s="236"/>
      <c r="U871" s="176" t="s">
        <v>97</v>
      </c>
      <c r="V871" s="161"/>
      <c r="W871" s="161"/>
      <c r="X871" s="161"/>
      <c r="Y871" s="161"/>
      <c r="Z871" s="161"/>
      <c r="AA871" s="161"/>
      <c r="AB871" s="161"/>
      <c r="AC871" s="161"/>
      <c r="AD871" s="161"/>
      <c r="AE871" s="161"/>
      <c r="AF871" s="161"/>
      <c r="AG871" s="161"/>
      <c r="AH871" s="163"/>
      <c r="AI871" s="163"/>
      <c r="AJ871" s="163"/>
      <c r="AK871" s="163"/>
      <c r="AL871" s="163"/>
      <c r="AM871" s="163"/>
      <c r="AN871" s="161"/>
      <c r="AO871" s="161"/>
      <c r="AP871" s="161"/>
      <c r="AQ871" s="161"/>
      <c r="AR871" s="161"/>
      <c r="AS871" s="119"/>
    </row>
    <row r="872">
      <c r="A872" s="101">
        <v>809.0</v>
      </c>
      <c r="B872" s="103">
        <v>10.0</v>
      </c>
      <c r="C872" s="104" t="s">
        <v>4654</v>
      </c>
      <c r="D872" s="138" t="s">
        <v>77</v>
      </c>
      <c r="E872" s="107" t="s">
        <v>869</v>
      </c>
      <c r="F872" s="109"/>
      <c r="G872" s="10" t="s">
        <v>4655</v>
      </c>
      <c r="H872" s="17" t="s">
        <v>4656</v>
      </c>
      <c r="I872" s="111" t="s">
        <v>4657</v>
      </c>
      <c r="J872" s="155"/>
      <c r="K872" s="37">
        <v>44105.0</v>
      </c>
      <c r="L872" s="37">
        <v>44114.0</v>
      </c>
      <c r="M872" s="24" t="s">
        <v>250</v>
      </c>
      <c r="N872" s="24" t="s">
        <v>251</v>
      </c>
      <c r="O872" s="37">
        <v>43921.0</v>
      </c>
      <c r="P872" s="37">
        <v>43982.0</v>
      </c>
      <c r="Q872" s="229"/>
      <c r="R872" s="229"/>
      <c r="S872" s="760"/>
      <c r="T872" s="118"/>
      <c r="U872" s="119"/>
      <c r="V872" s="119"/>
      <c r="W872" s="119"/>
      <c r="X872" s="119"/>
      <c r="Y872" s="119"/>
      <c r="Z872" s="119"/>
      <c r="AA872" s="119"/>
      <c r="AB872" s="119"/>
      <c r="AC872" s="119"/>
      <c r="AD872" s="119"/>
      <c r="AE872" s="119"/>
      <c r="AF872" s="119"/>
      <c r="AG872" s="119"/>
      <c r="AH872" s="121"/>
      <c r="AI872" s="121"/>
      <c r="AJ872" s="121"/>
      <c r="AK872" s="121"/>
      <c r="AL872" s="121"/>
      <c r="AM872" s="121"/>
      <c r="AN872" s="119"/>
      <c r="AO872" s="351" t="s">
        <v>97</v>
      </c>
      <c r="AP872" s="119"/>
      <c r="AQ872" s="119"/>
      <c r="AR872" s="119"/>
      <c r="AS872" s="119"/>
    </row>
    <row r="873">
      <c r="A873" s="137">
        <v>993.0</v>
      </c>
      <c r="B873" s="122">
        <v>11.0</v>
      </c>
      <c r="C873" s="123" t="s">
        <v>4658</v>
      </c>
      <c r="D873" s="124" t="s">
        <v>71</v>
      </c>
      <c r="E873" s="126" t="s">
        <v>71</v>
      </c>
      <c r="F873" s="127"/>
      <c r="G873" s="128" t="s">
        <v>4659</v>
      </c>
      <c r="H873" s="89" t="s">
        <v>4660</v>
      </c>
      <c r="I873" s="91" t="str">
        <f>HYPERLINK("https://filmfreeway.com/SocietyforVisualAnthropologyFilmandMediaFestivalSVAFMF","https://filmfreeway.com/SocietyforVisualAnthropologyFilmandMediaFestivalSVAFMF")</f>
        <v>https://filmfreeway.com/SocietyforVisualAnthropologyFilmandMediaFestivalSVAFMF</v>
      </c>
      <c r="J873" s="155"/>
      <c r="K873" s="37">
        <v>44153.0</v>
      </c>
      <c r="L873" s="37">
        <v>44156.0</v>
      </c>
      <c r="M873" s="130" t="s">
        <v>4661</v>
      </c>
      <c r="N873" s="130" t="s">
        <v>4662</v>
      </c>
      <c r="O873" s="37">
        <v>43881.0</v>
      </c>
      <c r="P873" s="37">
        <v>43926.0</v>
      </c>
      <c r="Q873" s="131"/>
      <c r="R873" s="132"/>
      <c r="S873" s="132"/>
      <c r="T873" s="118"/>
      <c r="U873" s="119"/>
      <c r="V873" s="119"/>
      <c r="W873" s="119"/>
      <c r="X873" s="119"/>
      <c r="Y873" s="134"/>
      <c r="Z873" s="119"/>
      <c r="AA873" s="119"/>
      <c r="AB873" s="119"/>
      <c r="AC873" s="119"/>
      <c r="AD873" s="119"/>
      <c r="AE873" s="119"/>
      <c r="AF873" s="119"/>
      <c r="AG873" s="119"/>
      <c r="AH873" s="121"/>
      <c r="AI873" s="121"/>
      <c r="AJ873" s="121"/>
      <c r="AK873" s="121"/>
      <c r="AL873" s="121"/>
      <c r="AM873" s="165" t="s">
        <v>97</v>
      </c>
      <c r="AN873" s="119"/>
      <c r="AO873" s="119"/>
      <c r="AP873" s="119"/>
      <c r="AQ873" s="119"/>
      <c r="AR873" s="119"/>
      <c r="AS873" s="119"/>
    </row>
    <row r="874">
      <c r="A874" s="137">
        <v>650.0</v>
      </c>
      <c r="B874" s="150"/>
      <c r="C874" s="104" t="s">
        <v>4663</v>
      </c>
      <c r="D874" s="105" t="s">
        <v>48</v>
      </c>
      <c r="E874" s="107" t="s">
        <v>48</v>
      </c>
      <c r="F874" s="101"/>
      <c r="G874" s="40" t="s">
        <v>4664</v>
      </c>
      <c r="H874" s="55" t="s">
        <v>4665</v>
      </c>
      <c r="I874" s="69" t="s">
        <v>4666</v>
      </c>
      <c r="J874" s="155"/>
      <c r="K874" s="37">
        <v>43993.0</v>
      </c>
      <c r="L874" s="37">
        <v>44000.0</v>
      </c>
      <c r="M874" s="73" t="s">
        <v>196</v>
      </c>
      <c r="N874" s="179" t="s">
        <v>29</v>
      </c>
      <c r="O874" s="113">
        <v>43723.0</v>
      </c>
      <c r="P874" s="37">
        <v>43890.0</v>
      </c>
      <c r="Q874" s="22"/>
      <c r="R874" s="22"/>
      <c r="S874" s="117"/>
      <c r="T874" s="236"/>
      <c r="U874" s="176" t="s">
        <v>97</v>
      </c>
      <c r="V874" s="161"/>
      <c r="W874" s="161"/>
      <c r="X874" s="161"/>
      <c r="Y874" s="161"/>
      <c r="Z874" s="161"/>
      <c r="AA874" s="161"/>
      <c r="AB874" s="161"/>
      <c r="AC874" s="161"/>
      <c r="AD874" s="161"/>
      <c r="AE874" s="161"/>
      <c r="AF874" s="161"/>
      <c r="AG874" s="161"/>
      <c r="AH874" s="163"/>
      <c r="AI874" s="163"/>
      <c r="AJ874" s="163"/>
      <c r="AK874" s="163"/>
      <c r="AL874" s="163"/>
      <c r="AM874" s="163"/>
      <c r="AN874" s="161"/>
      <c r="AO874" s="161"/>
      <c r="AP874" s="161"/>
      <c r="AQ874" s="161"/>
      <c r="AR874" s="161"/>
      <c r="AS874" s="119"/>
    </row>
    <row r="875">
      <c r="A875" s="137">
        <v>651.0</v>
      </c>
      <c r="B875" s="150"/>
      <c r="C875" s="104" t="s">
        <v>4667</v>
      </c>
      <c r="D875" s="105" t="s">
        <v>48</v>
      </c>
      <c r="E875" s="107" t="s">
        <v>48</v>
      </c>
      <c r="F875" s="101"/>
      <c r="G875" s="40" t="s">
        <v>1220</v>
      </c>
      <c r="H875" s="55" t="s">
        <v>1221</v>
      </c>
      <c r="I875" s="69" t="s">
        <v>1223</v>
      </c>
      <c r="J875" s="20" t="s">
        <v>439</v>
      </c>
      <c r="K875" s="37">
        <v>43908.0</v>
      </c>
      <c r="L875" s="37">
        <v>43912.0</v>
      </c>
      <c r="M875" s="73" t="s">
        <v>1224</v>
      </c>
      <c r="N875" s="179" t="s">
        <v>412</v>
      </c>
      <c r="O875" s="113">
        <v>43720.0</v>
      </c>
      <c r="P875" s="37">
        <v>43846.0</v>
      </c>
      <c r="Q875" s="22"/>
      <c r="R875" s="22"/>
      <c r="S875" s="117"/>
      <c r="T875" s="236"/>
      <c r="U875" s="176" t="s">
        <v>97</v>
      </c>
      <c r="V875" s="161"/>
      <c r="W875" s="161"/>
      <c r="X875" s="161"/>
      <c r="Y875" s="161"/>
      <c r="Z875" s="161"/>
      <c r="AA875" s="161"/>
      <c r="AB875" s="161"/>
      <c r="AC875" s="161"/>
      <c r="AD875" s="161"/>
      <c r="AE875" s="161"/>
      <c r="AF875" s="161"/>
      <c r="AG875" s="161"/>
      <c r="AH875" s="163"/>
      <c r="AI875" s="163"/>
      <c r="AJ875" s="163"/>
      <c r="AK875" s="163"/>
      <c r="AL875" s="163"/>
      <c r="AM875" s="163"/>
      <c r="AN875" s="161"/>
      <c r="AO875" s="161"/>
      <c r="AP875" s="161"/>
      <c r="AQ875" s="161"/>
      <c r="AR875" s="161"/>
      <c r="AS875" s="119"/>
    </row>
    <row r="876">
      <c r="A876" s="101">
        <v>652.0</v>
      </c>
      <c r="B876" s="150">
        <v>7.0</v>
      </c>
      <c r="C876" s="104" t="s">
        <v>1307</v>
      </c>
      <c r="D876" s="105" t="s">
        <v>48</v>
      </c>
      <c r="E876" s="107" t="s">
        <v>48</v>
      </c>
      <c r="F876" s="101"/>
      <c r="G876" s="40" t="s">
        <v>4668</v>
      </c>
      <c r="H876" s="55" t="s">
        <v>4669</v>
      </c>
      <c r="I876" s="69" t="s">
        <v>4670</v>
      </c>
      <c r="J876" s="155"/>
      <c r="K876" s="22" t="s">
        <v>27</v>
      </c>
      <c r="L876" s="22" t="s">
        <v>27</v>
      </c>
      <c r="M876" s="73" t="s">
        <v>447</v>
      </c>
      <c r="N876" s="179" t="s">
        <v>80</v>
      </c>
      <c r="O876" s="22" t="s">
        <v>27</v>
      </c>
      <c r="P876" s="22" t="s">
        <v>27</v>
      </c>
      <c r="Q876" s="22"/>
      <c r="R876" s="22"/>
      <c r="S876" s="117"/>
      <c r="T876" s="236"/>
      <c r="U876" s="176" t="s">
        <v>97</v>
      </c>
      <c r="V876" s="161"/>
      <c r="W876" s="161"/>
      <c r="X876" s="161"/>
      <c r="Y876" s="161"/>
      <c r="Z876" s="161"/>
      <c r="AA876" s="161"/>
      <c r="AB876" s="161"/>
      <c r="AC876" s="161"/>
      <c r="AD876" s="161"/>
      <c r="AE876" s="161"/>
      <c r="AF876" s="161"/>
      <c r="AG876" s="161"/>
      <c r="AH876" s="163"/>
      <c r="AI876" s="163"/>
      <c r="AJ876" s="163"/>
      <c r="AK876" s="163"/>
      <c r="AL876" s="163"/>
      <c r="AM876" s="163"/>
      <c r="AN876" s="161"/>
      <c r="AO876" s="161"/>
      <c r="AP876" s="161"/>
      <c r="AQ876" s="161"/>
      <c r="AR876" s="161"/>
      <c r="AS876" s="119"/>
    </row>
    <row r="877">
      <c r="A877" s="137">
        <v>653.0</v>
      </c>
      <c r="B877" s="177"/>
      <c r="C877" s="104" t="s">
        <v>4671</v>
      </c>
      <c r="D877" s="105" t="s">
        <v>48</v>
      </c>
      <c r="E877" s="107" t="s">
        <v>48</v>
      </c>
      <c r="F877" s="178"/>
      <c r="G877" s="77" t="s">
        <v>1148</v>
      </c>
      <c r="H877" s="81" t="s">
        <v>1150</v>
      </c>
      <c r="I877" s="84" t="s">
        <v>1153</v>
      </c>
      <c r="J877" s="20" t="s">
        <v>1156</v>
      </c>
      <c r="K877" s="37">
        <v>43915.0</v>
      </c>
      <c r="L877" s="37">
        <v>43919.0</v>
      </c>
      <c r="M877" s="85" t="s">
        <v>1157</v>
      </c>
      <c r="N877" s="85" t="s">
        <v>72</v>
      </c>
      <c r="O877" s="113">
        <v>43722.0</v>
      </c>
      <c r="P877" s="37">
        <v>43840.0</v>
      </c>
      <c r="Q877" s="22"/>
      <c r="R877" s="22"/>
      <c r="S877" s="117"/>
      <c r="T877" s="181"/>
      <c r="U877" s="182" t="s">
        <v>97</v>
      </c>
      <c r="V877" s="184"/>
      <c r="W877" s="184"/>
      <c r="X877" s="184"/>
      <c r="Y877" s="184"/>
      <c r="Z877" s="184"/>
      <c r="AA877" s="184"/>
      <c r="AB877" s="184"/>
      <c r="AC877" s="184"/>
      <c r="AD877" s="186"/>
      <c r="AE877" s="187"/>
      <c r="AF877" s="184"/>
      <c r="AG877" s="187"/>
      <c r="AH877" s="189"/>
      <c r="AI877" s="189"/>
      <c r="AJ877" s="189"/>
      <c r="AK877" s="189"/>
      <c r="AL877" s="189"/>
      <c r="AM877" s="189"/>
      <c r="AN877" s="187"/>
      <c r="AO877" s="187"/>
      <c r="AP877" s="184"/>
      <c r="AQ877" s="187"/>
      <c r="AR877" s="187"/>
      <c r="AS877" s="119"/>
    </row>
    <row r="878">
      <c r="A878" s="137">
        <v>654.0</v>
      </c>
      <c r="B878" s="315">
        <v>4.0</v>
      </c>
      <c r="C878" s="104" t="s">
        <v>4672</v>
      </c>
      <c r="D878" s="105" t="s">
        <v>90</v>
      </c>
      <c r="E878" s="107" t="s">
        <v>90</v>
      </c>
      <c r="F878" s="178"/>
      <c r="G878" s="77" t="s">
        <v>924</v>
      </c>
      <c r="H878" s="81" t="s">
        <v>926</v>
      </c>
      <c r="I878" s="316" t="s">
        <v>24</v>
      </c>
      <c r="J878" s="20" t="s">
        <v>26</v>
      </c>
      <c r="K878" s="37">
        <v>43923.0</v>
      </c>
      <c r="L878" s="37">
        <v>43925.0</v>
      </c>
      <c r="M878" s="85" t="s">
        <v>488</v>
      </c>
      <c r="N878" s="85" t="s">
        <v>379</v>
      </c>
      <c r="O878" s="37">
        <v>43898.0</v>
      </c>
      <c r="P878" s="37">
        <v>43898.0</v>
      </c>
      <c r="Q878" s="201"/>
      <c r="R878" s="201"/>
      <c r="S878" s="224"/>
      <c r="T878" s="181"/>
      <c r="U878" s="184"/>
      <c r="V878" s="184"/>
      <c r="W878" s="184"/>
      <c r="X878" s="184"/>
      <c r="Y878" s="184"/>
      <c r="Z878" s="184"/>
      <c r="AA878" s="184"/>
      <c r="AB878" s="184"/>
      <c r="AC878" s="184"/>
      <c r="AD878" s="186"/>
      <c r="AE878" s="187"/>
      <c r="AF878" s="184"/>
      <c r="AG878" s="187"/>
      <c r="AH878" s="189"/>
      <c r="AI878" s="189"/>
      <c r="AJ878" s="189"/>
      <c r="AK878" s="189"/>
      <c r="AL878" s="189"/>
      <c r="AM878" s="189"/>
      <c r="AN878" s="187"/>
      <c r="AO878" s="187"/>
      <c r="AP878" s="184"/>
      <c r="AQ878" s="187"/>
      <c r="AR878" s="676" t="s">
        <v>97</v>
      </c>
      <c r="AS878" s="119"/>
    </row>
    <row r="879">
      <c r="A879" s="101">
        <v>655.0</v>
      </c>
      <c r="B879" s="150">
        <v>4.0</v>
      </c>
      <c r="C879" s="104" t="s">
        <v>4673</v>
      </c>
      <c r="D879" s="773" t="s">
        <v>52</v>
      </c>
      <c r="E879" s="107" t="s">
        <v>52</v>
      </c>
      <c r="F879" s="101"/>
      <c r="G879" s="40" t="s">
        <v>369</v>
      </c>
      <c r="H879" s="55" t="s">
        <v>370</v>
      </c>
      <c r="I879" s="244" t="s">
        <v>373</v>
      </c>
      <c r="J879" s="245" t="s">
        <v>377</v>
      </c>
      <c r="K879" s="37">
        <v>43940.0</v>
      </c>
      <c r="L879" s="37">
        <v>43940.0</v>
      </c>
      <c r="M879" s="73" t="s">
        <v>378</v>
      </c>
      <c r="N879" s="179" t="s">
        <v>379</v>
      </c>
      <c r="O879" s="37">
        <v>43827.0</v>
      </c>
      <c r="P879" s="37">
        <v>43900.0</v>
      </c>
      <c r="Q879" s="22"/>
      <c r="R879" s="22"/>
      <c r="S879" s="117"/>
      <c r="T879" s="236"/>
      <c r="U879" s="161"/>
      <c r="V879" s="161"/>
      <c r="W879" s="120" t="s">
        <v>97</v>
      </c>
      <c r="X879" s="161"/>
      <c r="Y879" s="161"/>
      <c r="Z879" s="161"/>
      <c r="AA879" s="161"/>
      <c r="AB879" s="161"/>
      <c r="AC879" s="161"/>
      <c r="AD879" s="161"/>
      <c r="AE879" s="161"/>
      <c r="AF879" s="161"/>
      <c r="AG879" s="161"/>
      <c r="AH879" s="163"/>
      <c r="AI879" s="163"/>
      <c r="AJ879" s="163"/>
      <c r="AK879" s="163"/>
      <c r="AL879" s="163"/>
      <c r="AM879" s="163"/>
      <c r="AN879" s="161"/>
      <c r="AO879" s="161"/>
      <c r="AP879" s="161"/>
      <c r="AQ879" s="161"/>
      <c r="AR879" s="161"/>
      <c r="AS879" s="119"/>
    </row>
    <row r="880">
      <c r="A880" s="137">
        <v>656.0</v>
      </c>
      <c r="B880" s="150"/>
      <c r="C880" s="104" t="s">
        <v>4674</v>
      </c>
      <c r="D880" s="773" t="s">
        <v>52</v>
      </c>
      <c r="E880" s="107" t="s">
        <v>1139</v>
      </c>
      <c r="F880" s="101"/>
      <c r="G880" s="40" t="s">
        <v>4675</v>
      </c>
      <c r="H880" s="55" t="s">
        <v>4676</v>
      </c>
      <c r="I880" s="69" t="s">
        <v>4677</v>
      </c>
      <c r="J880" s="155"/>
      <c r="K880" s="37">
        <v>43918.0</v>
      </c>
      <c r="L880" s="37">
        <v>43918.0</v>
      </c>
      <c r="M880" s="73" t="s">
        <v>230</v>
      </c>
      <c r="N880" s="179" t="s">
        <v>231</v>
      </c>
      <c r="O880" s="113">
        <v>43770.0</v>
      </c>
      <c r="P880" s="37">
        <v>43845.0</v>
      </c>
      <c r="Q880" s="22"/>
      <c r="R880" s="22"/>
      <c r="S880" s="117"/>
      <c r="T880" s="236"/>
      <c r="U880" s="161"/>
      <c r="V880" s="161"/>
      <c r="W880" s="120" t="s">
        <v>97</v>
      </c>
      <c r="X880" s="161"/>
      <c r="Y880" s="161"/>
      <c r="Z880" s="161"/>
      <c r="AA880" s="161"/>
      <c r="AB880" s="161"/>
      <c r="AC880" s="161"/>
      <c r="AD880" s="161"/>
      <c r="AE880" s="161"/>
      <c r="AF880" s="161"/>
      <c r="AG880" s="161"/>
      <c r="AH880" s="163"/>
      <c r="AI880" s="163"/>
      <c r="AJ880" s="163"/>
      <c r="AK880" s="163"/>
      <c r="AL880" s="163"/>
      <c r="AM880" s="165" t="s">
        <v>97</v>
      </c>
      <c r="AN880" s="161"/>
      <c r="AO880" s="161"/>
      <c r="AP880" s="161"/>
      <c r="AQ880" s="161"/>
      <c r="AR880" s="161"/>
      <c r="AS880" s="119"/>
    </row>
    <row r="881">
      <c r="A881" s="101">
        <v>875.0</v>
      </c>
      <c r="B881" s="641">
        <v>11.0</v>
      </c>
      <c r="C881" s="774" t="s">
        <v>4678</v>
      </c>
      <c r="D881" s="357" t="s">
        <v>71</v>
      </c>
      <c r="E881" s="358" t="s">
        <v>71</v>
      </c>
      <c r="F881" s="359"/>
      <c r="G881" s="159" t="s">
        <v>1879</v>
      </c>
      <c r="H881" s="166" t="s">
        <v>4679</v>
      </c>
      <c r="I881" s="167" t="s">
        <v>4680</v>
      </c>
      <c r="J881" s="155"/>
      <c r="K881" s="37">
        <v>44146.0</v>
      </c>
      <c r="L881" s="37">
        <v>44150.0</v>
      </c>
      <c r="M881" s="170" t="s">
        <v>335</v>
      </c>
      <c r="N881" s="170" t="s">
        <v>336</v>
      </c>
      <c r="O881" s="113">
        <v>43876.0</v>
      </c>
      <c r="P881" s="37">
        <v>44065.0</v>
      </c>
      <c r="Q881" s="361"/>
      <c r="R881" s="361"/>
      <c r="S881" s="117"/>
      <c r="T881" s="265"/>
      <c r="U881" s="266"/>
      <c r="V881" s="266"/>
      <c r="W881" s="266"/>
      <c r="X881" s="266"/>
      <c r="Y881" s="266"/>
      <c r="Z881" s="266"/>
      <c r="AA881" s="266"/>
      <c r="AB881" s="266"/>
      <c r="AC881" s="266"/>
      <c r="AD881" s="266"/>
      <c r="AE881" s="266"/>
      <c r="AF881" s="266"/>
      <c r="AG881" s="266"/>
      <c r="AH881" s="266"/>
      <c r="AI881" s="266"/>
      <c r="AJ881" s="266"/>
      <c r="AK881" s="266"/>
      <c r="AL881" s="266"/>
      <c r="AM881" s="775" t="s">
        <v>97</v>
      </c>
      <c r="AN881" s="266"/>
      <c r="AO881" s="266"/>
      <c r="AP881" s="266"/>
      <c r="AQ881" s="266"/>
      <c r="AR881" s="266"/>
      <c r="AS881" s="119"/>
    </row>
    <row r="882">
      <c r="A882" s="101">
        <v>963.0</v>
      </c>
      <c r="B882" s="122">
        <v>11.0</v>
      </c>
      <c r="C882" s="123" t="s">
        <v>4681</v>
      </c>
      <c r="D882" s="776" t="s">
        <v>57</v>
      </c>
      <c r="E882" s="311" t="s">
        <v>57</v>
      </c>
      <c r="F882" s="127"/>
      <c r="G882" s="128" t="s">
        <v>4682</v>
      </c>
      <c r="H882" s="89" t="s">
        <v>4683</v>
      </c>
      <c r="I882" s="91" t="str">
        <f>HYPERLINK("https://filmfreeway.com/SouthAsianInternationalFilmFestival","https://filmfreeway.com/SouthAsianInternationalFilmFestival")</f>
        <v>https://filmfreeway.com/SouthAsianInternationalFilmFestival</v>
      </c>
      <c r="J882" s="155"/>
      <c r="K882" s="22" t="s">
        <v>27</v>
      </c>
      <c r="L882" s="22" t="s">
        <v>27</v>
      </c>
      <c r="M882" s="130" t="s">
        <v>196</v>
      </c>
      <c r="N882" s="130" t="s">
        <v>29</v>
      </c>
      <c r="O882" s="22" t="s">
        <v>27</v>
      </c>
      <c r="P882" s="22" t="s">
        <v>27</v>
      </c>
      <c r="Q882" s="131"/>
      <c r="R882" s="132"/>
      <c r="S882" s="132"/>
      <c r="T882" s="118"/>
      <c r="U882" s="119"/>
      <c r="V882" s="119"/>
      <c r="W882" s="119"/>
      <c r="X882" s="119"/>
      <c r="Y882" s="134"/>
      <c r="Z882" s="119"/>
      <c r="AA882" s="119"/>
      <c r="AB882" s="307" t="s">
        <v>97</v>
      </c>
      <c r="AC882" s="119"/>
      <c r="AD882" s="119"/>
      <c r="AE882" s="119"/>
      <c r="AF882" s="119"/>
      <c r="AG882" s="119"/>
      <c r="AH882" s="121"/>
      <c r="AI882" s="121"/>
      <c r="AJ882" s="121"/>
      <c r="AK882" s="121"/>
      <c r="AL882" s="121"/>
      <c r="AM882" s="135"/>
      <c r="AN882" s="119"/>
      <c r="AO882" s="119"/>
      <c r="AP882" s="119"/>
      <c r="AQ882" s="119"/>
      <c r="AR882" s="119"/>
      <c r="AS882" s="119"/>
    </row>
    <row r="883">
      <c r="A883" s="137">
        <v>923.0</v>
      </c>
      <c r="B883" s="122">
        <v>0.0</v>
      </c>
      <c r="C883" s="123" t="s">
        <v>4684</v>
      </c>
      <c r="D883" s="124" t="s">
        <v>70</v>
      </c>
      <c r="E883" s="371" t="s">
        <v>112</v>
      </c>
      <c r="F883" s="127"/>
      <c r="G883" s="128" t="s">
        <v>4685</v>
      </c>
      <c r="H883" s="777" t="str">
        <f>HYPERLINK("http://mcmediaarts.org/?page_id=321","http://mcmediaarts.org/?page_id=321")</f>
        <v>http://mcmediaarts.org/?page_id=321</v>
      </c>
      <c r="I883" s="91" t="str">
        <f>HYPERLINK("https://filmfreeway.com/SouthBayStudentVideoFestival","https://filmfreeway.com/SouthBayStudentVideoFestival")</f>
        <v>https://filmfreeway.com/SouthBayStudentVideoFestival</v>
      </c>
      <c r="J883" s="155"/>
      <c r="K883" s="22" t="s">
        <v>27</v>
      </c>
      <c r="L883" s="22" t="s">
        <v>27</v>
      </c>
      <c r="M883" s="130" t="s">
        <v>4686</v>
      </c>
      <c r="N883" s="130" t="s">
        <v>72</v>
      </c>
      <c r="O883" s="22" t="s">
        <v>27</v>
      </c>
      <c r="P883" s="22" t="s">
        <v>27</v>
      </c>
      <c r="Q883" s="131"/>
      <c r="R883" s="132"/>
      <c r="S883" s="132"/>
      <c r="T883" s="118"/>
      <c r="U883" s="119"/>
      <c r="V883" s="119"/>
      <c r="W883" s="120" t="s">
        <v>97</v>
      </c>
      <c r="X883" s="119"/>
      <c r="Y883" s="134"/>
      <c r="Z883" s="119"/>
      <c r="AA883" s="119"/>
      <c r="AB883" s="119"/>
      <c r="AC883" s="119"/>
      <c r="AD883" s="119"/>
      <c r="AE883" s="119"/>
      <c r="AF883" s="119"/>
      <c r="AG883" s="119"/>
      <c r="AH883" s="121"/>
      <c r="AI883" s="121"/>
      <c r="AJ883" s="121"/>
      <c r="AK883" s="121"/>
      <c r="AL883" s="149" t="s">
        <v>97</v>
      </c>
      <c r="AM883" s="135"/>
      <c r="AN883" s="119"/>
      <c r="AO883" s="119"/>
      <c r="AP883" s="119"/>
      <c r="AQ883" s="119"/>
      <c r="AR883" s="119"/>
      <c r="AS883" s="119"/>
    </row>
    <row r="884">
      <c r="A884" s="137">
        <v>657.0</v>
      </c>
      <c r="B884" s="315"/>
      <c r="C884" s="104" t="s">
        <v>4687</v>
      </c>
      <c r="D884" s="105" t="s">
        <v>48</v>
      </c>
      <c r="E884" s="107" t="s">
        <v>48</v>
      </c>
      <c r="F884" s="518"/>
      <c r="G884" s="153" t="s">
        <v>1260</v>
      </c>
      <c r="H884" s="81" t="s">
        <v>1261</v>
      </c>
      <c r="I884" s="175" t="s">
        <v>1263</v>
      </c>
      <c r="J884" s="20" t="s">
        <v>26</v>
      </c>
      <c r="K884" s="37">
        <v>43903.0</v>
      </c>
      <c r="L884" s="37">
        <v>43911.0</v>
      </c>
      <c r="M884" s="73" t="s">
        <v>165</v>
      </c>
      <c r="N884" s="73" t="s">
        <v>102</v>
      </c>
      <c r="O884" s="37">
        <v>43699.0</v>
      </c>
      <c r="P884" s="37">
        <v>43755.0</v>
      </c>
      <c r="Q884" s="200" t="s">
        <v>222</v>
      </c>
      <c r="R884" s="200" t="s">
        <v>222</v>
      </c>
      <c r="S884" s="224"/>
      <c r="T884" s="157"/>
      <c r="U884" s="293" t="s">
        <v>97</v>
      </c>
      <c r="V884" s="194"/>
      <c r="W884" s="194"/>
      <c r="X884" s="194"/>
      <c r="Y884" s="194"/>
      <c r="Z884" s="194"/>
      <c r="AA884" s="194"/>
      <c r="AB884" s="194"/>
      <c r="AC884" s="194"/>
      <c r="AD884" s="186"/>
      <c r="AE884" s="187"/>
      <c r="AF884" s="194"/>
      <c r="AG884" s="187"/>
      <c r="AH884" s="189"/>
      <c r="AI884" s="189"/>
      <c r="AJ884" s="189"/>
      <c r="AK884" s="189"/>
      <c r="AL884" s="189"/>
      <c r="AM884" s="189"/>
      <c r="AN884" s="187"/>
      <c r="AO884" s="187"/>
      <c r="AP884" s="194"/>
      <c r="AQ884" s="187"/>
      <c r="AR884" s="187"/>
      <c r="AS884" s="119"/>
    </row>
    <row r="885">
      <c r="A885" s="101">
        <v>658.0</v>
      </c>
      <c r="B885" s="150"/>
      <c r="C885" s="104" t="s">
        <v>4688</v>
      </c>
      <c r="D885" s="773" t="s">
        <v>65</v>
      </c>
      <c r="E885" s="107" t="s">
        <v>65</v>
      </c>
      <c r="F885" s="101"/>
      <c r="G885" s="40" t="s">
        <v>4689</v>
      </c>
      <c r="H885" s="55" t="s">
        <v>4690</v>
      </c>
      <c r="I885" s="69" t="s">
        <v>4691</v>
      </c>
      <c r="J885" s="155"/>
      <c r="K885" s="37">
        <v>44141.0</v>
      </c>
      <c r="L885" s="37">
        <v>44143.0</v>
      </c>
      <c r="M885" s="73" t="s">
        <v>2313</v>
      </c>
      <c r="N885" s="179" t="s">
        <v>489</v>
      </c>
      <c r="O885" s="113">
        <v>43831.0</v>
      </c>
      <c r="P885" s="37">
        <v>44104.0</v>
      </c>
      <c r="Q885" s="22"/>
      <c r="R885" s="22"/>
      <c r="S885" s="117"/>
      <c r="T885" s="236"/>
      <c r="U885" s="161"/>
      <c r="V885" s="161"/>
      <c r="W885" s="161"/>
      <c r="X885" s="161"/>
      <c r="Y885" s="161"/>
      <c r="Z885" s="161"/>
      <c r="AA885" s="161"/>
      <c r="AB885" s="161"/>
      <c r="AC885" s="161"/>
      <c r="AD885" s="161"/>
      <c r="AE885" s="161"/>
      <c r="AF885" s="161"/>
      <c r="AG885" s="161"/>
      <c r="AH885" s="163"/>
      <c r="AI885" s="283" t="s">
        <v>97</v>
      </c>
      <c r="AJ885" s="163"/>
      <c r="AK885" s="163"/>
      <c r="AL885" s="163"/>
      <c r="AM885" s="163"/>
      <c r="AN885" s="161"/>
      <c r="AO885" s="161"/>
      <c r="AP885" s="161"/>
      <c r="AQ885" s="161"/>
      <c r="AR885" s="161"/>
      <c r="AS885" s="119"/>
    </row>
    <row r="886">
      <c r="A886" s="137">
        <v>659.0</v>
      </c>
      <c r="B886" s="292"/>
      <c r="C886" s="104" t="s">
        <v>4692</v>
      </c>
      <c r="D886" s="105" t="s">
        <v>48</v>
      </c>
      <c r="E886" s="107" t="s">
        <v>48</v>
      </c>
      <c r="F886" s="190"/>
      <c r="G886" s="192" t="s">
        <v>4693</v>
      </c>
      <c r="H886" s="81" t="s">
        <v>4694</v>
      </c>
      <c r="I886" s="158" t="s">
        <v>4695</v>
      </c>
      <c r="J886" s="155"/>
      <c r="K886" s="37">
        <v>44091.0</v>
      </c>
      <c r="L886" s="37">
        <v>44094.0</v>
      </c>
      <c r="M886" s="174" t="s">
        <v>4696</v>
      </c>
      <c r="N886" s="73" t="s">
        <v>1101</v>
      </c>
      <c r="O886" s="113">
        <v>43847.0</v>
      </c>
      <c r="P886" s="37">
        <v>43968.0</v>
      </c>
      <c r="Q886" s="22"/>
      <c r="R886" s="22"/>
      <c r="S886" s="117"/>
      <c r="T886" s="157"/>
      <c r="U886" s="293" t="s">
        <v>97</v>
      </c>
      <c r="V886" s="194"/>
      <c r="W886" s="194"/>
      <c r="X886" s="194"/>
      <c r="Y886" s="194"/>
      <c r="Z886" s="194"/>
      <c r="AA886" s="194"/>
      <c r="AB886" s="194"/>
      <c r="AC886" s="194"/>
      <c r="AD886" s="186"/>
      <c r="AE886" s="187"/>
      <c r="AF886" s="194"/>
      <c r="AG886" s="187"/>
      <c r="AH886" s="189"/>
      <c r="AI886" s="189"/>
      <c r="AJ886" s="189"/>
      <c r="AK886" s="189"/>
      <c r="AL886" s="189"/>
      <c r="AM886" s="189"/>
      <c r="AN886" s="187"/>
      <c r="AO886" s="187"/>
      <c r="AP886" s="194"/>
      <c r="AQ886" s="187"/>
      <c r="AR886" s="187"/>
      <c r="AS886" s="119"/>
    </row>
    <row r="887">
      <c r="A887" s="137">
        <v>660.0</v>
      </c>
      <c r="B887" s="150"/>
      <c r="C887" s="104" t="s">
        <v>4697</v>
      </c>
      <c r="D887" s="138" t="s">
        <v>62</v>
      </c>
      <c r="E887" s="107" t="s">
        <v>523</v>
      </c>
      <c r="F887" s="101"/>
      <c r="G887" s="40" t="s">
        <v>4698</v>
      </c>
      <c r="H887" s="55" t="s">
        <v>4699</v>
      </c>
      <c r="I887" s="69" t="s">
        <v>4700</v>
      </c>
      <c r="J887" s="155"/>
      <c r="K887" s="37">
        <v>43950.0</v>
      </c>
      <c r="L887" s="37">
        <v>43957.0</v>
      </c>
      <c r="M887" s="73" t="s">
        <v>221</v>
      </c>
      <c r="N887" s="179" t="s">
        <v>72</v>
      </c>
      <c r="O887" s="113">
        <v>43799.0</v>
      </c>
      <c r="P887" s="37">
        <v>43857.0</v>
      </c>
      <c r="Q887" s="22"/>
      <c r="R887" s="22"/>
      <c r="S887" s="117"/>
      <c r="T887" s="236"/>
      <c r="U887" s="161"/>
      <c r="V887" s="161"/>
      <c r="W887" s="161"/>
      <c r="X887" s="161"/>
      <c r="Y887" s="161"/>
      <c r="Z887" s="161"/>
      <c r="AA887" s="161"/>
      <c r="AB887" s="161"/>
      <c r="AC887" s="161"/>
      <c r="AD887" s="161"/>
      <c r="AE887" s="161"/>
      <c r="AF887" s="548" t="s">
        <v>97</v>
      </c>
      <c r="AG887" s="161"/>
      <c r="AH887" s="163"/>
      <c r="AI887" s="163"/>
      <c r="AJ887" s="163"/>
      <c r="AK887" s="163"/>
      <c r="AL887" s="163"/>
      <c r="AM887" s="163"/>
      <c r="AN887" s="161"/>
      <c r="AO887" s="161"/>
      <c r="AP887" s="161"/>
      <c r="AQ887" s="161"/>
      <c r="AR887" s="161"/>
      <c r="AS887" s="119"/>
    </row>
    <row r="888">
      <c r="A888" s="101">
        <v>1020.0</v>
      </c>
      <c r="B888" s="173"/>
      <c r="C888" s="778" t="s">
        <v>4701</v>
      </c>
      <c r="D888" s="668" t="s">
        <v>48</v>
      </c>
      <c r="E888" s="668" t="s">
        <v>48</v>
      </c>
      <c r="F888" s="101"/>
      <c r="G888" s="256" t="s">
        <v>1943</v>
      </c>
      <c r="H888" s="89" t="s">
        <v>4702</v>
      </c>
      <c r="I888" s="259" t="s">
        <v>4703</v>
      </c>
      <c r="J888" s="288"/>
      <c r="K888" s="262">
        <v>43896.0</v>
      </c>
      <c r="L888" s="262">
        <v>43898.0</v>
      </c>
      <c r="M888" s="622" t="s">
        <v>4704</v>
      </c>
      <c r="N888" s="622" t="s">
        <v>19</v>
      </c>
      <c r="O888" s="262">
        <v>43647.0</v>
      </c>
      <c r="P888" s="262">
        <v>43840.0</v>
      </c>
      <c r="Q888" s="132"/>
      <c r="R888" s="132"/>
      <c r="S888" s="779" t="s">
        <v>97</v>
      </c>
      <c r="T888" s="236"/>
      <c r="U888" s="176" t="s">
        <v>97</v>
      </c>
      <c r="V888" s="161"/>
      <c r="W888" s="161"/>
      <c r="X888" s="161"/>
      <c r="Y888" s="161"/>
      <c r="Z888" s="161"/>
      <c r="AA888" s="161"/>
      <c r="AB888" s="161"/>
      <c r="AC888" s="161"/>
      <c r="AD888" s="161"/>
      <c r="AE888" s="161"/>
      <c r="AF888" s="161"/>
      <c r="AG888" s="237"/>
      <c r="AH888" s="163"/>
      <c r="AI888" s="163"/>
      <c r="AJ888" s="163"/>
      <c r="AK888" s="163"/>
      <c r="AL888" s="163"/>
      <c r="AM888" s="163"/>
      <c r="AN888" s="161"/>
      <c r="AO888" s="161"/>
      <c r="AP888" s="161"/>
      <c r="AQ888" s="161"/>
      <c r="AR888" s="161"/>
      <c r="AS888" s="119"/>
    </row>
    <row r="889">
      <c r="A889" s="137">
        <v>661.0</v>
      </c>
      <c r="B889" s="150"/>
      <c r="C889" s="104" t="s">
        <v>4705</v>
      </c>
      <c r="D889" s="105" t="s">
        <v>48</v>
      </c>
      <c r="E889" s="107" t="s">
        <v>48</v>
      </c>
      <c r="F889" s="101"/>
      <c r="G889" s="40" t="s">
        <v>4706</v>
      </c>
      <c r="H889" s="55" t="s">
        <v>4707</v>
      </c>
      <c r="I889" s="69" t="s">
        <v>4708</v>
      </c>
      <c r="J889" s="155"/>
      <c r="K889" s="37">
        <v>43998.0</v>
      </c>
      <c r="L889" s="37">
        <v>44002.0</v>
      </c>
      <c r="M889" s="73" t="s">
        <v>4709</v>
      </c>
      <c r="N889" s="179" t="s">
        <v>212</v>
      </c>
      <c r="O889" s="113">
        <v>43752.0</v>
      </c>
      <c r="P889" s="37">
        <v>43922.0</v>
      </c>
      <c r="Q889" s="22"/>
      <c r="R889" s="22"/>
      <c r="S889" s="117"/>
      <c r="T889" s="236"/>
      <c r="U889" s="176" t="s">
        <v>97</v>
      </c>
      <c r="V889" s="161"/>
      <c r="W889" s="161"/>
      <c r="X889" s="161"/>
      <c r="Y889" s="161"/>
      <c r="Z889" s="161"/>
      <c r="AA889" s="161"/>
      <c r="AB889" s="161"/>
      <c r="AC889" s="161"/>
      <c r="AD889" s="161"/>
      <c r="AE889" s="161"/>
      <c r="AF889" s="161"/>
      <c r="AG889" s="161"/>
      <c r="AH889" s="163"/>
      <c r="AI889" s="163"/>
      <c r="AJ889" s="163"/>
      <c r="AK889" s="163"/>
      <c r="AL889" s="163"/>
      <c r="AM889" s="163"/>
      <c r="AN889" s="161"/>
      <c r="AO889" s="161"/>
      <c r="AP889" s="161"/>
      <c r="AQ889" s="161"/>
      <c r="AR889" s="161"/>
      <c r="AS889" s="119"/>
    </row>
    <row r="890">
      <c r="A890" s="101">
        <v>662.0</v>
      </c>
      <c r="B890" s="150"/>
      <c r="C890" s="104" t="s">
        <v>4710</v>
      </c>
      <c r="D890" s="105" t="s">
        <v>48</v>
      </c>
      <c r="E890" s="107" t="s">
        <v>48</v>
      </c>
      <c r="F890" s="101"/>
      <c r="G890" s="40" t="s">
        <v>4711</v>
      </c>
      <c r="H890" s="55" t="s">
        <v>4712</v>
      </c>
      <c r="I890" s="69" t="s">
        <v>4713</v>
      </c>
      <c r="J890" s="155"/>
      <c r="K890" s="37">
        <v>44083.0</v>
      </c>
      <c r="L890" s="37">
        <v>44086.0</v>
      </c>
      <c r="M890" s="174" t="s">
        <v>4714</v>
      </c>
      <c r="N890" s="179" t="s">
        <v>102</v>
      </c>
      <c r="O890" s="113">
        <v>43822.0</v>
      </c>
      <c r="P890" s="37">
        <v>43948.0</v>
      </c>
      <c r="Q890" s="22"/>
      <c r="R890" s="22"/>
      <c r="S890" s="117"/>
      <c r="T890" s="236"/>
      <c r="U890" s="176" t="s">
        <v>97</v>
      </c>
      <c r="V890" s="161"/>
      <c r="W890" s="161"/>
      <c r="X890" s="161"/>
      <c r="Y890" s="161"/>
      <c r="Z890" s="161"/>
      <c r="AA890" s="161"/>
      <c r="AB890" s="161"/>
      <c r="AC890" s="161"/>
      <c r="AD890" s="161"/>
      <c r="AE890" s="161"/>
      <c r="AF890" s="161"/>
      <c r="AG890" s="161"/>
      <c r="AH890" s="163"/>
      <c r="AI890" s="163"/>
      <c r="AJ890" s="163"/>
      <c r="AK890" s="163"/>
      <c r="AL890" s="163"/>
      <c r="AM890" s="163"/>
      <c r="AN890" s="161"/>
      <c r="AO890" s="161"/>
      <c r="AP890" s="161"/>
      <c r="AQ890" s="161"/>
      <c r="AR890" s="161"/>
      <c r="AS890" s="119"/>
    </row>
    <row r="891">
      <c r="A891" s="137">
        <v>663.0</v>
      </c>
      <c r="B891" s="150"/>
      <c r="C891" s="104" t="s">
        <v>4715</v>
      </c>
      <c r="D891" s="105" t="s">
        <v>65</v>
      </c>
      <c r="E891" s="107" t="s">
        <v>65</v>
      </c>
      <c r="F891" s="101"/>
      <c r="G891" s="40" t="s">
        <v>4716</v>
      </c>
      <c r="H891" s="55" t="s">
        <v>4717</v>
      </c>
      <c r="I891" s="69" t="s">
        <v>4718</v>
      </c>
      <c r="J891" s="344"/>
      <c r="K891" s="152">
        <v>43853.0</v>
      </c>
      <c r="L891" s="152">
        <v>43856.0</v>
      </c>
      <c r="M891" s="780" t="s">
        <v>4719</v>
      </c>
      <c r="N891" s="290" t="s">
        <v>102</v>
      </c>
      <c r="O891" s="114">
        <v>43532.0</v>
      </c>
      <c r="P891" s="152">
        <v>43761.0</v>
      </c>
      <c r="Q891" s="345"/>
      <c r="R891" s="345"/>
      <c r="S891" s="117"/>
      <c r="T891" s="141"/>
      <c r="U891" s="119"/>
      <c r="V891" s="119"/>
      <c r="W891" s="119"/>
      <c r="X891" s="119"/>
      <c r="Y891" s="119"/>
      <c r="Z891" s="119"/>
      <c r="AA891" s="119"/>
      <c r="AB891" s="119"/>
      <c r="AC891" s="119"/>
      <c r="AD891" s="623"/>
      <c r="AE891" s="119"/>
      <c r="AF891" s="119"/>
      <c r="AG891" s="119"/>
      <c r="AH891" s="121"/>
      <c r="AI891" s="283" t="s">
        <v>97</v>
      </c>
      <c r="AJ891" s="121"/>
      <c r="AK891" s="121"/>
      <c r="AL891" s="121"/>
      <c r="AM891" s="121"/>
      <c r="AN891" s="119"/>
      <c r="AO891" s="119"/>
      <c r="AP891" s="119"/>
      <c r="AQ891" s="119"/>
      <c r="AR891" s="161"/>
      <c r="AS891" s="119"/>
    </row>
    <row r="892">
      <c r="A892" s="137">
        <v>664.0</v>
      </c>
      <c r="B892" s="150"/>
      <c r="C892" s="104" t="s">
        <v>4720</v>
      </c>
      <c r="D892" s="773" t="s">
        <v>48</v>
      </c>
      <c r="E892" s="107" t="s">
        <v>48</v>
      </c>
      <c r="F892" s="101"/>
      <c r="G892" s="40" t="s">
        <v>4721</v>
      </c>
      <c r="H892" s="55" t="s">
        <v>4722</v>
      </c>
      <c r="I892" s="69" t="s">
        <v>4723</v>
      </c>
      <c r="J892" s="155"/>
      <c r="K892" s="37">
        <v>44141.0</v>
      </c>
      <c r="L892" s="37">
        <v>44143.0</v>
      </c>
      <c r="M892" s="174" t="s">
        <v>2406</v>
      </c>
      <c r="N892" s="179" t="s">
        <v>303</v>
      </c>
      <c r="O892" s="113">
        <v>43830.0</v>
      </c>
      <c r="P892" s="37">
        <v>44007.0</v>
      </c>
      <c r="Q892" s="22"/>
      <c r="R892" s="22"/>
      <c r="S892" s="117"/>
      <c r="T892" s="236"/>
      <c r="U892" s="176" t="s">
        <v>97</v>
      </c>
      <c r="V892" s="161"/>
      <c r="W892" s="161"/>
      <c r="X892" s="161"/>
      <c r="Y892" s="161"/>
      <c r="Z892" s="161"/>
      <c r="AA892" s="161"/>
      <c r="AB892" s="161"/>
      <c r="AC892" s="161"/>
      <c r="AD892" s="161"/>
      <c r="AE892" s="161"/>
      <c r="AF892" s="161"/>
      <c r="AG892" s="161"/>
      <c r="AH892" s="163"/>
      <c r="AI892" s="163"/>
      <c r="AJ892" s="163"/>
      <c r="AK892" s="163"/>
      <c r="AL892" s="163"/>
      <c r="AM892" s="163"/>
      <c r="AN892" s="161"/>
      <c r="AO892" s="161"/>
      <c r="AP892" s="161"/>
      <c r="AQ892" s="161"/>
      <c r="AR892" s="161"/>
      <c r="AS892" s="119"/>
    </row>
    <row r="893">
      <c r="A893" s="101">
        <v>665.0</v>
      </c>
      <c r="B893" s="150"/>
      <c r="C893" s="104" t="s">
        <v>4724</v>
      </c>
      <c r="D893" s="105" t="s">
        <v>48</v>
      </c>
      <c r="E893" s="107" t="s">
        <v>48</v>
      </c>
      <c r="F893" s="101"/>
      <c r="G893" s="40" t="s">
        <v>173</v>
      </c>
      <c r="H893" s="55" t="s">
        <v>174</v>
      </c>
      <c r="I893" s="69" t="s">
        <v>176</v>
      </c>
      <c r="J893" s="20" t="s">
        <v>177</v>
      </c>
      <c r="K893" s="37">
        <v>43931.0</v>
      </c>
      <c r="L893" s="37">
        <v>43932.0</v>
      </c>
      <c r="M893" s="73" t="s">
        <v>178</v>
      </c>
      <c r="N893" s="179" t="s">
        <v>179</v>
      </c>
      <c r="O893" s="113">
        <v>43769.0</v>
      </c>
      <c r="P893" s="37">
        <v>43889.0</v>
      </c>
      <c r="Q893" s="22"/>
      <c r="R893" s="22"/>
      <c r="S893" s="117"/>
      <c r="T893" s="236"/>
      <c r="U893" s="176" t="s">
        <v>97</v>
      </c>
      <c r="V893" s="161"/>
      <c r="W893" s="161"/>
      <c r="X893" s="161"/>
      <c r="Y893" s="161"/>
      <c r="Z893" s="161"/>
      <c r="AA893" s="161"/>
      <c r="AB893" s="161"/>
      <c r="AC893" s="161"/>
      <c r="AD893" s="161"/>
      <c r="AE893" s="161"/>
      <c r="AF893" s="161"/>
      <c r="AG893" s="161"/>
      <c r="AH893" s="163"/>
      <c r="AI893" s="163"/>
      <c r="AJ893" s="163"/>
      <c r="AK893" s="163"/>
      <c r="AL893" s="163"/>
      <c r="AM893" s="163"/>
      <c r="AN893" s="161"/>
      <c r="AO893" s="161"/>
      <c r="AP893" s="161"/>
      <c r="AQ893" s="161"/>
      <c r="AR893" s="161"/>
      <c r="AS893" s="119"/>
    </row>
    <row r="894">
      <c r="A894" s="137">
        <v>1028.0</v>
      </c>
      <c r="B894" s="173"/>
      <c r="C894" s="668" t="s">
        <v>4725</v>
      </c>
      <c r="D894" s="622" t="s">
        <v>48</v>
      </c>
      <c r="E894" s="622" t="s">
        <v>48</v>
      </c>
      <c r="F894" s="254"/>
      <c r="G894" s="256" t="s">
        <v>1915</v>
      </c>
      <c r="H894" s="669" t="s">
        <v>4726</v>
      </c>
      <c r="I894" s="280" t="s">
        <v>4727</v>
      </c>
      <c r="J894" s="288"/>
      <c r="K894" s="262">
        <v>43883.0</v>
      </c>
      <c r="L894" s="262">
        <v>43886.0</v>
      </c>
      <c r="M894" s="254" t="s">
        <v>4728</v>
      </c>
      <c r="N894" s="254" t="s">
        <v>489</v>
      </c>
      <c r="O894" s="262">
        <v>43525.0</v>
      </c>
      <c r="P894" s="262">
        <v>43769.0</v>
      </c>
      <c r="Q894" s="22"/>
      <c r="R894" s="22"/>
      <c r="S894" s="117"/>
      <c r="T894" s="236"/>
      <c r="U894" s="176" t="s">
        <v>97</v>
      </c>
      <c r="V894" s="161"/>
      <c r="W894" s="161"/>
      <c r="X894" s="161"/>
      <c r="Y894" s="161"/>
      <c r="Z894" s="161"/>
      <c r="AA894" s="161"/>
      <c r="AB894" s="161"/>
      <c r="AC894" s="161"/>
      <c r="AD894" s="161"/>
      <c r="AE894" s="161"/>
      <c r="AF894" s="161"/>
      <c r="AG894" s="237"/>
      <c r="AH894" s="163"/>
      <c r="AI894" s="163"/>
      <c r="AJ894" s="163"/>
      <c r="AK894" s="163"/>
      <c r="AL894" s="163"/>
      <c r="AM894" s="163"/>
      <c r="AN894" s="161"/>
      <c r="AO894" s="161"/>
      <c r="AP894" s="161"/>
      <c r="AQ894" s="161"/>
      <c r="AR894" s="161"/>
      <c r="AS894" s="119"/>
    </row>
    <row r="895">
      <c r="A895" s="137">
        <v>666.0</v>
      </c>
      <c r="B895" s="315">
        <v>11.0</v>
      </c>
      <c r="C895" s="104" t="s">
        <v>4729</v>
      </c>
      <c r="D895" s="105" t="s">
        <v>48</v>
      </c>
      <c r="E895" s="107" t="s">
        <v>48</v>
      </c>
      <c r="F895" s="190"/>
      <c r="G895" s="192" t="s">
        <v>4730</v>
      </c>
      <c r="H895" s="81" t="s">
        <v>4731</v>
      </c>
      <c r="I895" s="316" t="s">
        <v>24</v>
      </c>
      <c r="J895" s="155"/>
      <c r="K895" s="37">
        <v>44147.0</v>
      </c>
      <c r="L895" s="37">
        <v>44150.0</v>
      </c>
      <c r="M895" s="73" t="s">
        <v>1959</v>
      </c>
      <c r="N895" s="73" t="s">
        <v>537</v>
      </c>
      <c r="O895" s="22" t="s">
        <v>27</v>
      </c>
      <c r="P895" s="22" t="s">
        <v>27</v>
      </c>
      <c r="Q895" s="201"/>
      <c r="R895" s="201"/>
      <c r="S895" s="224"/>
      <c r="T895" s="157"/>
      <c r="U895" s="293" t="s">
        <v>97</v>
      </c>
      <c r="V895" s="194"/>
      <c r="W895" s="194"/>
      <c r="X895" s="194"/>
      <c r="Y895" s="194"/>
      <c r="Z895" s="194"/>
      <c r="AA895" s="194"/>
      <c r="AB895" s="194"/>
      <c r="AC895" s="194"/>
      <c r="AD895" s="186"/>
      <c r="AE895" s="187"/>
      <c r="AF895" s="194"/>
      <c r="AG895" s="187"/>
      <c r="AH895" s="189"/>
      <c r="AI895" s="189"/>
      <c r="AJ895" s="189"/>
      <c r="AK895" s="189"/>
      <c r="AL895" s="189"/>
      <c r="AM895" s="189"/>
      <c r="AN895" s="187"/>
      <c r="AO895" s="187"/>
      <c r="AP895" s="194"/>
      <c r="AQ895" s="187"/>
      <c r="AR895" s="187"/>
      <c r="AS895" s="119"/>
    </row>
    <row r="896">
      <c r="A896" s="101">
        <v>929.0</v>
      </c>
      <c r="B896" s="284"/>
      <c r="C896" s="123" t="s">
        <v>4732</v>
      </c>
      <c r="D896" s="285" t="s">
        <v>52</v>
      </c>
      <c r="E896" s="287" t="s">
        <v>4733</v>
      </c>
      <c r="F896" s="127"/>
      <c r="G896" s="128" t="s">
        <v>4734</v>
      </c>
      <c r="H896" s="89" t="s">
        <v>4735</v>
      </c>
      <c r="I896" s="91" t="str">
        <f>HYPERLINK("https://filmfreeway.com/SPEFilmFestival-2020","https://filmfreeway.com/SPEFilmFestival-2020")</f>
        <v>https://filmfreeway.com/SPEFilmFestival-2020</v>
      </c>
      <c r="J896" s="288"/>
      <c r="K896" s="145">
        <v>43896.0</v>
      </c>
      <c r="L896" s="145">
        <v>43897.0</v>
      </c>
      <c r="M896" s="130" t="s">
        <v>387</v>
      </c>
      <c r="N896" s="130" t="s">
        <v>102</v>
      </c>
      <c r="O896" s="145">
        <v>43708.0</v>
      </c>
      <c r="P896" s="145">
        <v>43787.0</v>
      </c>
      <c r="Q896" s="131"/>
      <c r="R896" s="132"/>
      <c r="S896" s="132"/>
      <c r="T896" s="118"/>
      <c r="U896" s="119"/>
      <c r="V896" s="119"/>
      <c r="W896" s="120" t="s">
        <v>97</v>
      </c>
      <c r="X896" s="119"/>
      <c r="Y896" s="134"/>
      <c r="Z896" s="119"/>
      <c r="AA896" s="119"/>
      <c r="AB896" s="119"/>
      <c r="AC896" s="119"/>
      <c r="AD896" s="119"/>
      <c r="AE896" s="119"/>
      <c r="AF896" s="119"/>
      <c r="AG896" s="119"/>
      <c r="AH896" s="121"/>
      <c r="AI896" s="121"/>
      <c r="AJ896" s="121"/>
      <c r="AK896" s="121"/>
      <c r="AL896" s="121"/>
      <c r="AM896" s="135"/>
      <c r="AN896" s="119"/>
      <c r="AO896" s="351" t="s">
        <v>97</v>
      </c>
      <c r="AP896" s="119"/>
      <c r="AQ896" s="119"/>
      <c r="AR896" s="119"/>
      <c r="AS896" s="119"/>
    </row>
    <row r="897">
      <c r="A897" s="137">
        <v>950.0</v>
      </c>
      <c r="B897" s="122">
        <v>4.0</v>
      </c>
      <c r="C897" s="123" t="s">
        <v>4736</v>
      </c>
      <c r="D897" s="226" t="s">
        <v>54</v>
      </c>
      <c r="E897" s="227" t="s">
        <v>54</v>
      </c>
      <c r="F897" s="144"/>
      <c r="G897" s="87" t="s">
        <v>4737</v>
      </c>
      <c r="H897" s="89" t="s">
        <v>4738</v>
      </c>
      <c r="I897" s="91" t="str">
        <f>HYPERLINK("https://mvfilmsociety.com/spectrumfilmfestival/","https://mvfilmsociety.com/spectrumfilmfestival/")</f>
        <v>https://mvfilmsociety.com/spectrumfilmfestival/</v>
      </c>
      <c r="J897" s="155"/>
      <c r="K897" s="22" t="s">
        <v>27</v>
      </c>
      <c r="L897" s="22" t="s">
        <v>27</v>
      </c>
      <c r="M897" s="130" t="s">
        <v>1528</v>
      </c>
      <c r="N897" s="130" t="s">
        <v>80</v>
      </c>
      <c r="O897" s="22" t="s">
        <v>27</v>
      </c>
      <c r="P897" s="22" t="s">
        <v>27</v>
      </c>
      <c r="Q897" s="131"/>
      <c r="R897" s="132"/>
      <c r="S897" s="148" t="s">
        <v>97</v>
      </c>
      <c r="T897" s="118"/>
      <c r="U897" s="119"/>
      <c r="V897" s="119"/>
      <c r="W897" s="119"/>
      <c r="X897" s="119"/>
      <c r="Y897" s="374" t="s">
        <v>97</v>
      </c>
      <c r="Z897" s="119"/>
      <c r="AA897" s="119"/>
      <c r="AB897" s="119"/>
      <c r="AC897" s="119"/>
      <c r="AD897" s="119"/>
      <c r="AE897" s="119"/>
      <c r="AF897" s="119"/>
      <c r="AG897" s="119"/>
      <c r="AH897" s="121"/>
      <c r="AI897" s="121"/>
      <c r="AJ897" s="121"/>
      <c r="AK897" s="121"/>
      <c r="AL897" s="121"/>
      <c r="AM897" s="135"/>
      <c r="AN897" s="119"/>
      <c r="AO897" s="119"/>
      <c r="AP897" s="119"/>
      <c r="AQ897" s="119"/>
      <c r="AR897" s="119"/>
      <c r="AS897" s="119"/>
    </row>
    <row r="898">
      <c r="A898" s="137">
        <v>667.0</v>
      </c>
      <c r="B898" s="150"/>
      <c r="C898" s="104" t="s">
        <v>4739</v>
      </c>
      <c r="D898" s="105" t="s">
        <v>52</v>
      </c>
      <c r="E898" s="107" t="s">
        <v>1139</v>
      </c>
      <c r="F898" s="101"/>
      <c r="G898" s="40" t="s">
        <v>1187</v>
      </c>
      <c r="H898" s="55" t="s">
        <v>1188</v>
      </c>
      <c r="I898" s="69" t="s">
        <v>1190</v>
      </c>
      <c r="J898" s="20" t="s">
        <v>1192</v>
      </c>
      <c r="K898" s="37">
        <v>43917.0</v>
      </c>
      <c r="L898" s="37">
        <v>43918.0</v>
      </c>
      <c r="M898" s="73" t="s">
        <v>1193</v>
      </c>
      <c r="N898" s="179" t="s">
        <v>336</v>
      </c>
      <c r="O898" s="113">
        <v>43770.0</v>
      </c>
      <c r="P898" s="37">
        <v>43830.0</v>
      </c>
      <c r="Q898" s="22"/>
      <c r="R898" s="22"/>
      <c r="S898" s="117"/>
      <c r="T898" s="236"/>
      <c r="U898" s="161"/>
      <c r="V898" s="161"/>
      <c r="W898" s="120" t="s">
        <v>97</v>
      </c>
      <c r="X898" s="161"/>
      <c r="Y898" s="161"/>
      <c r="Z898" s="161"/>
      <c r="AA898" s="161"/>
      <c r="AB898" s="161"/>
      <c r="AC898" s="161"/>
      <c r="AD898" s="161"/>
      <c r="AE898" s="161"/>
      <c r="AF898" s="161"/>
      <c r="AG898" s="161"/>
      <c r="AH898" s="163"/>
      <c r="AI898" s="163"/>
      <c r="AJ898" s="163"/>
      <c r="AK898" s="163"/>
      <c r="AL898" s="163"/>
      <c r="AM898" s="165" t="s">
        <v>97</v>
      </c>
      <c r="AN898" s="161"/>
      <c r="AO898" s="161"/>
      <c r="AP898" s="161"/>
      <c r="AQ898" s="161"/>
      <c r="AR898" s="161"/>
      <c r="AS898" s="119"/>
    </row>
    <row r="899">
      <c r="A899" s="101">
        <v>668.0</v>
      </c>
      <c r="B899" s="177"/>
      <c r="C899" s="104" t="s">
        <v>4740</v>
      </c>
      <c r="D899" s="105" t="s">
        <v>48</v>
      </c>
      <c r="E899" s="107" t="s">
        <v>48</v>
      </c>
      <c r="F899" s="178"/>
      <c r="G899" s="77" t="s">
        <v>4741</v>
      </c>
      <c r="H899" s="81" t="s">
        <v>4742</v>
      </c>
      <c r="I899" s="84" t="s">
        <v>4743</v>
      </c>
      <c r="J899" s="155"/>
      <c r="K899" s="37">
        <v>43889.0</v>
      </c>
      <c r="L899" s="37">
        <v>43896.0</v>
      </c>
      <c r="M899" s="85" t="s">
        <v>4744</v>
      </c>
      <c r="N899" s="85" t="s">
        <v>251</v>
      </c>
      <c r="O899" s="113">
        <v>43739.0</v>
      </c>
      <c r="P899" s="37">
        <v>43800.0</v>
      </c>
      <c r="Q899" s="22"/>
      <c r="R899" s="22"/>
      <c r="S899" s="117"/>
      <c r="T899" s="181"/>
      <c r="U899" s="182" t="s">
        <v>97</v>
      </c>
      <c r="V899" s="184"/>
      <c r="W899" s="184"/>
      <c r="X899" s="184"/>
      <c r="Y899" s="184"/>
      <c r="Z899" s="184"/>
      <c r="AA899" s="184"/>
      <c r="AB899" s="184"/>
      <c r="AC899" s="184"/>
      <c r="AD899" s="186"/>
      <c r="AE899" s="187"/>
      <c r="AF899" s="184"/>
      <c r="AG899" s="187"/>
      <c r="AH899" s="189"/>
      <c r="AI899" s="189"/>
      <c r="AJ899" s="189"/>
      <c r="AK899" s="189"/>
      <c r="AL899" s="189"/>
      <c r="AM899" s="189"/>
      <c r="AN899" s="187"/>
      <c r="AO899" s="187"/>
      <c r="AP899" s="184"/>
      <c r="AQ899" s="187"/>
      <c r="AR899" s="187"/>
      <c r="AS899" s="119"/>
    </row>
    <row r="900">
      <c r="A900" s="137">
        <v>669.0</v>
      </c>
      <c r="B900" s="150">
        <v>8.0</v>
      </c>
      <c r="C900" s="104" t="s">
        <v>4745</v>
      </c>
      <c r="D900" s="138" t="s">
        <v>63</v>
      </c>
      <c r="E900" s="107" t="s">
        <v>1297</v>
      </c>
      <c r="F900" s="101"/>
      <c r="G900" s="40" t="s">
        <v>4746</v>
      </c>
      <c r="H900" s="55" t="s">
        <v>4747</v>
      </c>
      <c r="I900" s="69" t="s">
        <v>4748</v>
      </c>
      <c r="J900" s="155"/>
      <c r="K900" s="22" t="s">
        <v>27</v>
      </c>
      <c r="L900" s="22" t="s">
        <v>27</v>
      </c>
      <c r="M900" s="73" t="s">
        <v>440</v>
      </c>
      <c r="N900" s="179" t="s">
        <v>231</v>
      </c>
      <c r="O900" s="22" t="s">
        <v>27</v>
      </c>
      <c r="P900" s="22" t="s">
        <v>27</v>
      </c>
      <c r="Q900" s="22"/>
      <c r="R900" s="22"/>
      <c r="S900" s="117"/>
      <c r="T900" s="236"/>
      <c r="U900" s="161"/>
      <c r="V900" s="161"/>
      <c r="W900" s="161"/>
      <c r="X900" s="161"/>
      <c r="Y900" s="161"/>
      <c r="Z900" s="161"/>
      <c r="AA900" s="161"/>
      <c r="AB900" s="161"/>
      <c r="AC900" s="161"/>
      <c r="AD900" s="161"/>
      <c r="AE900" s="161"/>
      <c r="AF900" s="161"/>
      <c r="AG900" s="275" t="s">
        <v>97</v>
      </c>
      <c r="AH900" s="163"/>
      <c r="AI900" s="163"/>
      <c r="AJ900" s="163"/>
      <c r="AK900" s="163"/>
      <c r="AL900" s="163"/>
      <c r="AM900" s="163"/>
      <c r="AN900" s="161"/>
      <c r="AO900" s="161"/>
      <c r="AP900" s="161"/>
      <c r="AQ900" s="161"/>
      <c r="AR900" s="161"/>
      <c r="AS900" s="119"/>
    </row>
    <row r="901">
      <c r="A901" s="137">
        <v>974.0</v>
      </c>
      <c r="B901" s="122">
        <v>11.0</v>
      </c>
      <c r="C901" s="123" t="s">
        <v>4749</v>
      </c>
      <c r="D901" s="138" t="s">
        <v>63</v>
      </c>
      <c r="E901" s="138" t="s">
        <v>63</v>
      </c>
      <c r="F901" s="127"/>
      <c r="G901" s="128" t="s">
        <v>4750</v>
      </c>
      <c r="H901" s="89" t="s">
        <v>4751</v>
      </c>
      <c r="I901" s="91" t="str">
        <f>HYPERLINK("https://filmfreeway.com/SpookyEmpireFilmFest","https://filmfreeway.com/SpookyEmpireFilmFest")</f>
        <v>https://filmfreeway.com/SpookyEmpireFilmFest</v>
      </c>
      <c r="J901" s="155"/>
      <c r="K901" s="22" t="s">
        <v>27</v>
      </c>
      <c r="L901" s="22" t="s">
        <v>27</v>
      </c>
      <c r="M901" s="130" t="s">
        <v>994</v>
      </c>
      <c r="N901" s="130" t="s">
        <v>46</v>
      </c>
      <c r="O901" s="22" t="s">
        <v>27</v>
      </c>
      <c r="P901" s="22" t="s">
        <v>27</v>
      </c>
      <c r="Q901" s="131"/>
      <c r="R901" s="132"/>
      <c r="S901" s="132"/>
      <c r="T901" s="118"/>
      <c r="U901" s="119"/>
      <c r="V901" s="119"/>
      <c r="W901" s="119"/>
      <c r="X901" s="119"/>
      <c r="Y901" s="134"/>
      <c r="Z901" s="119"/>
      <c r="AA901" s="119"/>
      <c r="AB901" s="119"/>
      <c r="AC901" s="119"/>
      <c r="AD901" s="119"/>
      <c r="AE901" s="119"/>
      <c r="AF901" s="119"/>
      <c r="AG901" s="275" t="s">
        <v>97</v>
      </c>
      <c r="AH901" s="121"/>
      <c r="AI901" s="121"/>
      <c r="AJ901" s="121"/>
      <c r="AK901" s="121"/>
      <c r="AL901" s="121"/>
      <c r="AM901" s="135"/>
      <c r="AN901" s="119"/>
      <c r="AO901" s="119"/>
      <c r="AP901" s="119"/>
      <c r="AQ901" s="119"/>
      <c r="AR901" s="119"/>
      <c r="AS901" s="119"/>
    </row>
    <row r="902">
      <c r="A902" s="137">
        <v>670.0</v>
      </c>
      <c r="B902" s="197">
        <v>10.0</v>
      </c>
      <c r="C902" s="104" t="s">
        <v>4752</v>
      </c>
      <c r="D902" s="105" t="s">
        <v>64</v>
      </c>
      <c r="E902" s="107" t="s">
        <v>64</v>
      </c>
      <c r="F902" s="178"/>
      <c r="G902" s="77" t="s">
        <v>4753</v>
      </c>
      <c r="H902" s="81" t="s">
        <v>4754</v>
      </c>
      <c r="I902" s="34" t="s">
        <v>4755</v>
      </c>
      <c r="J902" s="155"/>
      <c r="K902" s="37">
        <v>44112.0</v>
      </c>
      <c r="L902" s="37">
        <v>44115.0</v>
      </c>
      <c r="M902" s="85" t="s">
        <v>1583</v>
      </c>
      <c r="N902" s="85" t="s">
        <v>379</v>
      </c>
      <c r="O902" s="37">
        <v>43875.0</v>
      </c>
      <c r="P902" s="37">
        <v>44022.0</v>
      </c>
      <c r="Q902" s="229"/>
      <c r="R902" s="229"/>
      <c r="S902" s="760"/>
      <c r="T902" s="181"/>
      <c r="U902" s="184"/>
      <c r="V902" s="184"/>
      <c r="W902" s="184"/>
      <c r="X902" s="184"/>
      <c r="Y902" s="184"/>
      <c r="Z902" s="184"/>
      <c r="AA902" s="184"/>
      <c r="AB902" s="184"/>
      <c r="AC902" s="184"/>
      <c r="AD902" s="186"/>
      <c r="AE902" s="187"/>
      <c r="AF902" s="184"/>
      <c r="AG902" s="187"/>
      <c r="AH902" s="246" t="s">
        <v>97</v>
      </c>
      <c r="AI902" s="189"/>
      <c r="AJ902" s="189"/>
      <c r="AK902" s="189"/>
      <c r="AL902" s="189"/>
      <c r="AM902" s="189"/>
      <c r="AN902" s="187"/>
      <c r="AO902" s="187"/>
      <c r="AP902" s="184"/>
      <c r="AQ902" s="187"/>
      <c r="AR902" s="187"/>
      <c r="AS902" s="119"/>
    </row>
    <row r="903">
      <c r="A903" s="137">
        <v>782.0</v>
      </c>
      <c r="B903" s="103">
        <v>8.0</v>
      </c>
      <c r="C903" s="104" t="s">
        <v>4756</v>
      </c>
      <c r="D903" s="105" t="s">
        <v>52</v>
      </c>
      <c r="E903" s="107" t="s">
        <v>52</v>
      </c>
      <c r="F903" s="109"/>
      <c r="G903" s="10" t="s">
        <v>4757</v>
      </c>
      <c r="H903" s="17" t="s">
        <v>4758</v>
      </c>
      <c r="I903" s="111" t="s">
        <v>4759</v>
      </c>
      <c r="J903" s="155"/>
      <c r="K903" s="22" t="s">
        <v>27</v>
      </c>
      <c r="L903" s="22" t="s">
        <v>27</v>
      </c>
      <c r="M903" s="24" t="s">
        <v>4170</v>
      </c>
      <c r="N903" s="24" t="s">
        <v>336</v>
      </c>
      <c r="O903" s="22" t="s">
        <v>27</v>
      </c>
      <c r="P903" s="22" t="s">
        <v>27</v>
      </c>
      <c r="Q903" s="115"/>
      <c r="R903" s="115"/>
      <c r="S903" s="117"/>
      <c r="T903" s="118"/>
      <c r="U903" s="119"/>
      <c r="V903" s="119"/>
      <c r="W903" s="120" t="s">
        <v>97</v>
      </c>
      <c r="X903" s="119"/>
      <c r="Y903" s="119"/>
      <c r="Z903" s="119"/>
      <c r="AA903" s="119"/>
      <c r="AB903" s="119"/>
      <c r="AC903" s="119"/>
      <c r="AD903" s="119"/>
      <c r="AE903" s="119"/>
      <c r="AF903" s="119"/>
      <c r="AG903" s="119"/>
      <c r="AH903" s="121"/>
      <c r="AI903" s="121"/>
      <c r="AJ903" s="121"/>
      <c r="AK903" s="121"/>
      <c r="AL903" s="121"/>
      <c r="AM903" s="121"/>
      <c r="AN903" s="119"/>
      <c r="AO903" s="119"/>
      <c r="AP903" s="119"/>
      <c r="AQ903" s="119"/>
      <c r="AR903" s="119"/>
      <c r="AS903" s="119"/>
    </row>
    <row r="904">
      <c r="A904" s="101">
        <v>759.0</v>
      </c>
      <c r="B904" s="103"/>
      <c r="C904" s="104" t="s">
        <v>4760</v>
      </c>
      <c r="D904" s="781" t="s">
        <v>71</v>
      </c>
      <c r="E904" s="782" t="s">
        <v>71</v>
      </c>
      <c r="F904" s="109"/>
      <c r="G904" s="10" t="s">
        <v>1225</v>
      </c>
      <c r="H904" s="17" t="s">
        <v>1226</v>
      </c>
      <c r="I904" s="175" t="s">
        <v>1229</v>
      </c>
      <c r="J904" s="222" t="s">
        <v>78</v>
      </c>
      <c r="K904" s="113">
        <v>43908.0</v>
      </c>
      <c r="L904" s="113">
        <v>43912.0</v>
      </c>
      <c r="M904" s="24" t="s">
        <v>196</v>
      </c>
      <c r="N904" s="24" t="s">
        <v>29</v>
      </c>
      <c r="O904" s="114">
        <v>43661.0</v>
      </c>
      <c r="P904" s="114">
        <v>43813.0</v>
      </c>
      <c r="Q904" s="115"/>
      <c r="R904" s="115"/>
      <c r="S904" s="117"/>
      <c r="T904" s="118"/>
      <c r="U904" s="119"/>
      <c r="V904" s="119"/>
      <c r="W904" s="119"/>
      <c r="X904" s="119"/>
      <c r="Y904" s="119"/>
      <c r="Z904" s="119"/>
      <c r="AA904" s="119"/>
      <c r="AB904" s="119"/>
      <c r="AC904" s="119"/>
      <c r="AD904" s="119"/>
      <c r="AE904" s="119"/>
      <c r="AF904" s="119"/>
      <c r="AG904" s="119"/>
      <c r="AH904" s="121"/>
      <c r="AI904" s="121"/>
      <c r="AJ904" s="121"/>
      <c r="AK904" s="121"/>
      <c r="AL904" s="121"/>
      <c r="AM904" s="165" t="s">
        <v>97</v>
      </c>
      <c r="AN904" s="119"/>
      <c r="AO904" s="161"/>
      <c r="AP904" s="119"/>
      <c r="AQ904" s="119"/>
      <c r="AR904" s="119"/>
      <c r="AS904" s="119"/>
    </row>
    <row r="905">
      <c r="A905" s="101">
        <v>671.0</v>
      </c>
      <c r="B905" s="150"/>
      <c r="C905" s="104" t="s">
        <v>4761</v>
      </c>
      <c r="D905" s="773" t="s">
        <v>52</v>
      </c>
      <c r="E905" s="782" t="s">
        <v>52</v>
      </c>
      <c r="F905" s="101"/>
      <c r="G905" s="40" t="s">
        <v>4762</v>
      </c>
      <c r="H905" s="55" t="s">
        <v>4763</v>
      </c>
      <c r="I905" s="69" t="s">
        <v>4764</v>
      </c>
      <c r="J905" s="155"/>
      <c r="K905" s="37">
        <v>43935.0</v>
      </c>
      <c r="L905" s="37">
        <v>43937.0</v>
      </c>
      <c r="M905" s="73" t="s">
        <v>4502</v>
      </c>
      <c r="N905" s="179" t="s">
        <v>19</v>
      </c>
      <c r="O905" s="113">
        <v>43677.0</v>
      </c>
      <c r="P905" s="37">
        <v>43861.0</v>
      </c>
      <c r="Q905" s="22"/>
      <c r="R905" s="22"/>
      <c r="S905" s="117"/>
      <c r="T905" s="236"/>
      <c r="U905" s="161"/>
      <c r="V905" s="161"/>
      <c r="W905" s="120" t="s">
        <v>97</v>
      </c>
      <c r="X905" s="161"/>
      <c r="Y905" s="161"/>
      <c r="Z905" s="161"/>
      <c r="AA905" s="161"/>
      <c r="AB905" s="161"/>
      <c r="AC905" s="161"/>
      <c r="AD905" s="161"/>
      <c r="AE905" s="161"/>
      <c r="AF905" s="161"/>
      <c r="AG905" s="161"/>
      <c r="AH905" s="163"/>
      <c r="AI905" s="163"/>
      <c r="AJ905" s="163"/>
      <c r="AK905" s="163"/>
      <c r="AL905" s="163"/>
      <c r="AM905" s="163"/>
      <c r="AN905" s="161"/>
      <c r="AO905" s="161"/>
      <c r="AP905" s="161"/>
      <c r="AQ905" s="161"/>
      <c r="AR905" s="161"/>
      <c r="AS905" s="119"/>
    </row>
    <row r="906">
      <c r="A906" s="137">
        <v>672.0</v>
      </c>
      <c r="B906" s="406">
        <v>11.0</v>
      </c>
      <c r="C906" s="104" t="s">
        <v>4765</v>
      </c>
      <c r="D906" s="105" t="s">
        <v>48</v>
      </c>
      <c r="E906" s="107" t="s">
        <v>48</v>
      </c>
      <c r="F906" s="627"/>
      <c r="G906" s="628" t="s">
        <v>4766</v>
      </c>
      <c r="H906" s="81" t="s">
        <v>4767</v>
      </c>
      <c r="I906" s="409" t="s">
        <v>4768</v>
      </c>
      <c r="J906" s="155"/>
      <c r="K906" s="37">
        <v>44142.0</v>
      </c>
      <c r="L906" s="37">
        <v>44149.0</v>
      </c>
      <c r="M906" s="410" t="s">
        <v>4769</v>
      </c>
      <c r="N906" s="410" t="s">
        <v>336</v>
      </c>
      <c r="O906" s="37">
        <v>43927.0</v>
      </c>
      <c r="P906" s="37">
        <v>44046.0</v>
      </c>
      <c r="Q906" s="22"/>
      <c r="R906" s="22"/>
      <c r="S906" s="117"/>
      <c r="T906" s="411"/>
      <c r="U906" s="412" t="s">
        <v>97</v>
      </c>
      <c r="V906" s="413"/>
      <c r="W906" s="413"/>
      <c r="X906" s="413"/>
      <c r="Y906" s="413"/>
      <c r="Z906" s="413"/>
      <c r="AA906" s="413"/>
      <c r="AB906" s="413"/>
      <c r="AC906" s="413"/>
      <c r="AD906" s="186"/>
      <c r="AE906" s="187"/>
      <c r="AF906" s="413"/>
      <c r="AG906" s="187"/>
      <c r="AH906" s="189"/>
      <c r="AI906" s="189"/>
      <c r="AJ906" s="189"/>
      <c r="AK906" s="189"/>
      <c r="AL906" s="189"/>
      <c r="AM906" s="189"/>
      <c r="AN906" s="187"/>
      <c r="AO906" s="187"/>
      <c r="AP906" s="413"/>
      <c r="AQ906" s="187"/>
      <c r="AR906" s="187"/>
      <c r="AS906" s="119"/>
    </row>
    <row r="907">
      <c r="A907" s="137">
        <v>673.0</v>
      </c>
      <c r="B907" s="746"/>
      <c r="C907" s="104" t="s">
        <v>4770</v>
      </c>
      <c r="D907" s="105" t="s">
        <v>53</v>
      </c>
      <c r="E907" s="107" t="s">
        <v>53</v>
      </c>
      <c r="F907" s="783"/>
      <c r="G907" s="784" t="s">
        <v>4771</v>
      </c>
      <c r="H907" s="250" t="s">
        <v>4772</v>
      </c>
      <c r="I907" s="354" t="s">
        <v>4773</v>
      </c>
      <c r="J907" s="112"/>
      <c r="K907" s="113">
        <v>43936.0</v>
      </c>
      <c r="L907" s="113">
        <v>43939.0</v>
      </c>
      <c r="M907" s="356" t="s">
        <v>4774</v>
      </c>
      <c r="N907" s="356" t="s">
        <v>29</v>
      </c>
      <c r="O907" s="113">
        <v>43773.0</v>
      </c>
      <c r="P907" s="113">
        <v>43836.0</v>
      </c>
      <c r="Q907" s="535"/>
      <c r="R907" s="535"/>
      <c r="S907" s="117"/>
      <c r="T907" s="157"/>
      <c r="U907" s="194"/>
      <c r="V907" s="194"/>
      <c r="W907" s="194"/>
      <c r="X907" s="295" t="s">
        <v>97</v>
      </c>
      <c r="Y907" s="194"/>
      <c r="Z907" s="194"/>
      <c r="AA907" s="194"/>
      <c r="AB907" s="194"/>
      <c r="AC907" s="194"/>
      <c r="AD907" s="186"/>
      <c r="AE907" s="187"/>
      <c r="AF907" s="194"/>
      <c r="AG907" s="187"/>
      <c r="AH907" s="189"/>
      <c r="AI907" s="189"/>
      <c r="AJ907" s="189"/>
      <c r="AK907" s="189"/>
      <c r="AL907" s="189"/>
      <c r="AM907" s="189"/>
      <c r="AN907" s="187"/>
      <c r="AO907" s="187"/>
      <c r="AP907" s="194"/>
      <c r="AQ907" s="187"/>
      <c r="AR907" s="187"/>
      <c r="AS907" s="119"/>
    </row>
    <row r="908">
      <c r="A908" s="101">
        <v>674.0</v>
      </c>
      <c r="B908" s="292">
        <v>11.0</v>
      </c>
      <c r="C908" s="104" t="s">
        <v>4775</v>
      </c>
      <c r="D908" s="105" t="s">
        <v>48</v>
      </c>
      <c r="E908" s="107" t="s">
        <v>48</v>
      </c>
      <c r="F908" s="190"/>
      <c r="G908" s="192" t="s">
        <v>4776</v>
      </c>
      <c r="H908" s="81" t="s">
        <v>4777</v>
      </c>
      <c r="I908" s="158" t="str">
        <f>HYPERLINK("https://filmfreeway.com/StLouisInternationalFilmFestival","https://filmfreeway.com/StLouisInternationalFilmFestival")</f>
        <v>https://filmfreeway.com/StLouisInternationalFilmFestival</v>
      </c>
      <c r="J908" s="155"/>
      <c r="K908" s="37">
        <v>44140.0</v>
      </c>
      <c r="L908" s="37">
        <v>44150.0</v>
      </c>
      <c r="M908" s="73" t="s">
        <v>255</v>
      </c>
      <c r="N908" s="73" t="s">
        <v>256</v>
      </c>
      <c r="O908" s="37">
        <v>43921.0</v>
      </c>
      <c r="P908" s="37">
        <v>44043.0</v>
      </c>
      <c r="Q908" s="200" t="s">
        <v>222</v>
      </c>
      <c r="R908" s="200" t="s">
        <v>222</v>
      </c>
      <c r="S908" s="224"/>
      <c r="T908" s="157"/>
      <c r="U908" s="293" t="s">
        <v>97</v>
      </c>
      <c r="V908" s="194"/>
      <c r="W908" s="194"/>
      <c r="X908" s="194"/>
      <c r="Y908" s="194"/>
      <c r="Z908" s="194"/>
      <c r="AA908" s="194"/>
      <c r="AB908" s="194"/>
      <c r="AC908" s="194"/>
      <c r="AD908" s="186"/>
      <c r="AE908" s="187"/>
      <c r="AF908" s="194"/>
      <c r="AG908" s="187"/>
      <c r="AH908" s="189"/>
      <c r="AI908" s="189"/>
      <c r="AJ908" s="189"/>
      <c r="AK908" s="189"/>
      <c r="AL908" s="189"/>
      <c r="AM908" s="189"/>
      <c r="AN908" s="187"/>
      <c r="AO908" s="187"/>
      <c r="AP908" s="194"/>
      <c r="AQ908" s="187"/>
      <c r="AR908" s="187"/>
      <c r="AS908" s="119"/>
    </row>
    <row r="909">
      <c r="A909" s="137">
        <v>675.0</v>
      </c>
      <c r="B909" s="315">
        <v>6.0</v>
      </c>
      <c r="C909" s="104" t="s">
        <v>4778</v>
      </c>
      <c r="D909" s="296" t="s">
        <v>55</v>
      </c>
      <c r="E909" s="297" t="s">
        <v>55</v>
      </c>
      <c r="F909" s="178"/>
      <c r="G909" s="77" t="s">
        <v>4779</v>
      </c>
      <c r="H909" s="81" t="s">
        <v>4780</v>
      </c>
      <c r="I909" s="316" t="s">
        <v>24</v>
      </c>
      <c r="J909" s="155"/>
      <c r="K909" s="22" t="s">
        <v>27</v>
      </c>
      <c r="L909" s="22" t="s">
        <v>27</v>
      </c>
      <c r="M909" s="85" t="s">
        <v>255</v>
      </c>
      <c r="N909" s="85" t="s">
        <v>256</v>
      </c>
      <c r="O909" s="22" t="s">
        <v>27</v>
      </c>
      <c r="P909" s="22" t="s">
        <v>27</v>
      </c>
      <c r="Q909" s="201"/>
      <c r="R909" s="201"/>
      <c r="S909" s="224"/>
      <c r="T909" s="181"/>
      <c r="U909" s="184"/>
      <c r="V909" s="184"/>
      <c r="W909" s="184"/>
      <c r="X909" s="184"/>
      <c r="Y909" s="184"/>
      <c r="Z909" s="420" t="s">
        <v>97</v>
      </c>
      <c r="AA909" s="184"/>
      <c r="AB909" s="184"/>
      <c r="AC909" s="184"/>
      <c r="AD909" s="186"/>
      <c r="AE909" s="187"/>
      <c r="AF909" s="184"/>
      <c r="AG909" s="187"/>
      <c r="AH909" s="189"/>
      <c r="AI909" s="189"/>
      <c r="AJ909" s="189"/>
      <c r="AK909" s="189"/>
      <c r="AL909" s="189"/>
      <c r="AM909" s="189"/>
      <c r="AN909" s="187"/>
      <c r="AO909" s="187"/>
      <c r="AP909" s="184"/>
      <c r="AQ909" s="187"/>
      <c r="AR909" s="187"/>
      <c r="AS909" s="119"/>
    </row>
    <row r="910">
      <c r="A910" s="137">
        <v>676.0</v>
      </c>
      <c r="B910" s="177"/>
      <c r="C910" s="104" t="s">
        <v>4781</v>
      </c>
      <c r="D910" s="105" t="s">
        <v>48</v>
      </c>
      <c r="E910" s="107" t="s">
        <v>48</v>
      </c>
      <c r="F910" s="178"/>
      <c r="G910" s="77" t="s">
        <v>4782</v>
      </c>
      <c r="H910" s="81" t="s">
        <v>4783</v>
      </c>
      <c r="I910" s="84" t="s">
        <v>4784</v>
      </c>
      <c r="J910" s="155"/>
      <c r="K910" s="37">
        <v>44028.0</v>
      </c>
      <c r="L910" s="37">
        <v>44036.0</v>
      </c>
      <c r="M910" s="85" t="s">
        <v>4785</v>
      </c>
      <c r="N910" s="85" t="s">
        <v>29</v>
      </c>
      <c r="O910" s="113">
        <v>43861.0</v>
      </c>
      <c r="P910" s="37">
        <v>43952.0</v>
      </c>
      <c r="Q910" s="22"/>
      <c r="R910" s="22"/>
      <c r="S910" s="193" t="s">
        <v>97</v>
      </c>
      <c r="T910" s="181"/>
      <c r="U910" s="182" t="s">
        <v>97</v>
      </c>
      <c r="V910" s="184"/>
      <c r="W910" s="184"/>
      <c r="X910" s="184"/>
      <c r="Y910" s="184"/>
      <c r="Z910" s="184"/>
      <c r="AA910" s="184"/>
      <c r="AB910" s="184"/>
      <c r="AC910" s="184"/>
      <c r="AD910" s="186"/>
      <c r="AE910" s="187"/>
      <c r="AF910" s="184"/>
      <c r="AG910" s="187"/>
      <c r="AH910" s="189"/>
      <c r="AI910" s="189"/>
      <c r="AJ910" s="189"/>
      <c r="AK910" s="189"/>
      <c r="AL910" s="189"/>
      <c r="AM910" s="189"/>
      <c r="AN910" s="187"/>
      <c r="AO910" s="187"/>
      <c r="AP910" s="184"/>
      <c r="AQ910" s="187"/>
      <c r="AR910" s="187"/>
      <c r="AS910" s="119"/>
    </row>
    <row r="911">
      <c r="A911" s="101">
        <v>860.0</v>
      </c>
      <c r="B911" s="103">
        <v>11.0</v>
      </c>
      <c r="C911" s="104" t="s">
        <v>2663</v>
      </c>
      <c r="D911" s="105" t="s">
        <v>48</v>
      </c>
      <c r="E911" s="107" t="s">
        <v>48</v>
      </c>
      <c r="F911" s="109"/>
      <c r="G911" s="10" t="s">
        <v>4786</v>
      </c>
      <c r="H911" s="17" t="s">
        <v>4787</v>
      </c>
      <c r="I911" s="175" t="s">
        <v>4788</v>
      </c>
      <c r="J911" s="155"/>
      <c r="K911" s="37">
        <v>44141.0</v>
      </c>
      <c r="L911" s="37">
        <v>44147.0</v>
      </c>
      <c r="M911" s="24" t="s">
        <v>221</v>
      </c>
      <c r="N911" s="24" t="s">
        <v>72</v>
      </c>
      <c r="O911" s="37">
        <v>43905.0</v>
      </c>
      <c r="P911" s="37">
        <v>44094.0</v>
      </c>
      <c r="Q911" s="223"/>
      <c r="R911" s="223"/>
      <c r="S911" s="224"/>
      <c r="T911" s="118"/>
      <c r="U911" s="176" t="s">
        <v>97</v>
      </c>
      <c r="V911" s="119"/>
      <c r="W911" s="119"/>
      <c r="X911" s="119"/>
      <c r="Y911" s="119"/>
      <c r="Z911" s="119"/>
      <c r="AA911" s="119"/>
      <c r="AB911" s="119"/>
      <c r="AC911" s="119"/>
      <c r="AD911" s="119"/>
      <c r="AE911" s="119"/>
      <c r="AF911" s="119"/>
      <c r="AG911" s="119"/>
      <c r="AH911" s="121"/>
      <c r="AI911" s="121"/>
      <c r="AJ911" s="121"/>
      <c r="AK911" s="121"/>
      <c r="AL911" s="121"/>
      <c r="AM911" s="121"/>
      <c r="AN911" s="119"/>
      <c r="AO911" s="119"/>
      <c r="AP911" s="119"/>
      <c r="AQ911" s="119"/>
      <c r="AR911" s="119"/>
      <c r="AS911" s="119"/>
    </row>
    <row r="912">
      <c r="A912" s="101">
        <v>677.0</v>
      </c>
      <c r="B912" s="197"/>
      <c r="C912" s="104" t="s">
        <v>4789</v>
      </c>
      <c r="D912" s="105" t="s">
        <v>48</v>
      </c>
      <c r="E912" s="107" t="s">
        <v>48</v>
      </c>
      <c r="F912" s="178"/>
      <c r="G912" s="77" t="s">
        <v>1231</v>
      </c>
      <c r="H912" s="81" t="s">
        <v>1233</v>
      </c>
      <c r="I912" s="34" t="s">
        <v>1236</v>
      </c>
      <c r="J912" s="20" t="s">
        <v>26</v>
      </c>
      <c r="K912" s="37">
        <v>43908.0</v>
      </c>
      <c r="L912" s="37">
        <v>43912.0</v>
      </c>
      <c r="M912" s="85" t="s">
        <v>1238</v>
      </c>
      <c r="N912" s="85" t="s">
        <v>1186</v>
      </c>
      <c r="O912" s="113">
        <v>43703.0</v>
      </c>
      <c r="P912" s="37">
        <v>43777.0</v>
      </c>
      <c r="Q912" s="22"/>
      <c r="R912" s="22"/>
      <c r="S912" s="117"/>
      <c r="T912" s="181"/>
      <c r="U912" s="182" t="s">
        <v>97</v>
      </c>
      <c r="V912" s="184"/>
      <c r="W912" s="184"/>
      <c r="X912" s="184"/>
      <c r="Y912" s="184"/>
      <c r="Z912" s="184"/>
      <c r="AA912" s="184"/>
      <c r="AB912" s="184"/>
      <c r="AC912" s="184"/>
      <c r="AD912" s="186"/>
      <c r="AE912" s="187"/>
      <c r="AF912" s="184"/>
      <c r="AG912" s="187"/>
      <c r="AH912" s="189"/>
      <c r="AI912" s="189"/>
      <c r="AJ912" s="189"/>
      <c r="AK912" s="189"/>
      <c r="AL912" s="189"/>
      <c r="AM912" s="189"/>
      <c r="AN912" s="187"/>
      <c r="AO912" s="187"/>
      <c r="AP912" s="184"/>
      <c r="AQ912" s="187"/>
      <c r="AR912" s="187"/>
      <c r="AS912" s="119"/>
    </row>
    <row r="913">
      <c r="A913" s="137">
        <v>678.0</v>
      </c>
      <c r="B913" s="197"/>
      <c r="C913" s="104" t="s">
        <v>4790</v>
      </c>
      <c r="D913" s="105" t="s">
        <v>48</v>
      </c>
      <c r="E913" s="107" t="s">
        <v>48</v>
      </c>
      <c r="F913" s="627"/>
      <c r="G913" s="628" t="s">
        <v>4791</v>
      </c>
      <c r="H913" s="81" t="s">
        <v>4792</v>
      </c>
      <c r="I913" s="34" t="s">
        <v>4793</v>
      </c>
      <c r="J913" s="155"/>
      <c r="K913" s="37">
        <v>43853.0</v>
      </c>
      <c r="L913" s="37">
        <v>43863.0</v>
      </c>
      <c r="M913" s="410" t="s">
        <v>4637</v>
      </c>
      <c r="N913" s="410" t="s">
        <v>967</v>
      </c>
      <c r="O913" s="37">
        <v>43672.0</v>
      </c>
      <c r="P913" s="37">
        <v>43724.0</v>
      </c>
      <c r="Q913" s="200" t="s">
        <v>222</v>
      </c>
      <c r="R913" s="200" t="s">
        <v>222</v>
      </c>
      <c r="S913" s="203" t="s">
        <v>97</v>
      </c>
      <c r="T913" s="411"/>
      <c r="U913" s="412" t="s">
        <v>97</v>
      </c>
      <c r="V913" s="413"/>
      <c r="W913" s="413"/>
      <c r="X913" s="413"/>
      <c r="Y913" s="413"/>
      <c r="Z913" s="413"/>
      <c r="AA913" s="413"/>
      <c r="AB913" s="413"/>
      <c r="AC913" s="413"/>
      <c r="AD913" s="186"/>
      <c r="AE913" s="187"/>
      <c r="AF913" s="413"/>
      <c r="AG913" s="187"/>
      <c r="AH913" s="189"/>
      <c r="AI913" s="189"/>
      <c r="AJ913" s="189"/>
      <c r="AK913" s="189"/>
      <c r="AL913" s="189"/>
      <c r="AM913" s="189"/>
      <c r="AN913" s="187"/>
      <c r="AO913" s="187"/>
      <c r="AP913" s="413"/>
      <c r="AQ913" s="187"/>
      <c r="AR913" s="187"/>
      <c r="AS913" s="119"/>
    </row>
    <row r="914">
      <c r="A914" s="137">
        <v>679.0</v>
      </c>
      <c r="B914" s="150"/>
      <c r="C914" s="104" t="s">
        <v>4794</v>
      </c>
      <c r="D914" s="105" t="s">
        <v>52</v>
      </c>
      <c r="E914" s="107" t="s">
        <v>52</v>
      </c>
      <c r="F914" s="101"/>
      <c r="G914" s="40" t="s">
        <v>4795</v>
      </c>
      <c r="H914" s="55" t="s">
        <v>4796</v>
      </c>
      <c r="I914" s="69" t="s">
        <v>4797</v>
      </c>
      <c r="J914" s="155"/>
      <c r="K914" s="37">
        <v>43897.0</v>
      </c>
      <c r="L914" s="37">
        <v>43897.0</v>
      </c>
      <c r="M914" s="73" t="s">
        <v>4798</v>
      </c>
      <c r="N914" s="179" t="s">
        <v>72</v>
      </c>
      <c r="O914" s="113">
        <v>43833.0</v>
      </c>
      <c r="P914" s="37">
        <v>43833.0</v>
      </c>
      <c r="Q914" s="22"/>
      <c r="R914" s="22"/>
      <c r="S914" s="117"/>
      <c r="T914" s="236"/>
      <c r="U914" s="161"/>
      <c r="V914" s="161"/>
      <c r="W914" s="120" t="s">
        <v>97</v>
      </c>
      <c r="X914" s="161"/>
      <c r="Y914" s="161"/>
      <c r="Z914" s="161"/>
      <c r="AA914" s="161"/>
      <c r="AB914" s="161"/>
      <c r="AC914" s="161"/>
      <c r="AD914" s="161"/>
      <c r="AE914" s="161"/>
      <c r="AF914" s="161"/>
      <c r="AG914" s="161"/>
      <c r="AH914" s="163"/>
      <c r="AI914" s="163"/>
      <c r="AJ914" s="163"/>
      <c r="AK914" s="163"/>
      <c r="AL914" s="163"/>
      <c r="AM914" s="163"/>
      <c r="AN914" s="161"/>
      <c r="AO914" s="161"/>
      <c r="AP914" s="161"/>
      <c r="AQ914" s="161"/>
      <c r="AR914" s="161"/>
      <c r="AS914" s="119"/>
    </row>
    <row r="915">
      <c r="A915" s="137">
        <v>936.0</v>
      </c>
      <c r="B915" s="122">
        <v>11.0</v>
      </c>
      <c r="C915" s="123" t="s">
        <v>4799</v>
      </c>
      <c r="D915" s="285" t="s">
        <v>52</v>
      </c>
      <c r="E915" s="287" t="s">
        <v>52</v>
      </c>
      <c r="F915" s="127"/>
      <c r="G915" s="128" t="s">
        <v>4800</v>
      </c>
      <c r="H915" s="89" t="s">
        <v>4801</v>
      </c>
      <c r="I915" s="244" t="s">
        <v>4802</v>
      </c>
      <c r="J915" s="735"/>
      <c r="K915" s="37">
        <v>44100.0</v>
      </c>
      <c r="L915" s="37">
        <v>44100.0</v>
      </c>
      <c r="M915" s="130" t="s">
        <v>4803</v>
      </c>
      <c r="N915" s="130" t="s">
        <v>29</v>
      </c>
      <c r="O915" s="37">
        <v>43983.0</v>
      </c>
      <c r="P915" s="37">
        <v>44034.0</v>
      </c>
      <c r="Q915" s="131"/>
      <c r="R915" s="132"/>
      <c r="S915" s="132"/>
      <c r="T915" s="118"/>
      <c r="U915" s="119"/>
      <c r="V915" s="119"/>
      <c r="W915" s="120" t="s">
        <v>97</v>
      </c>
      <c r="X915" s="119"/>
      <c r="Y915" s="134"/>
      <c r="Z915" s="119"/>
      <c r="AA915" s="119"/>
      <c r="AB915" s="119"/>
      <c r="AC915" s="119"/>
      <c r="AD915" s="119"/>
      <c r="AE915" s="119"/>
      <c r="AF915" s="119"/>
      <c r="AG915" s="119"/>
      <c r="AH915" s="121"/>
      <c r="AI915" s="121"/>
      <c r="AJ915" s="121"/>
      <c r="AK915" s="121"/>
      <c r="AL915" s="121"/>
      <c r="AM915" s="135"/>
      <c r="AN915" s="119"/>
      <c r="AO915" s="119"/>
      <c r="AP915" s="119"/>
      <c r="AQ915" s="119"/>
      <c r="AR915" s="119"/>
      <c r="AS915" s="119"/>
    </row>
    <row r="916">
      <c r="A916" s="101">
        <v>680.0</v>
      </c>
      <c r="B916" s="150">
        <v>10.0</v>
      </c>
      <c r="C916" s="104" t="s">
        <v>4804</v>
      </c>
      <c r="D916" s="105" t="s">
        <v>48</v>
      </c>
      <c r="E916" s="107" t="s">
        <v>48</v>
      </c>
      <c r="F916" s="101"/>
      <c r="G916" s="40" t="s">
        <v>4805</v>
      </c>
      <c r="H916" s="55" t="s">
        <v>4806</v>
      </c>
      <c r="I916" s="69" t="s">
        <v>4807</v>
      </c>
      <c r="J916" s="155"/>
      <c r="K916" s="37">
        <v>44120.0</v>
      </c>
      <c r="L916" s="37">
        <v>44121.0</v>
      </c>
      <c r="M916" s="73" t="s">
        <v>4686</v>
      </c>
      <c r="N916" s="179" t="s">
        <v>72</v>
      </c>
      <c r="O916" s="37">
        <v>43980.0</v>
      </c>
      <c r="P916" s="37">
        <v>44050.0</v>
      </c>
      <c r="Q916" s="22"/>
      <c r="R916" s="22"/>
      <c r="S916" s="117"/>
      <c r="T916" s="236"/>
      <c r="U916" s="176" t="s">
        <v>97</v>
      </c>
      <c r="V916" s="161"/>
      <c r="W916" s="161"/>
      <c r="X916" s="161"/>
      <c r="Y916" s="161"/>
      <c r="Z916" s="161"/>
      <c r="AA916" s="161"/>
      <c r="AB916" s="161"/>
      <c r="AC916" s="161"/>
      <c r="AD916" s="161"/>
      <c r="AE916" s="161"/>
      <c r="AF916" s="161"/>
      <c r="AG916" s="161"/>
      <c r="AH916" s="163"/>
      <c r="AI916" s="163"/>
      <c r="AJ916" s="163"/>
      <c r="AK916" s="163"/>
      <c r="AL916" s="163"/>
      <c r="AM916" s="163"/>
      <c r="AN916" s="161"/>
      <c r="AO916" s="161"/>
      <c r="AP916" s="161"/>
      <c r="AQ916" s="161"/>
      <c r="AR916" s="161"/>
      <c r="AS916" s="119"/>
    </row>
    <row r="917">
      <c r="A917" s="137">
        <v>681.0</v>
      </c>
      <c r="B917" s="150"/>
      <c r="C917" s="104" t="s">
        <v>4808</v>
      </c>
      <c r="D917" s="105" t="s">
        <v>48</v>
      </c>
      <c r="E917" s="107" t="s">
        <v>48</v>
      </c>
      <c r="F917" s="101"/>
      <c r="G917" s="40" t="s">
        <v>4809</v>
      </c>
      <c r="H917" s="55" t="s">
        <v>4810</v>
      </c>
      <c r="I917" s="69" t="s">
        <v>4811</v>
      </c>
      <c r="J917" s="155"/>
      <c r="K917" s="37">
        <v>43982.0</v>
      </c>
      <c r="L917" s="37">
        <v>43982.0</v>
      </c>
      <c r="M917" s="73" t="s">
        <v>221</v>
      </c>
      <c r="N917" s="179" t="s">
        <v>72</v>
      </c>
      <c r="O917" s="113">
        <v>43646.0</v>
      </c>
      <c r="P917" s="37">
        <v>43982.0</v>
      </c>
      <c r="Q917" s="22"/>
      <c r="R917" s="22"/>
      <c r="S917" s="117"/>
      <c r="T917" s="236"/>
      <c r="U917" s="176" t="s">
        <v>97</v>
      </c>
      <c r="V917" s="161"/>
      <c r="W917" s="161"/>
      <c r="X917" s="161"/>
      <c r="Y917" s="161"/>
      <c r="Z917" s="161"/>
      <c r="AA917" s="161"/>
      <c r="AB917" s="161"/>
      <c r="AC917" s="161"/>
      <c r="AD917" s="161"/>
      <c r="AE917" s="161"/>
      <c r="AF917" s="161"/>
      <c r="AG917" s="161"/>
      <c r="AH917" s="163"/>
      <c r="AI917" s="163"/>
      <c r="AJ917" s="163"/>
      <c r="AK917" s="163"/>
      <c r="AL917" s="163"/>
      <c r="AM917" s="163"/>
      <c r="AN917" s="161"/>
      <c r="AO917" s="161"/>
      <c r="AP917" s="161"/>
      <c r="AQ917" s="161"/>
      <c r="AR917" s="161"/>
      <c r="AS917" s="119"/>
    </row>
    <row r="918">
      <c r="A918" s="137">
        <v>682.0</v>
      </c>
      <c r="B918" s="150"/>
      <c r="C918" s="104" t="s">
        <v>4812</v>
      </c>
      <c r="D918" s="105" t="s">
        <v>48</v>
      </c>
      <c r="E918" s="107" t="s">
        <v>48</v>
      </c>
      <c r="F918" s="101"/>
      <c r="G918" s="40" t="s">
        <v>4813</v>
      </c>
      <c r="H918" s="55" t="s">
        <v>4814</v>
      </c>
      <c r="I918" s="69" t="s">
        <v>4815</v>
      </c>
      <c r="J918" s="155"/>
      <c r="K918" s="37">
        <v>43841.0</v>
      </c>
      <c r="L918" s="37">
        <v>43850.0</v>
      </c>
      <c r="M918" s="73" t="s">
        <v>4816</v>
      </c>
      <c r="N918" s="179" t="s">
        <v>46</v>
      </c>
      <c r="O918" s="113">
        <v>43727.0</v>
      </c>
      <c r="P918" s="37">
        <v>43799.0</v>
      </c>
      <c r="Q918" s="22"/>
      <c r="R918" s="22"/>
      <c r="S918" s="117"/>
      <c r="T918" s="236"/>
      <c r="U918" s="176" t="s">
        <v>97</v>
      </c>
      <c r="V918" s="161"/>
      <c r="W918" s="161"/>
      <c r="X918" s="161"/>
      <c r="Y918" s="161"/>
      <c r="Z918" s="161"/>
      <c r="AA918" s="161"/>
      <c r="AB918" s="161"/>
      <c r="AC918" s="161"/>
      <c r="AD918" s="161"/>
      <c r="AE918" s="161"/>
      <c r="AF918" s="161"/>
      <c r="AG918" s="161"/>
      <c r="AH918" s="163"/>
      <c r="AI918" s="163"/>
      <c r="AJ918" s="163"/>
      <c r="AK918" s="163"/>
      <c r="AL918" s="163"/>
      <c r="AM918" s="163"/>
      <c r="AN918" s="161"/>
      <c r="AO918" s="161"/>
      <c r="AP918" s="161"/>
      <c r="AQ918" s="161"/>
      <c r="AR918" s="161"/>
      <c r="AS918" s="119"/>
    </row>
    <row r="919">
      <c r="A919" s="137">
        <v>683.0</v>
      </c>
      <c r="B919" s="150"/>
      <c r="C919" s="104" t="s">
        <v>4817</v>
      </c>
      <c r="D919" s="138" t="s">
        <v>71</v>
      </c>
      <c r="E919" s="107" t="s">
        <v>71</v>
      </c>
      <c r="F919" s="101"/>
      <c r="G919" s="40" t="s">
        <v>4818</v>
      </c>
      <c r="H919" s="55" t="s">
        <v>4819</v>
      </c>
      <c r="I919" s="69" t="s">
        <v>4820</v>
      </c>
      <c r="J919" s="155"/>
      <c r="K919" s="37">
        <v>44121.0</v>
      </c>
      <c r="L919" s="37">
        <v>44122.0</v>
      </c>
      <c r="M919" s="73" t="s">
        <v>399</v>
      </c>
      <c r="N919" s="179" t="s">
        <v>72</v>
      </c>
      <c r="O919" s="113">
        <v>43845.0</v>
      </c>
      <c r="P919" s="37">
        <v>43889.0</v>
      </c>
      <c r="Q919" s="22"/>
      <c r="R919" s="22"/>
      <c r="S919" s="117"/>
      <c r="T919" s="236"/>
      <c r="U919" s="161"/>
      <c r="V919" s="161"/>
      <c r="W919" s="161"/>
      <c r="X919" s="161"/>
      <c r="Y919" s="161"/>
      <c r="Z919" s="161"/>
      <c r="AA919" s="161"/>
      <c r="AB919" s="161"/>
      <c r="AC919" s="161"/>
      <c r="AD919" s="161"/>
      <c r="AE919" s="161"/>
      <c r="AF919" s="161"/>
      <c r="AG919" s="161"/>
      <c r="AH919" s="163"/>
      <c r="AI919" s="163"/>
      <c r="AJ919" s="163"/>
      <c r="AK919" s="163"/>
      <c r="AL919" s="163"/>
      <c r="AM919" s="165" t="s">
        <v>97</v>
      </c>
      <c r="AN919" s="161"/>
      <c r="AO919" s="161"/>
      <c r="AP919" s="161"/>
      <c r="AQ919" s="161"/>
      <c r="AR919" s="161"/>
      <c r="AS919" s="119"/>
    </row>
    <row r="920">
      <c r="A920" s="101">
        <v>891.0</v>
      </c>
      <c r="B920" s="122">
        <v>10.0</v>
      </c>
      <c r="C920" s="123" t="s">
        <v>4821</v>
      </c>
      <c r="D920" s="124" t="s">
        <v>48</v>
      </c>
      <c r="E920" s="126" t="s">
        <v>48</v>
      </c>
      <c r="F920" s="127"/>
      <c r="G920" s="128" t="s">
        <v>4822</v>
      </c>
      <c r="H920" s="89" t="s">
        <v>4823</v>
      </c>
      <c r="I920" s="91" t="str">
        <f>HYPERLINK("https://filmfreeway.com/Syrfilm","https://filmfreeway.com/Syrfilm")</f>
        <v>https://filmfreeway.com/Syrfilm</v>
      </c>
      <c r="J920" s="155"/>
      <c r="K920" s="22" t="s">
        <v>27</v>
      </c>
      <c r="L920" s="22" t="s">
        <v>27</v>
      </c>
      <c r="M920" s="130" t="s">
        <v>4824</v>
      </c>
      <c r="N920" s="130" t="s">
        <v>29</v>
      </c>
      <c r="O920" s="22" t="s">
        <v>27</v>
      </c>
      <c r="P920" s="22" t="s">
        <v>27</v>
      </c>
      <c r="Q920" s="131"/>
      <c r="R920" s="132"/>
      <c r="S920" s="132"/>
      <c r="T920" s="118"/>
      <c r="U920" s="176" t="s">
        <v>97</v>
      </c>
      <c r="V920" s="119"/>
      <c r="W920" s="119"/>
      <c r="X920" s="119"/>
      <c r="Y920" s="134"/>
      <c r="Z920" s="119"/>
      <c r="AA920" s="119"/>
      <c r="AB920" s="119"/>
      <c r="AC920" s="119"/>
      <c r="AD920" s="119"/>
      <c r="AE920" s="119"/>
      <c r="AF920" s="119"/>
      <c r="AG920" s="119"/>
      <c r="AH920" s="121"/>
      <c r="AI920" s="121"/>
      <c r="AJ920" s="121"/>
      <c r="AK920" s="121"/>
      <c r="AL920" s="121"/>
      <c r="AM920" s="135"/>
      <c r="AN920" s="119"/>
      <c r="AO920" s="119"/>
      <c r="AP920" s="119"/>
      <c r="AQ920" s="119"/>
      <c r="AR920" s="119"/>
      <c r="AS920" s="119"/>
    </row>
    <row r="921">
      <c r="A921" s="101">
        <v>684.0</v>
      </c>
      <c r="B921" s="177"/>
      <c r="C921" s="104" t="s">
        <v>4825</v>
      </c>
      <c r="D921" s="105" t="s">
        <v>48</v>
      </c>
      <c r="E921" s="107" t="s">
        <v>48</v>
      </c>
      <c r="F921" s="178"/>
      <c r="G921" s="77" t="s">
        <v>4826</v>
      </c>
      <c r="H921" s="81" t="s">
        <v>4827</v>
      </c>
      <c r="I921" s="84" t="s">
        <v>4828</v>
      </c>
      <c r="J921" s="155"/>
      <c r="K921" s="37">
        <v>44112.0</v>
      </c>
      <c r="L921" s="37">
        <v>44119.0</v>
      </c>
      <c r="M921" s="85" t="s">
        <v>2436</v>
      </c>
      <c r="N921" s="85" t="s">
        <v>251</v>
      </c>
      <c r="O921" s="113">
        <v>43876.0</v>
      </c>
      <c r="P921" s="37">
        <v>44003.0</v>
      </c>
      <c r="Q921" s="22"/>
      <c r="R921" s="22"/>
      <c r="S921" s="193" t="s">
        <v>97</v>
      </c>
      <c r="T921" s="181"/>
      <c r="U921" s="182" t="s">
        <v>97</v>
      </c>
      <c r="V921" s="184"/>
      <c r="W921" s="184"/>
      <c r="X921" s="184"/>
      <c r="Y921" s="184"/>
      <c r="Z921" s="184"/>
      <c r="AA921" s="184"/>
      <c r="AB921" s="184"/>
      <c r="AC921" s="184"/>
      <c r="AD921" s="186"/>
      <c r="AE921" s="187"/>
      <c r="AF921" s="184"/>
      <c r="AG921" s="187"/>
      <c r="AH921" s="189"/>
      <c r="AI921" s="189"/>
      <c r="AJ921" s="189"/>
      <c r="AK921" s="189"/>
      <c r="AL921" s="189"/>
      <c r="AM921" s="189"/>
      <c r="AN921" s="187"/>
      <c r="AO921" s="187"/>
      <c r="AP921" s="184"/>
      <c r="AQ921" s="187"/>
      <c r="AR921" s="187"/>
      <c r="AS921" s="119"/>
    </row>
    <row r="922">
      <c r="A922" s="137">
        <v>685.0</v>
      </c>
      <c r="B922" s="315">
        <v>12.0</v>
      </c>
      <c r="C922" s="104" t="s">
        <v>4829</v>
      </c>
      <c r="D922" s="105" t="s">
        <v>48</v>
      </c>
      <c r="E922" s="107" t="s">
        <v>48</v>
      </c>
      <c r="F922" s="178"/>
      <c r="G922" s="77" t="s">
        <v>4830</v>
      </c>
      <c r="H922" s="81" t="s">
        <v>4831</v>
      </c>
      <c r="I922" s="316" t="s">
        <v>24</v>
      </c>
      <c r="J922" s="155"/>
      <c r="K922" s="22" t="s">
        <v>27</v>
      </c>
      <c r="L922" s="22" t="s">
        <v>27</v>
      </c>
      <c r="M922" s="85" t="s">
        <v>4832</v>
      </c>
      <c r="N922" s="85" t="s">
        <v>148</v>
      </c>
      <c r="O922" s="22" t="s">
        <v>27</v>
      </c>
      <c r="P922" s="22" t="s">
        <v>27</v>
      </c>
      <c r="Q922" s="201"/>
      <c r="R922" s="201"/>
      <c r="S922" s="224"/>
      <c r="T922" s="181"/>
      <c r="U922" s="182" t="s">
        <v>97</v>
      </c>
      <c r="V922" s="184"/>
      <c r="W922" s="184"/>
      <c r="X922" s="184"/>
      <c r="Y922" s="184"/>
      <c r="Z922" s="184"/>
      <c r="AA922" s="184"/>
      <c r="AB922" s="184"/>
      <c r="AC922" s="184"/>
      <c r="AD922" s="186"/>
      <c r="AE922" s="187"/>
      <c r="AF922" s="184"/>
      <c r="AG922" s="187"/>
      <c r="AH922" s="189"/>
      <c r="AI922" s="189"/>
      <c r="AJ922" s="189"/>
      <c r="AK922" s="189"/>
      <c r="AL922" s="189"/>
      <c r="AM922" s="189"/>
      <c r="AN922" s="187"/>
      <c r="AO922" s="187"/>
      <c r="AP922" s="184"/>
      <c r="AQ922" s="187"/>
      <c r="AR922" s="187"/>
      <c r="AS922" s="119"/>
    </row>
    <row r="923">
      <c r="A923" s="137">
        <v>686.0</v>
      </c>
      <c r="B923" s="150"/>
      <c r="C923" s="104" t="s">
        <v>4833</v>
      </c>
      <c r="D923" s="105" t="s">
        <v>48</v>
      </c>
      <c r="E923" s="107" t="s">
        <v>48</v>
      </c>
      <c r="F923" s="101"/>
      <c r="G923" s="40" t="s">
        <v>600</v>
      </c>
      <c r="H923" s="55" t="s">
        <v>601</v>
      </c>
      <c r="I923" s="69" t="s">
        <v>605</v>
      </c>
      <c r="J923" s="20" t="s">
        <v>607</v>
      </c>
      <c r="K923" s="37">
        <v>43936.0</v>
      </c>
      <c r="L923" s="37">
        <v>43940.0</v>
      </c>
      <c r="M923" s="73" t="s">
        <v>608</v>
      </c>
      <c r="N923" s="179" t="s">
        <v>46</v>
      </c>
      <c r="O923" s="113">
        <v>43708.0</v>
      </c>
      <c r="P923" s="37">
        <v>43840.0</v>
      </c>
      <c r="Q923" s="22"/>
      <c r="R923" s="22"/>
      <c r="S923" s="117"/>
      <c r="T923" s="236"/>
      <c r="U923" s="176" t="s">
        <v>97</v>
      </c>
      <c r="V923" s="161"/>
      <c r="W923" s="161"/>
      <c r="X923" s="161"/>
      <c r="Y923" s="161"/>
      <c r="Z923" s="161"/>
      <c r="AA923" s="161"/>
      <c r="AB923" s="161"/>
      <c r="AC923" s="161"/>
      <c r="AD923" s="161"/>
      <c r="AE923" s="161"/>
      <c r="AF923" s="161"/>
      <c r="AG923" s="161"/>
      <c r="AH923" s="163"/>
      <c r="AI923" s="163"/>
      <c r="AJ923" s="163"/>
      <c r="AK923" s="163"/>
      <c r="AL923" s="163"/>
      <c r="AM923" s="163"/>
      <c r="AN923" s="161"/>
      <c r="AO923" s="161"/>
      <c r="AP923" s="161"/>
      <c r="AQ923" s="161"/>
      <c r="AR923" s="161"/>
      <c r="AS923" s="119"/>
    </row>
    <row r="924">
      <c r="A924" s="101">
        <v>687.0</v>
      </c>
      <c r="B924" s="177">
        <v>10.0</v>
      </c>
      <c r="C924" s="104" t="s">
        <v>4834</v>
      </c>
      <c r="D924" s="105" t="s">
        <v>48</v>
      </c>
      <c r="E924" s="107" t="s">
        <v>48</v>
      </c>
      <c r="F924" s="178"/>
      <c r="G924" s="77" t="s">
        <v>4835</v>
      </c>
      <c r="H924" s="81" t="s">
        <v>4836</v>
      </c>
      <c r="I924" s="84" t="s">
        <v>4837</v>
      </c>
      <c r="J924" s="155"/>
      <c r="K924" s="37">
        <v>44118.0</v>
      </c>
      <c r="L924" s="37">
        <v>44122.0</v>
      </c>
      <c r="M924" s="85" t="s">
        <v>4838</v>
      </c>
      <c r="N924" s="85" t="s">
        <v>2464</v>
      </c>
      <c r="O924" s="37">
        <v>43934.0</v>
      </c>
      <c r="P924" s="37">
        <v>44022.0</v>
      </c>
      <c r="Q924" s="22"/>
      <c r="R924" s="22"/>
      <c r="S924" s="193" t="s">
        <v>97</v>
      </c>
      <c r="T924" s="181"/>
      <c r="U924" s="182" t="s">
        <v>97</v>
      </c>
      <c r="V924" s="184"/>
      <c r="W924" s="184"/>
      <c r="X924" s="184"/>
      <c r="Y924" s="184"/>
      <c r="Z924" s="184"/>
      <c r="AA924" s="184"/>
      <c r="AB924" s="184"/>
      <c r="AC924" s="184"/>
      <c r="AD924" s="186"/>
      <c r="AE924" s="187"/>
      <c r="AF924" s="184"/>
      <c r="AG924" s="187"/>
      <c r="AH924" s="189"/>
      <c r="AI924" s="189"/>
      <c r="AJ924" s="189"/>
      <c r="AK924" s="189"/>
      <c r="AL924" s="189"/>
      <c r="AM924" s="189"/>
      <c r="AN924" s="187"/>
      <c r="AO924" s="187"/>
      <c r="AP924" s="184"/>
      <c r="AQ924" s="187"/>
      <c r="AR924" s="187"/>
      <c r="AS924" s="119"/>
    </row>
    <row r="925">
      <c r="A925" s="137">
        <v>688.0</v>
      </c>
      <c r="B925" s="150"/>
      <c r="C925" s="104" t="s">
        <v>4839</v>
      </c>
      <c r="D925" s="105" t="s">
        <v>52</v>
      </c>
      <c r="E925" s="107" t="s">
        <v>52</v>
      </c>
      <c r="F925" s="101"/>
      <c r="G925" s="40" t="s">
        <v>4840</v>
      </c>
      <c r="H925" s="55" t="s">
        <v>4841</v>
      </c>
      <c r="I925" s="69" t="s">
        <v>4842</v>
      </c>
      <c r="J925" s="155"/>
      <c r="K925" s="37">
        <v>43868.0</v>
      </c>
      <c r="L925" s="37">
        <v>43869.0</v>
      </c>
      <c r="M925" s="73" t="s">
        <v>608</v>
      </c>
      <c r="N925" s="179" t="s">
        <v>46</v>
      </c>
      <c r="O925" s="113">
        <v>43729.0</v>
      </c>
      <c r="P925" s="152">
        <v>43785.0</v>
      </c>
      <c r="Q925" s="785"/>
      <c r="R925" s="785"/>
      <c r="S925" s="786"/>
      <c r="T925" s="236"/>
      <c r="U925" s="161"/>
      <c r="V925" s="161"/>
      <c r="W925" s="120" t="s">
        <v>97</v>
      </c>
      <c r="X925" s="161"/>
      <c r="Y925" s="161"/>
      <c r="Z925" s="161"/>
      <c r="AA925" s="161"/>
      <c r="AB925" s="161"/>
      <c r="AC925" s="161"/>
      <c r="AD925" s="161"/>
      <c r="AE925" s="161"/>
      <c r="AF925" s="161"/>
      <c r="AG925" s="161"/>
      <c r="AH925" s="163"/>
      <c r="AI925" s="163"/>
      <c r="AJ925" s="163"/>
      <c r="AK925" s="163"/>
      <c r="AL925" s="163"/>
      <c r="AM925" s="163"/>
      <c r="AN925" s="161"/>
      <c r="AO925" s="161"/>
      <c r="AP925" s="161"/>
      <c r="AQ925" s="161"/>
      <c r="AR925" s="161"/>
      <c r="AS925" s="119"/>
    </row>
    <row r="926">
      <c r="A926" s="137">
        <v>817.0</v>
      </c>
      <c r="B926" s="103">
        <v>10.0</v>
      </c>
      <c r="C926" s="104" t="s">
        <v>4843</v>
      </c>
      <c r="D926" s="226" t="s">
        <v>54</v>
      </c>
      <c r="E926" s="227" t="s">
        <v>54</v>
      </c>
      <c r="F926" s="109"/>
      <c r="G926" s="10" t="s">
        <v>4844</v>
      </c>
      <c r="H926" s="17" t="s">
        <v>4845</v>
      </c>
      <c r="I926" s="111" t="s">
        <v>4846</v>
      </c>
      <c r="J926" s="155"/>
      <c r="K926" s="22" t="s">
        <v>27</v>
      </c>
      <c r="L926" s="22" t="s">
        <v>27</v>
      </c>
      <c r="M926" s="24" t="s">
        <v>4847</v>
      </c>
      <c r="N926" s="24" t="s">
        <v>46</v>
      </c>
      <c r="O926" s="22" t="s">
        <v>27</v>
      </c>
      <c r="P926" s="22" t="s">
        <v>27</v>
      </c>
      <c r="Q926" s="223"/>
      <c r="R926" s="223"/>
      <c r="S926" s="224"/>
      <c r="T926" s="118"/>
      <c r="U926" s="119"/>
      <c r="V926" s="119"/>
      <c r="W926" s="119"/>
      <c r="X926" s="119"/>
      <c r="Y926" s="374" t="s">
        <v>97</v>
      </c>
      <c r="Z926" s="119"/>
      <c r="AA926" s="119"/>
      <c r="AB926" s="119"/>
      <c r="AC926" s="119"/>
      <c r="AD926" s="119"/>
      <c r="AE926" s="119"/>
      <c r="AF926" s="119"/>
      <c r="AG926" s="119"/>
      <c r="AH926" s="121"/>
      <c r="AI926" s="121"/>
      <c r="AJ926" s="121"/>
      <c r="AK926" s="121"/>
      <c r="AL926" s="121"/>
      <c r="AM926" s="121"/>
      <c r="AN926" s="119"/>
      <c r="AO926" s="119"/>
      <c r="AP926" s="119"/>
      <c r="AQ926" s="119"/>
      <c r="AR926" s="119"/>
      <c r="AS926" s="119"/>
    </row>
    <row r="927">
      <c r="A927" s="137">
        <v>689.0</v>
      </c>
      <c r="B927" s="315">
        <v>3.0</v>
      </c>
      <c r="C927" s="104" t="s">
        <v>4848</v>
      </c>
      <c r="D927" s="296" t="s">
        <v>55</v>
      </c>
      <c r="E927" s="297" t="s">
        <v>55</v>
      </c>
      <c r="F927" s="178"/>
      <c r="G927" s="77" t="s">
        <v>4849</v>
      </c>
      <c r="H927" s="81" t="s">
        <v>4850</v>
      </c>
      <c r="I927" s="316" t="s">
        <v>24</v>
      </c>
      <c r="J927" s="155"/>
      <c r="K927" s="22" t="s">
        <v>27</v>
      </c>
      <c r="L927" s="22" t="s">
        <v>27</v>
      </c>
      <c r="M927" s="85" t="s">
        <v>4847</v>
      </c>
      <c r="N927" s="85" t="s">
        <v>46</v>
      </c>
      <c r="O927" s="22" t="s">
        <v>27</v>
      </c>
      <c r="P927" s="22" t="s">
        <v>27</v>
      </c>
      <c r="Q927" s="223"/>
      <c r="R927" s="223"/>
      <c r="S927" s="224"/>
      <c r="T927" s="181"/>
      <c r="U927" s="184"/>
      <c r="V927" s="184"/>
      <c r="W927" s="184"/>
      <c r="X927" s="184"/>
      <c r="Y927" s="184"/>
      <c r="Z927" s="420" t="s">
        <v>97</v>
      </c>
      <c r="AA927" s="184"/>
      <c r="AB927" s="184"/>
      <c r="AC927" s="184"/>
      <c r="AD927" s="186"/>
      <c r="AE927" s="187"/>
      <c r="AF927" s="184"/>
      <c r="AG927" s="187"/>
      <c r="AH927" s="189"/>
      <c r="AI927" s="189"/>
      <c r="AJ927" s="189"/>
      <c r="AK927" s="189"/>
      <c r="AL927" s="189"/>
      <c r="AM927" s="189"/>
      <c r="AN927" s="187"/>
      <c r="AO927" s="187"/>
      <c r="AP927" s="184"/>
      <c r="AQ927" s="187"/>
      <c r="AR927" s="187"/>
      <c r="AS927" s="119"/>
    </row>
    <row r="928">
      <c r="A928" s="137">
        <v>861.0</v>
      </c>
      <c r="B928" s="103">
        <v>12.0</v>
      </c>
      <c r="C928" s="104" t="s">
        <v>4851</v>
      </c>
      <c r="D928" s="105" t="s">
        <v>65</v>
      </c>
      <c r="E928" s="107" t="s">
        <v>65</v>
      </c>
      <c r="F928" s="109"/>
      <c r="G928" s="10" t="s">
        <v>4852</v>
      </c>
      <c r="H928" s="17" t="s">
        <v>4853</v>
      </c>
      <c r="I928" s="787" t="s">
        <v>4854</v>
      </c>
      <c r="J928" s="155"/>
      <c r="K928" s="37">
        <v>44168.0</v>
      </c>
      <c r="L928" s="37">
        <v>44171.0</v>
      </c>
      <c r="M928" s="24" t="s">
        <v>4847</v>
      </c>
      <c r="N928" s="24" t="s">
        <v>46</v>
      </c>
      <c r="O928" s="37">
        <v>43973.0</v>
      </c>
      <c r="P928" s="37">
        <v>44106.0</v>
      </c>
      <c r="Q928" s="223"/>
      <c r="R928" s="223"/>
      <c r="S928" s="224"/>
      <c r="T928" s="118"/>
      <c r="U928" s="119"/>
      <c r="V928" s="119"/>
      <c r="W928" s="119"/>
      <c r="X928" s="119"/>
      <c r="Y928" s="119"/>
      <c r="Z928" s="119"/>
      <c r="AA928" s="119"/>
      <c r="AB928" s="119"/>
      <c r="AC928" s="119"/>
      <c r="AD928" s="119"/>
      <c r="AE928" s="119"/>
      <c r="AF928" s="119"/>
      <c r="AG928" s="119"/>
      <c r="AH928" s="121"/>
      <c r="AI928" s="283" t="s">
        <v>97</v>
      </c>
      <c r="AJ928" s="121"/>
      <c r="AK928" s="121"/>
      <c r="AL928" s="121"/>
      <c r="AM928" s="121"/>
      <c r="AN928" s="119"/>
      <c r="AO928" s="119"/>
      <c r="AP928" s="119"/>
      <c r="AQ928" s="119"/>
      <c r="AR928" s="119"/>
      <c r="AS928" s="119"/>
    </row>
    <row r="929">
      <c r="A929" s="101">
        <v>690.0</v>
      </c>
      <c r="B929" s="177">
        <v>10.0</v>
      </c>
      <c r="C929" s="104" t="s">
        <v>4855</v>
      </c>
      <c r="D929" s="226" t="s">
        <v>54</v>
      </c>
      <c r="E929" s="227" t="s">
        <v>54</v>
      </c>
      <c r="F929" s="178"/>
      <c r="G929" s="77" t="s">
        <v>4856</v>
      </c>
      <c r="H929" s="81" t="s">
        <v>4845</v>
      </c>
      <c r="I929" s="84" t="s">
        <v>4846</v>
      </c>
      <c r="J929" s="155"/>
      <c r="K929" s="22" t="s">
        <v>27</v>
      </c>
      <c r="L929" s="22" t="s">
        <v>27</v>
      </c>
      <c r="M929" s="85" t="s">
        <v>994</v>
      </c>
      <c r="N929" s="85" t="s">
        <v>46</v>
      </c>
      <c r="O929" s="22" t="s">
        <v>27</v>
      </c>
      <c r="P929" s="22" t="s">
        <v>27</v>
      </c>
      <c r="Q929" s="373"/>
      <c r="R929" s="373"/>
      <c r="S929" s="224"/>
      <c r="T929" s="181"/>
      <c r="U929" s="184"/>
      <c r="V929" s="184"/>
      <c r="W929" s="184"/>
      <c r="X929" s="184"/>
      <c r="Y929" s="233" t="s">
        <v>97</v>
      </c>
      <c r="Z929" s="184"/>
      <c r="AA929" s="184"/>
      <c r="AB929" s="184"/>
      <c r="AC929" s="184"/>
      <c r="AD929" s="186"/>
      <c r="AE929" s="187"/>
      <c r="AF929" s="184"/>
      <c r="AG929" s="187"/>
      <c r="AH929" s="189"/>
      <c r="AI929" s="189"/>
      <c r="AJ929" s="189"/>
      <c r="AK929" s="189"/>
      <c r="AL929" s="189"/>
      <c r="AM929" s="189"/>
      <c r="AN929" s="187"/>
      <c r="AO929" s="187"/>
      <c r="AP929" s="184"/>
      <c r="AQ929" s="187"/>
      <c r="AR929" s="187"/>
      <c r="AS929" s="119"/>
    </row>
    <row r="930">
      <c r="A930" s="137">
        <v>691.0</v>
      </c>
      <c r="B930" s="177"/>
      <c r="C930" s="104" t="s">
        <v>4857</v>
      </c>
      <c r="D930" s="105" t="s">
        <v>52</v>
      </c>
      <c r="E930" s="107" t="s">
        <v>52</v>
      </c>
      <c r="F930" s="178"/>
      <c r="G930" s="77" t="s">
        <v>978</v>
      </c>
      <c r="H930" s="81" t="s">
        <v>980</v>
      </c>
      <c r="I930" s="84" t="s">
        <v>982</v>
      </c>
      <c r="J930" s="20" t="s">
        <v>985</v>
      </c>
      <c r="K930" s="37">
        <v>43910.0</v>
      </c>
      <c r="L930" s="37">
        <v>43912.0</v>
      </c>
      <c r="M930" s="85" t="s">
        <v>986</v>
      </c>
      <c r="N930" s="85" t="s">
        <v>430</v>
      </c>
      <c r="O930" s="113">
        <v>43719.0</v>
      </c>
      <c r="P930" s="37">
        <v>43821.0</v>
      </c>
      <c r="Q930" s="22"/>
      <c r="R930" s="22"/>
      <c r="S930" s="117"/>
      <c r="T930" s="181"/>
      <c r="U930" s="184"/>
      <c r="V930" s="184"/>
      <c r="W930" s="319" t="s">
        <v>97</v>
      </c>
      <c r="X930" s="184"/>
      <c r="Y930" s="184"/>
      <c r="Z930" s="184"/>
      <c r="AA930" s="184"/>
      <c r="AB930" s="184"/>
      <c r="AC930" s="184"/>
      <c r="AD930" s="186"/>
      <c r="AE930" s="187"/>
      <c r="AF930" s="184"/>
      <c r="AG930" s="187"/>
      <c r="AH930" s="189"/>
      <c r="AI930" s="189"/>
      <c r="AJ930" s="189"/>
      <c r="AK930" s="189"/>
      <c r="AL930" s="189"/>
      <c r="AM930" s="189"/>
      <c r="AN930" s="187"/>
      <c r="AO930" s="187"/>
      <c r="AP930" s="184"/>
      <c r="AQ930" s="187"/>
      <c r="AR930" s="187"/>
      <c r="AS930" s="119"/>
    </row>
    <row r="931">
      <c r="A931" s="137">
        <v>961.0</v>
      </c>
      <c r="B931" s="122">
        <v>10.0</v>
      </c>
      <c r="C931" s="123" t="s">
        <v>4516</v>
      </c>
      <c r="D931" s="309" t="s">
        <v>57</v>
      </c>
      <c r="E931" s="311" t="s">
        <v>57</v>
      </c>
      <c r="F931" s="127"/>
      <c r="G931" s="128" t="s">
        <v>4858</v>
      </c>
      <c r="H931" s="89" t="s">
        <v>4859</v>
      </c>
      <c r="I931" s="91" t="str">
        <f>HYPERLINK("https://filmfreeway.com/TSAFF","https://filmfreeway.com/TSAFF")</f>
        <v>https://filmfreeway.com/TSAFF</v>
      </c>
      <c r="J931" s="155"/>
      <c r="K931" s="37">
        <v>44106.0</v>
      </c>
      <c r="L931" s="37">
        <v>44115.0</v>
      </c>
      <c r="M931" s="130" t="s">
        <v>250</v>
      </c>
      <c r="N931" s="130" t="s">
        <v>251</v>
      </c>
      <c r="O931" s="37">
        <v>43945.0</v>
      </c>
      <c r="P931" s="37">
        <v>44028.0</v>
      </c>
      <c r="Q931" s="131"/>
      <c r="R931" s="132"/>
      <c r="S931" s="132"/>
      <c r="T931" s="118"/>
      <c r="U931" s="119"/>
      <c r="V931" s="119"/>
      <c r="W931" s="119"/>
      <c r="X931" s="119"/>
      <c r="Y931" s="134"/>
      <c r="Z931" s="119"/>
      <c r="AA931" s="119"/>
      <c r="AB931" s="307" t="s">
        <v>97</v>
      </c>
      <c r="AC931" s="119"/>
      <c r="AD931" s="119"/>
      <c r="AE931" s="119"/>
      <c r="AF931" s="119"/>
      <c r="AG931" s="119"/>
      <c r="AH931" s="121"/>
      <c r="AI931" s="121"/>
      <c r="AJ931" s="121"/>
      <c r="AK931" s="121"/>
      <c r="AL931" s="121"/>
      <c r="AM931" s="135"/>
      <c r="AN931" s="119"/>
      <c r="AO931" s="119"/>
      <c r="AP931" s="119"/>
      <c r="AQ931" s="119"/>
      <c r="AR931" s="119"/>
      <c r="AS931" s="119"/>
    </row>
    <row r="932">
      <c r="A932" s="137">
        <v>692.0</v>
      </c>
      <c r="B932" s="315">
        <v>11.0</v>
      </c>
      <c r="C932" s="104" t="s">
        <v>4860</v>
      </c>
      <c r="D932" s="105" t="s">
        <v>48</v>
      </c>
      <c r="E932" s="107" t="s">
        <v>48</v>
      </c>
      <c r="F932" s="178"/>
      <c r="G932" s="77" t="s">
        <v>4861</v>
      </c>
      <c r="H932" s="81" t="s">
        <v>4862</v>
      </c>
      <c r="I932" s="316" t="s">
        <v>24</v>
      </c>
      <c r="J932" s="155"/>
      <c r="K932" s="37">
        <v>44147.0</v>
      </c>
      <c r="L932" s="37">
        <v>44150.0</v>
      </c>
      <c r="M932" s="85" t="s">
        <v>3820</v>
      </c>
      <c r="N932" s="85" t="s">
        <v>412</v>
      </c>
      <c r="O932" s="22" t="s">
        <v>27</v>
      </c>
      <c r="P932" s="22" t="s">
        <v>27</v>
      </c>
      <c r="Q932" s="229"/>
      <c r="R932" s="229"/>
      <c r="S932" s="760"/>
      <c r="T932" s="181"/>
      <c r="U932" s="182" t="s">
        <v>97</v>
      </c>
      <c r="V932" s="184"/>
      <c r="W932" s="184"/>
      <c r="X932" s="184"/>
      <c r="Y932" s="184"/>
      <c r="Z932" s="184"/>
      <c r="AA932" s="184"/>
      <c r="AB932" s="184"/>
      <c r="AC932" s="184"/>
      <c r="AD932" s="186"/>
      <c r="AE932" s="187"/>
      <c r="AF932" s="184"/>
      <c r="AG932" s="187"/>
      <c r="AH932" s="189"/>
      <c r="AI932" s="189"/>
      <c r="AJ932" s="189"/>
      <c r="AK932" s="189"/>
      <c r="AL932" s="189"/>
      <c r="AM932" s="189"/>
      <c r="AN932" s="187"/>
      <c r="AO932" s="187"/>
      <c r="AP932" s="184"/>
      <c r="AQ932" s="187"/>
      <c r="AR932" s="187"/>
      <c r="AS932" s="119"/>
    </row>
    <row r="933">
      <c r="A933" s="101">
        <v>693.0</v>
      </c>
      <c r="B933" s="315">
        <v>9.0</v>
      </c>
      <c r="C933" s="104" t="s">
        <v>4863</v>
      </c>
      <c r="D933" s="105" t="s">
        <v>48</v>
      </c>
      <c r="E933" s="107" t="s">
        <v>48</v>
      </c>
      <c r="F933" s="178"/>
      <c r="G933" s="77" t="s">
        <v>4864</v>
      </c>
      <c r="H933" s="81" t="s">
        <v>4865</v>
      </c>
      <c r="I933" s="175" t="s">
        <v>4866</v>
      </c>
      <c r="J933" s="155"/>
      <c r="K933" s="22" t="s">
        <v>27</v>
      </c>
      <c r="L933" s="22" t="s">
        <v>27</v>
      </c>
      <c r="M933" s="85" t="s">
        <v>238</v>
      </c>
      <c r="N933" s="85" t="s">
        <v>110</v>
      </c>
      <c r="O933" s="22" t="s">
        <v>27</v>
      </c>
      <c r="P933" s="22" t="s">
        <v>27</v>
      </c>
      <c r="Q933" s="201"/>
      <c r="R933" s="201"/>
      <c r="S933" s="224"/>
      <c r="T933" s="181"/>
      <c r="U933" s="182" t="s">
        <v>97</v>
      </c>
      <c r="V933" s="184"/>
      <c r="W933" s="184"/>
      <c r="X933" s="184"/>
      <c r="Y933" s="184"/>
      <c r="Z933" s="184"/>
      <c r="AA933" s="184"/>
      <c r="AB933" s="184"/>
      <c r="AC933" s="184"/>
      <c r="AD933" s="186"/>
      <c r="AE933" s="187"/>
      <c r="AF933" s="184"/>
      <c r="AG933" s="187"/>
      <c r="AH933" s="189"/>
      <c r="AI933" s="189"/>
      <c r="AJ933" s="189"/>
      <c r="AK933" s="189"/>
      <c r="AL933" s="189"/>
      <c r="AM933" s="189"/>
      <c r="AN933" s="187"/>
      <c r="AO933" s="187"/>
      <c r="AP933" s="184"/>
      <c r="AQ933" s="187"/>
      <c r="AR933" s="187"/>
      <c r="AS933" s="119"/>
    </row>
    <row r="934">
      <c r="A934" s="137">
        <v>694.0</v>
      </c>
      <c r="B934" s="150">
        <v>10.0</v>
      </c>
      <c r="C934" s="104" t="s">
        <v>4867</v>
      </c>
      <c r="D934" s="138" t="s">
        <v>63</v>
      </c>
      <c r="E934" s="107" t="s">
        <v>1297</v>
      </c>
      <c r="F934" s="101"/>
      <c r="G934" s="40" t="s">
        <v>4868</v>
      </c>
      <c r="H934" s="55" t="s">
        <v>4869</v>
      </c>
      <c r="I934" s="69" t="s">
        <v>4870</v>
      </c>
      <c r="J934" s="155"/>
      <c r="K934" s="37">
        <v>44120.0</v>
      </c>
      <c r="L934" s="37">
        <v>44122.0</v>
      </c>
      <c r="M934" s="73" t="s">
        <v>238</v>
      </c>
      <c r="N934" s="179" t="s">
        <v>110</v>
      </c>
      <c r="O934" s="37">
        <v>43921.0</v>
      </c>
      <c r="P934" s="37">
        <v>44094.0</v>
      </c>
      <c r="Q934" s="22"/>
      <c r="R934" s="22"/>
      <c r="S934" s="117"/>
      <c r="T934" s="236"/>
      <c r="U934" s="161"/>
      <c r="V934" s="161"/>
      <c r="W934" s="161"/>
      <c r="X934" s="161"/>
      <c r="Y934" s="161"/>
      <c r="Z934" s="161"/>
      <c r="AA934" s="161"/>
      <c r="AB934" s="161"/>
      <c r="AC934" s="161"/>
      <c r="AD934" s="161"/>
      <c r="AE934" s="161"/>
      <c r="AF934" s="161"/>
      <c r="AG934" s="275" t="s">
        <v>97</v>
      </c>
      <c r="AH934" s="163"/>
      <c r="AI934" s="163"/>
      <c r="AJ934" s="163"/>
      <c r="AK934" s="163"/>
      <c r="AL934" s="163"/>
      <c r="AM934" s="163"/>
      <c r="AN934" s="161"/>
      <c r="AO934" s="161"/>
      <c r="AP934" s="161"/>
      <c r="AQ934" s="161"/>
      <c r="AR934" s="161"/>
      <c r="AS934" s="119"/>
    </row>
    <row r="935">
      <c r="A935" s="137">
        <v>939.0</v>
      </c>
      <c r="B935" s="284"/>
      <c r="C935" s="123" t="s">
        <v>4871</v>
      </c>
      <c r="D935" s="124" t="s">
        <v>52</v>
      </c>
      <c r="E935" s="126" t="s">
        <v>52</v>
      </c>
      <c r="F935" s="127"/>
      <c r="G935" s="128" t="s">
        <v>4872</v>
      </c>
      <c r="H935" s="89" t="s">
        <v>4873</v>
      </c>
      <c r="I935" s="91" t="str">
        <f>HYPERLINK("https://filmfreeway.com/TheBlackMariaFilmFestival","https://filmfreeway.com/TheBlackMariaFilmFestival")</f>
        <v>https://filmfreeway.com/TheBlackMariaFilmFestival</v>
      </c>
      <c r="J935" s="288"/>
      <c r="K935" s="145">
        <v>43869.0</v>
      </c>
      <c r="L935" s="145">
        <v>43869.0</v>
      </c>
      <c r="M935" s="130" t="s">
        <v>4874</v>
      </c>
      <c r="N935" s="130" t="s">
        <v>412</v>
      </c>
      <c r="O935" s="145">
        <v>43661.0</v>
      </c>
      <c r="P935" s="145">
        <v>43753.0</v>
      </c>
      <c r="Q935" s="131"/>
      <c r="R935" s="132"/>
      <c r="S935" s="132"/>
      <c r="T935" s="118"/>
      <c r="U935" s="119"/>
      <c r="V935" s="119"/>
      <c r="W935" s="120" t="s">
        <v>97</v>
      </c>
      <c r="X935" s="119"/>
      <c r="Y935" s="134"/>
      <c r="Z935" s="119"/>
      <c r="AA935" s="119"/>
      <c r="AB935" s="119"/>
      <c r="AC935" s="119"/>
      <c r="AD935" s="119"/>
      <c r="AE935" s="119"/>
      <c r="AF935" s="119"/>
      <c r="AG935" s="119"/>
      <c r="AH935" s="121"/>
      <c r="AI935" s="121"/>
      <c r="AJ935" s="121"/>
      <c r="AK935" s="121"/>
      <c r="AL935" s="121"/>
      <c r="AM935" s="135"/>
      <c r="AN935" s="119"/>
      <c r="AO935" s="119"/>
      <c r="AP935" s="119"/>
      <c r="AQ935" s="119"/>
      <c r="AR935" s="119"/>
      <c r="AS935" s="119"/>
    </row>
    <row r="936">
      <c r="A936" s="101">
        <v>976.0</v>
      </c>
      <c r="B936" s="284"/>
      <c r="C936" s="123" t="s">
        <v>4875</v>
      </c>
      <c r="D936" s="138" t="s">
        <v>63</v>
      </c>
      <c r="E936" s="138" t="s">
        <v>63</v>
      </c>
      <c r="F936" s="312"/>
      <c r="G936" s="216" t="s">
        <v>4876</v>
      </c>
      <c r="H936" s="89" t="s">
        <v>4877</v>
      </c>
      <c r="I936" s="91" t="str">
        <f>HYPERLINK("https://filmfreeway.com/ThrillerChiller","https://filmfreeway.com/ThrillerChiller")</f>
        <v>https://filmfreeway.com/ThrillerChiller</v>
      </c>
      <c r="J936" s="288"/>
      <c r="K936" s="145">
        <v>44117.0</v>
      </c>
      <c r="L936" s="145">
        <v>44121.0</v>
      </c>
      <c r="M936" s="130" t="s">
        <v>4878</v>
      </c>
      <c r="N936" s="130" t="s">
        <v>155</v>
      </c>
      <c r="O936" s="145">
        <v>43861.0</v>
      </c>
      <c r="P936" s="145">
        <v>44036.0</v>
      </c>
      <c r="Q936" s="131"/>
      <c r="R936" s="132"/>
      <c r="S936" s="132"/>
      <c r="T936" s="118"/>
      <c r="U936" s="119"/>
      <c r="V936" s="119"/>
      <c r="W936" s="119"/>
      <c r="X936" s="119"/>
      <c r="Y936" s="134"/>
      <c r="Z936" s="119"/>
      <c r="AA936" s="119"/>
      <c r="AB936" s="119"/>
      <c r="AC936" s="119"/>
      <c r="AD936" s="119"/>
      <c r="AE936" s="119"/>
      <c r="AF936" s="119"/>
      <c r="AG936" s="275" t="s">
        <v>97</v>
      </c>
      <c r="AH936" s="121"/>
      <c r="AI936" s="121"/>
      <c r="AJ936" s="121"/>
      <c r="AK936" s="121"/>
      <c r="AL936" s="121"/>
      <c r="AM936" s="135"/>
      <c r="AN936" s="119"/>
      <c r="AO936" s="119"/>
      <c r="AP936" s="119"/>
      <c r="AQ936" s="119"/>
      <c r="AR936" s="119"/>
      <c r="AS936" s="119"/>
    </row>
    <row r="937">
      <c r="A937" s="137">
        <v>695.0</v>
      </c>
      <c r="B937" s="150"/>
      <c r="C937" s="104" t="s">
        <v>4879</v>
      </c>
      <c r="D937" s="105" t="s">
        <v>53</v>
      </c>
      <c r="E937" s="107" t="s">
        <v>53</v>
      </c>
      <c r="F937" s="101"/>
      <c r="G937" s="40" t="s">
        <v>4880</v>
      </c>
      <c r="H937" s="55" t="s">
        <v>4881</v>
      </c>
      <c r="I937" s="69" t="s">
        <v>4882</v>
      </c>
      <c r="J937" s="155"/>
      <c r="K937" s="37">
        <v>43896.0</v>
      </c>
      <c r="L937" s="37">
        <v>43898.0</v>
      </c>
      <c r="M937" s="73" t="s">
        <v>911</v>
      </c>
      <c r="N937" s="179" t="s">
        <v>46</v>
      </c>
      <c r="O937" s="113">
        <v>43709.0</v>
      </c>
      <c r="P937" s="37">
        <v>43800.0</v>
      </c>
      <c r="Q937" s="22"/>
      <c r="R937" s="22"/>
      <c r="S937" s="117"/>
      <c r="T937" s="236"/>
      <c r="U937" s="161"/>
      <c r="V937" s="161"/>
      <c r="W937" s="161"/>
      <c r="X937" s="401" t="s">
        <v>97</v>
      </c>
      <c r="Y937" s="161"/>
      <c r="Z937" s="161"/>
      <c r="AA937" s="161"/>
      <c r="AB937" s="161"/>
      <c r="AC937" s="161"/>
      <c r="AD937" s="161"/>
      <c r="AE937" s="161"/>
      <c r="AF937" s="161"/>
      <c r="AG937" s="161"/>
      <c r="AH937" s="163"/>
      <c r="AI937" s="163"/>
      <c r="AJ937" s="163"/>
      <c r="AK937" s="163"/>
      <c r="AL937" s="163"/>
      <c r="AM937" s="163"/>
      <c r="AN937" s="161"/>
      <c r="AO937" s="161"/>
      <c r="AP937" s="161"/>
      <c r="AQ937" s="161"/>
      <c r="AR937" s="161"/>
      <c r="AS937" s="119"/>
    </row>
    <row r="938">
      <c r="A938" s="101">
        <v>696.0</v>
      </c>
      <c r="B938" s="150"/>
      <c r="C938" s="104" t="s">
        <v>3151</v>
      </c>
      <c r="D938" s="105" t="s">
        <v>48</v>
      </c>
      <c r="E938" s="107" t="s">
        <v>48</v>
      </c>
      <c r="F938" s="101"/>
      <c r="G938" s="40" t="s">
        <v>304</v>
      </c>
      <c r="H938" s="55" t="s">
        <v>305</v>
      </c>
      <c r="I938" s="69" t="s">
        <v>308</v>
      </c>
      <c r="J938" s="20" t="s">
        <v>309</v>
      </c>
      <c r="K938" s="37">
        <v>43938.0</v>
      </c>
      <c r="L938" s="37">
        <v>43944.0</v>
      </c>
      <c r="M938" s="73" t="s">
        <v>310</v>
      </c>
      <c r="N938" s="179" t="s">
        <v>72</v>
      </c>
      <c r="O938" s="113">
        <v>43800.0</v>
      </c>
      <c r="P938" s="37">
        <v>43845.0</v>
      </c>
      <c r="Q938" s="22"/>
      <c r="R938" s="22"/>
      <c r="S938" s="117"/>
      <c r="T938" s="236"/>
      <c r="U938" s="176" t="s">
        <v>97</v>
      </c>
      <c r="V938" s="161"/>
      <c r="W938" s="161"/>
      <c r="X938" s="161"/>
      <c r="Y938" s="161"/>
      <c r="Z938" s="161"/>
      <c r="AA938" s="161"/>
      <c r="AB938" s="161"/>
      <c r="AC938" s="161"/>
      <c r="AD938" s="161"/>
      <c r="AE938" s="161"/>
      <c r="AF938" s="161"/>
      <c r="AG938" s="161"/>
      <c r="AH938" s="163"/>
      <c r="AI938" s="163"/>
      <c r="AJ938" s="163"/>
      <c r="AK938" s="163"/>
      <c r="AL938" s="163"/>
      <c r="AM938" s="163"/>
      <c r="AN938" s="161"/>
      <c r="AO938" s="161"/>
      <c r="AP938" s="161"/>
      <c r="AQ938" s="161"/>
      <c r="AR938" s="161"/>
      <c r="AS938" s="119"/>
    </row>
    <row r="939">
      <c r="A939" s="137">
        <v>697.0</v>
      </c>
      <c r="B939" s="150"/>
      <c r="C939" s="104" t="s">
        <v>4883</v>
      </c>
      <c r="D939" s="105" t="s">
        <v>89</v>
      </c>
      <c r="E939" s="107" t="s">
        <v>4884</v>
      </c>
      <c r="F939" s="101"/>
      <c r="G939" s="40" t="s">
        <v>1272</v>
      </c>
      <c r="H939" s="55" t="s">
        <v>1273</v>
      </c>
      <c r="I939" s="69" t="s">
        <v>1275</v>
      </c>
      <c r="J939" s="20" t="s">
        <v>78</v>
      </c>
      <c r="K939" s="37">
        <v>43910.0</v>
      </c>
      <c r="L939" s="37">
        <v>43911.0</v>
      </c>
      <c r="M939" s="73" t="s">
        <v>399</v>
      </c>
      <c r="N939" s="179" t="s">
        <v>72</v>
      </c>
      <c r="O939" s="113">
        <v>43769.0</v>
      </c>
      <c r="P939" s="37">
        <v>43769.0</v>
      </c>
      <c r="Q939" s="22"/>
      <c r="R939" s="22"/>
      <c r="S939" s="117"/>
      <c r="T939" s="236"/>
      <c r="U939" s="161"/>
      <c r="V939" s="161"/>
      <c r="W939" s="120" t="s">
        <v>97</v>
      </c>
      <c r="X939" s="161"/>
      <c r="Y939" s="161"/>
      <c r="Z939" s="161"/>
      <c r="AA939" s="161"/>
      <c r="AB939" s="161"/>
      <c r="AC939" s="161"/>
      <c r="AD939" s="161"/>
      <c r="AE939" s="161"/>
      <c r="AF939" s="161"/>
      <c r="AG939" s="161"/>
      <c r="AH939" s="163"/>
      <c r="AI939" s="163"/>
      <c r="AJ939" s="163"/>
      <c r="AK939" s="163"/>
      <c r="AL939" s="163"/>
      <c r="AM939" s="163"/>
      <c r="AN939" s="161"/>
      <c r="AO939" s="161"/>
      <c r="AP939" s="161"/>
      <c r="AQ939" s="172" t="s">
        <v>97</v>
      </c>
      <c r="AR939" s="161"/>
      <c r="AS939" s="119"/>
    </row>
    <row r="940">
      <c r="A940" s="101">
        <v>885.0</v>
      </c>
      <c r="B940" s="122">
        <v>8.0</v>
      </c>
      <c r="C940" s="123" t="s">
        <v>4885</v>
      </c>
      <c r="D940" s="124" t="s">
        <v>48</v>
      </c>
      <c r="E940" s="126" t="s">
        <v>48</v>
      </c>
      <c r="F940" s="127"/>
      <c r="G940" s="128" t="s">
        <v>4886</v>
      </c>
      <c r="H940" s="89" t="s">
        <v>4887</v>
      </c>
      <c r="I940" s="91" t="str">
        <f>HYPERLINK("https://filmfreeway.com/TopangaFilmFestival","https://filmfreeway.com/TopangaFilmFestival")</f>
        <v>https://filmfreeway.com/TopangaFilmFestival</v>
      </c>
      <c r="J940" s="155"/>
      <c r="K940" s="22" t="s">
        <v>27</v>
      </c>
      <c r="L940" s="22" t="s">
        <v>27</v>
      </c>
      <c r="M940" s="130" t="s">
        <v>4888</v>
      </c>
      <c r="N940" s="130" t="s">
        <v>72</v>
      </c>
      <c r="O940" s="22" t="s">
        <v>27</v>
      </c>
      <c r="P940" s="22" t="s">
        <v>27</v>
      </c>
      <c r="Q940" s="131"/>
      <c r="R940" s="132"/>
      <c r="S940" s="132"/>
      <c r="T940" s="118"/>
      <c r="U940" s="176" t="s">
        <v>97</v>
      </c>
      <c r="V940" s="119"/>
      <c r="W940" s="119"/>
      <c r="X940" s="119"/>
      <c r="Y940" s="134"/>
      <c r="Z940" s="119"/>
      <c r="AA940" s="119"/>
      <c r="AB940" s="119"/>
      <c r="AC940" s="119"/>
      <c r="AD940" s="119"/>
      <c r="AE940" s="119"/>
      <c r="AF940" s="119"/>
      <c r="AG940" s="119"/>
      <c r="AH940" s="121"/>
      <c r="AI940" s="121"/>
      <c r="AJ940" s="121"/>
      <c r="AK940" s="121"/>
      <c r="AL940" s="121"/>
      <c r="AM940" s="135"/>
      <c r="AN940" s="119"/>
      <c r="AO940" s="119"/>
      <c r="AP940" s="119"/>
      <c r="AQ940" s="119"/>
      <c r="AR940" s="119"/>
      <c r="AS940" s="119"/>
    </row>
    <row r="941">
      <c r="A941" s="137">
        <v>946.0</v>
      </c>
      <c r="B941" s="122">
        <v>9.0</v>
      </c>
      <c r="C941" s="123" t="s">
        <v>4889</v>
      </c>
      <c r="D941" s="285" t="s">
        <v>53</v>
      </c>
      <c r="E941" s="287" t="s">
        <v>53</v>
      </c>
      <c r="F941" s="127"/>
      <c r="G941" s="128" t="s">
        <v>4890</v>
      </c>
      <c r="H941" s="89" t="s">
        <v>4891</v>
      </c>
      <c r="I941" s="91" t="str">
        <f>HYPERLINK("https://filmfreeway.com/topazfilmfestival","https://filmfreeway.com/topazfilmfestival")</f>
        <v>https://filmfreeway.com/topazfilmfestival</v>
      </c>
      <c r="J941" s="155"/>
      <c r="K941" s="37">
        <v>44082.0</v>
      </c>
      <c r="L941" s="37">
        <v>44087.0</v>
      </c>
      <c r="M941" s="130" t="s">
        <v>268</v>
      </c>
      <c r="N941" s="130" t="s">
        <v>102</v>
      </c>
      <c r="O941" s="37">
        <v>43890.0</v>
      </c>
      <c r="P941" s="37">
        <v>43983.0</v>
      </c>
      <c r="Q941" s="131"/>
      <c r="R941" s="132"/>
      <c r="S941" s="132"/>
      <c r="T941" s="118"/>
      <c r="U941" s="119"/>
      <c r="V941" s="119"/>
      <c r="W941" s="119"/>
      <c r="X941" s="401" t="s">
        <v>97</v>
      </c>
      <c r="Y941" s="134"/>
      <c r="Z941" s="119"/>
      <c r="AA941" s="119"/>
      <c r="AB941" s="119"/>
      <c r="AC941" s="119"/>
      <c r="AD941" s="119"/>
      <c r="AE941" s="119"/>
      <c r="AF941" s="119"/>
      <c r="AG941" s="119"/>
      <c r="AH941" s="121"/>
      <c r="AI941" s="121"/>
      <c r="AJ941" s="121"/>
      <c r="AK941" s="121"/>
      <c r="AL941" s="121"/>
      <c r="AM941" s="135"/>
      <c r="AN941" s="119"/>
      <c r="AO941" s="119"/>
      <c r="AP941" s="119"/>
      <c r="AQ941" s="119"/>
      <c r="AR941" s="119"/>
      <c r="AS941" s="119"/>
    </row>
    <row r="942">
      <c r="A942" s="137">
        <v>1012.0</v>
      </c>
      <c r="B942" s="173">
        <v>10.0</v>
      </c>
      <c r="C942" s="104" t="s">
        <v>4892</v>
      </c>
      <c r="D942" s="107" t="s">
        <v>91</v>
      </c>
      <c r="E942" s="107" t="s">
        <v>91</v>
      </c>
      <c r="F942" s="101"/>
      <c r="G942" s="40" t="s">
        <v>4893</v>
      </c>
      <c r="H942" s="234" t="s">
        <v>4894</v>
      </c>
      <c r="I942" s="235" t="s">
        <v>4894</v>
      </c>
      <c r="J942" s="155"/>
      <c r="K942" s="22" t="s">
        <v>27</v>
      </c>
      <c r="L942" s="22" t="s">
        <v>27</v>
      </c>
      <c r="M942" s="73" t="s">
        <v>3975</v>
      </c>
      <c r="N942" s="179" t="s">
        <v>29</v>
      </c>
      <c r="O942" s="22" t="s">
        <v>27</v>
      </c>
      <c r="P942" s="22" t="s">
        <v>27</v>
      </c>
      <c r="Q942" s="22"/>
      <c r="R942" s="22"/>
      <c r="S942" s="117"/>
      <c r="T942" s="236"/>
      <c r="U942" s="161"/>
      <c r="V942" s="161"/>
      <c r="W942" s="161"/>
      <c r="X942" s="161"/>
      <c r="Y942" s="161"/>
      <c r="Z942" s="161"/>
      <c r="AA942" s="161"/>
      <c r="AB942" s="161"/>
      <c r="AC942" s="161"/>
      <c r="AD942" s="161"/>
      <c r="AE942" s="161"/>
      <c r="AF942" s="161"/>
      <c r="AG942" s="237"/>
      <c r="AH942" s="163"/>
      <c r="AI942" s="163"/>
      <c r="AJ942" s="163"/>
      <c r="AK942" s="163"/>
      <c r="AL942" s="163"/>
      <c r="AM942" s="163"/>
      <c r="AN942" s="161"/>
      <c r="AO942" s="161"/>
      <c r="AP942" s="161"/>
      <c r="AQ942" s="161"/>
      <c r="AR942" s="161"/>
      <c r="AS942" s="238" t="s">
        <v>97</v>
      </c>
    </row>
    <row r="943">
      <c r="A943" s="137">
        <v>698.0</v>
      </c>
      <c r="B943" s="150">
        <v>5.0</v>
      </c>
      <c r="C943" s="104" t="s">
        <v>4895</v>
      </c>
      <c r="D943" s="226" t="s">
        <v>54</v>
      </c>
      <c r="E943" s="227" t="s">
        <v>54</v>
      </c>
      <c r="F943" s="101"/>
      <c r="G943" s="40" t="s">
        <v>4896</v>
      </c>
      <c r="H943" s="55" t="s">
        <v>4897</v>
      </c>
      <c r="I943" s="69" t="s">
        <v>4898</v>
      </c>
      <c r="J943" s="155"/>
      <c r="K943" s="37">
        <v>43958.0</v>
      </c>
      <c r="L943" s="37">
        <v>43961.0</v>
      </c>
      <c r="M943" s="174" t="s">
        <v>250</v>
      </c>
      <c r="N943" s="179" t="s">
        <v>251</v>
      </c>
      <c r="O943" s="37">
        <v>43878.0</v>
      </c>
      <c r="P943" s="37">
        <v>43903.0</v>
      </c>
      <c r="Q943" s="22"/>
      <c r="R943" s="22"/>
      <c r="S943" s="117"/>
      <c r="T943" s="236"/>
      <c r="U943" s="161"/>
      <c r="V943" s="161"/>
      <c r="W943" s="161"/>
      <c r="X943" s="161"/>
      <c r="Y943" s="374" t="s">
        <v>97</v>
      </c>
      <c r="Z943" s="161"/>
      <c r="AA943" s="161"/>
      <c r="AB943" s="161"/>
      <c r="AC943" s="161"/>
      <c r="AD943" s="161"/>
      <c r="AE943" s="161"/>
      <c r="AF943" s="161"/>
      <c r="AG943" s="161"/>
      <c r="AH943" s="163"/>
      <c r="AI943" s="163"/>
      <c r="AJ943" s="163"/>
      <c r="AK943" s="163"/>
      <c r="AL943" s="163"/>
      <c r="AM943" s="163"/>
      <c r="AN943" s="161"/>
      <c r="AO943" s="161"/>
      <c r="AP943" s="161"/>
      <c r="AQ943" s="161"/>
      <c r="AR943" s="161"/>
      <c r="AS943" s="119"/>
    </row>
    <row r="944">
      <c r="A944" s="137">
        <v>786.0</v>
      </c>
      <c r="B944" s="197"/>
      <c r="C944" s="104" t="s">
        <v>4899</v>
      </c>
      <c r="D944" s="105" t="s">
        <v>48</v>
      </c>
      <c r="E944" s="107" t="s">
        <v>48</v>
      </c>
      <c r="F944" s="109"/>
      <c r="G944" s="10" t="s">
        <v>2140</v>
      </c>
      <c r="H944" s="17" t="s">
        <v>4900</v>
      </c>
      <c r="I944" s="34" t="s">
        <v>4901</v>
      </c>
      <c r="J944" s="112"/>
      <c r="K944" s="113">
        <v>44040.0</v>
      </c>
      <c r="L944" s="113">
        <v>44045.0</v>
      </c>
      <c r="M944" s="24" t="s">
        <v>4902</v>
      </c>
      <c r="N944" s="24" t="s">
        <v>155</v>
      </c>
      <c r="O944" s="22" t="s">
        <v>27</v>
      </c>
      <c r="P944" s="22" t="s">
        <v>27</v>
      </c>
      <c r="Q944" s="115"/>
      <c r="R944" s="200" t="s">
        <v>222</v>
      </c>
      <c r="S944" s="224"/>
      <c r="T944" s="118"/>
      <c r="U944" s="176" t="s">
        <v>97</v>
      </c>
      <c r="V944" s="119"/>
      <c r="W944" s="119"/>
      <c r="X944" s="119"/>
      <c r="Y944" s="119"/>
      <c r="Z944" s="119"/>
      <c r="AA944" s="119"/>
      <c r="AB944" s="119"/>
      <c r="AC944" s="119"/>
      <c r="AD944" s="119"/>
      <c r="AE944" s="119"/>
      <c r="AF944" s="119"/>
      <c r="AG944" s="119"/>
      <c r="AH944" s="121"/>
      <c r="AI944" s="121"/>
      <c r="AJ944" s="121"/>
      <c r="AK944" s="121"/>
      <c r="AL944" s="121"/>
      <c r="AM944" s="121"/>
      <c r="AN944" s="119"/>
      <c r="AO944" s="119"/>
      <c r="AP944" s="119"/>
      <c r="AQ944" s="119"/>
      <c r="AR944" s="119"/>
      <c r="AS944" s="119"/>
    </row>
    <row r="945">
      <c r="A945" s="137">
        <v>827.0</v>
      </c>
      <c r="B945" s="103"/>
      <c r="C945" s="104" t="s">
        <v>4903</v>
      </c>
      <c r="D945" s="105" t="s">
        <v>48</v>
      </c>
      <c r="E945" s="107" t="s">
        <v>48</v>
      </c>
      <c r="F945" s="109"/>
      <c r="G945" s="10" t="s">
        <v>811</v>
      </c>
      <c r="H945" s="17" t="s">
        <v>813</v>
      </c>
      <c r="I945" s="175" t="s">
        <v>814</v>
      </c>
      <c r="J945" s="222" t="s">
        <v>816</v>
      </c>
      <c r="K945" s="113">
        <v>43909.0</v>
      </c>
      <c r="L945" s="113">
        <v>43912.0</v>
      </c>
      <c r="M945" s="24" t="s">
        <v>817</v>
      </c>
      <c r="N945" s="24" t="s">
        <v>46</v>
      </c>
      <c r="O945" s="114">
        <v>43763.0</v>
      </c>
      <c r="P945" s="114">
        <v>43878.0</v>
      </c>
      <c r="Q945" s="223"/>
      <c r="R945" s="223"/>
      <c r="S945" s="224"/>
      <c r="T945" s="118"/>
      <c r="U945" s="176" t="s">
        <v>97</v>
      </c>
      <c r="V945" s="119"/>
      <c r="W945" s="119"/>
      <c r="X945" s="119"/>
      <c r="Y945" s="119"/>
      <c r="Z945" s="119"/>
      <c r="AA945" s="119"/>
      <c r="AB945" s="119"/>
      <c r="AC945" s="119"/>
      <c r="AD945" s="119"/>
      <c r="AE945" s="119"/>
      <c r="AF945" s="119"/>
      <c r="AG945" s="119"/>
      <c r="AH945" s="121"/>
      <c r="AI945" s="121"/>
      <c r="AJ945" s="121"/>
      <c r="AK945" s="121"/>
      <c r="AL945" s="121"/>
      <c r="AM945" s="121"/>
      <c r="AN945" s="119"/>
      <c r="AO945" s="119"/>
      <c r="AP945" s="119"/>
      <c r="AQ945" s="119"/>
      <c r="AR945" s="119"/>
      <c r="AS945" s="119"/>
    </row>
    <row r="946">
      <c r="A946" s="101">
        <v>699.0</v>
      </c>
      <c r="B946" s="177"/>
      <c r="C946" s="104" t="s">
        <v>4904</v>
      </c>
      <c r="D946" s="105" t="s">
        <v>48</v>
      </c>
      <c r="E946" s="107" t="s">
        <v>48</v>
      </c>
      <c r="F946" s="178"/>
      <c r="G946" s="77" t="s">
        <v>1158</v>
      </c>
      <c r="H946" s="81" t="s">
        <v>1160</v>
      </c>
      <c r="I946" s="84" t="s">
        <v>1164</v>
      </c>
      <c r="J946" s="20" t="s">
        <v>78</v>
      </c>
      <c r="K946" s="37">
        <v>43916.0</v>
      </c>
      <c r="L946" s="37">
        <v>43919.0</v>
      </c>
      <c r="M946" s="85" t="s">
        <v>1166</v>
      </c>
      <c r="N946" s="85" t="s">
        <v>412</v>
      </c>
      <c r="O946" s="113">
        <v>43710.0</v>
      </c>
      <c r="P946" s="37">
        <v>43801.0</v>
      </c>
      <c r="Q946" s="22"/>
      <c r="R946" s="22"/>
      <c r="S946" s="117"/>
      <c r="T946" s="181"/>
      <c r="U946" s="182" t="s">
        <v>97</v>
      </c>
      <c r="V946" s="184"/>
      <c r="W946" s="184"/>
      <c r="X946" s="184"/>
      <c r="Y946" s="184"/>
      <c r="Z946" s="184"/>
      <c r="AA946" s="184"/>
      <c r="AB946" s="184"/>
      <c r="AC946" s="184"/>
      <c r="AD946" s="186"/>
      <c r="AE946" s="187"/>
      <c r="AF946" s="184"/>
      <c r="AG946" s="187"/>
      <c r="AH946" s="189"/>
      <c r="AI946" s="189"/>
      <c r="AJ946" s="189"/>
      <c r="AK946" s="189"/>
      <c r="AL946" s="189"/>
      <c r="AM946" s="189"/>
      <c r="AN946" s="187"/>
      <c r="AO946" s="187"/>
      <c r="AP946" s="184"/>
      <c r="AQ946" s="187"/>
      <c r="AR946" s="187"/>
      <c r="AS946" s="119"/>
    </row>
    <row r="947">
      <c r="A947" s="137">
        <v>700.0</v>
      </c>
      <c r="B947" s="150"/>
      <c r="C947" s="104" t="s">
        <v>4905</v>
      </c>
      <c r="D947" s="105" t="s">
        <v>48</v>
      </c>
      <c r="E947" s="107" t="s">
        <v>48</v>
      </c>
      <c r="F947" s="101"/>
      <c r="G947" s="40" t="s">
        <v>4906</v>
      </c>
      <c r="H947" s="55" t="s">
        <v>4907</v>
      </c>
      <c r="I947" s="69" t="s">
        <v>4908</v>
      </c>
      <c r="J947" s="155"/>
      <c r="K947" s="37">
        <v>44113.0</v>
      </c>
      <c r="L947" s="37">
        <v>44115.0</v>
      </c>
      <c r="M947" s="174" t="s">
        <v>4909</v>
      </c>
      <c r="N947" s="179" t="s">
        <v>251</v>
      </c>
      <c r="O947" s="113">
        <v>43892.0</v>
      </c>
      <c r="P947" s="37">
        <v>44024.0</v>
      </c>
      <c r="Q947" s="22"/>
      <c r="R947" s="22"/>
      <c r="S947" s="117"/>
      <c r="T947" s="236"/>
      <c r="U947" s="176" t="s">
        <v>97</v>
      </c>
      <c r="V947" s="161"/>
      <c r="W947" s="161"/>
      <c r="X947" s="161"/>
      <c r="Y947" s="161"/>
      <c r="Z947" s="161"/>
      <c r="AA947" s="161"/>
      <c r="AB947" s="161"/>
      <c r="AC947" s="161"/>
      <c r="AD947" s="161"/>
      <c r="AE947" s="161"/>
      <c r="AF947" s="161"/>
      <c r="AG947" s="161"/>
      <c r="AH947" s="163"/>
      <c r="AI947" s="163"/>
      <c r="AJ947" s="163"/>
      <c r="AK947" s="163"/>
      <c r="AL947" s="163"/>
      <c r="AM947" s="163"/>
      <c r="AN947" s="161"/>
      <c r="AO947" s="161"/>
      <c r="AP947" s="161"/>
      <c r="AQ947" s="161"/>
      <c r="AR947" s="161"/>
      <c r="AS947" s="119"/>
    </row>
    <row r="948">
      <c r="A948" s="137">
        <v>701.0</v>
      </c>
      <c r="B948" s="150">
        <v>6.0</v>
      </c>
      <c r="C948" s="104" t="s">
        <v>4910</v>
      </c>
      <c r="D948" s="138" t="s">
        <v>60</v>
      </c>
      <c r="E948" s="107" t="s">
        <v>390</v>
      </c>
      <c r="F948" s="101"/>
      <c r="G948" s="40" t="s">
        <v>4911</v>
      </c>
      <c r="H948" s="55" t="s">
        <v>4912</v>
      </c>
      <c r="I948" s="69" t="s">
        <v>4913</v>
      </c>
      <c r="J948" s="155"/>
      <c r="K948" s="22" t="s">
        <v>27</v>
      </c>
      <c r="L948" s="22" t="s">
        <v>27</v>
      </c>
      <c r="M948" s="73" t="s">
        <v>4914</v>
      </c>
      <c r="N948" s="179" t="s">
        <v>283</v>
      </c>
      <c r="O948" s="22" t="s">
        <v>27</v>
      </c>
      <c r="P948" s="22" t="s">
        <v>27</v>
      </c>
      <c r="Q948" s="22"/>
      <c r="R948" s="22"/>
      <c r="S948" s="117"/>
      <c r="T948" s="236"/>
      <c r="U948" s="161"/>
      <c r="V948" s="161"/>
      <c r="W948" s="161"/>
      <c r="X948" s="161"/>
      <c r="Y948" s="161"/>
      <c r="Z948" s="161"/>
      <c r="AA948" s="161"/>
      <c r="AB948" s="161"/>
      <c r="AC948" s="161"/>
      <c r="AD948" s="558" t="s">
        <v>97</v>
      </c>
      <c r="AE948" s="161"/>
      <c r="AF948" s="161"/>
      <c r="AG948" s="161"/>
      <c r="AH948" s="163"/>
      <c r="AI948" s="163"/>
      <c r="AJ948" s="163"/>
      <c r="AK948" s="163"/>
      <c r="AL948" s="163"/>
      <c r="AM948" s="163"/>
      <c r="AN948" s="161"/>
      <c r="AO948" s="161"/>
      <c r="AP948" s="161"/>
      <c r="AQ948" s="161"/>
      <c r="AR948" s="161"/>
      <c r="AS948" s="119"/>
    </row>
    <row r="949">
      <c r="A949" s="101">
        <v>702.0</v>
      </c>
      <c r="B949" s="173"/>
      <c r="C949" s="104" t="s">
        <v>4915</v>
      </c>
      <c r="D949" s="105" t="s">
        <v>48</v>
      </c>
      <c r="E949" s="107" t="s">
        <v>48</v>
      </c>
      <c r="F949" s="178"/>
      <c r="G949" s="77" t="s">
        <v>1038</v>
      </c>
      <c r="H949" s="151" t="s">
        <v>1039</v>
      </c>
      <c r="I949" s="175" t="s">
        <v>1041</v>
      </c>
      <c r="J949" s="20" t="s">
        <v>78</v>
      </c>
      <c r="K949" s="37">
        <v>43936.0</v>
      </c>
      <c r="L949" s="37">
        <v>43947.0</v>
      </c>
      <c r="M949" s="85" t="s">
        <v>196</v>
      </c>
      <c r="N949" s="85" t="s">
        <v>29</v>
      </c>
      <c r="O949" s="37">
        <v>43733.0</v>
      </c>
      <c r="P949" s="37">
        <v>43801.0</v>
      </c>
      <c r="Q949" s="200" t="s">
        <v>222</v>
      </c>
      <c r="R949" s="200" t="s">
        <v>222</v>
      </c>
      <c r="S949" s="224"/>
      <c r="T949" s="181"/>
      <c r="U949" s="182" t="s">
        <v>97</v>
      </c>
      <c r="V949" s="184"/>
      <c r="W949" s="184"/>
      <c r="X949" s="184"/>
      <c r="Y949" s="184"/>
      <c r="Z949" s="184"/>
      <c r="AA949" s="184"/>
      <c r="AB949" s="184"/>
      <c r="AC949" s="184"/>
      <c r="AD949" s="186"/>
      <c r="AE949" s="187"/>
      <c r="AF949" s="184"/>
      <c r="AG949" s="187"/>
      <c r="AH949" s="189"/>
      <c r="AI949" s="189"/>
      <c r="AJ949" s="189"/>
      <c r="AK949" s="189"/>
      <c r="AL949" s="189"/>
      <c r="AM949" s="189"/>
      <c r="AN949" s="187"/>
      <c r="AO949" s="187"/>
      <c r="AP949" s="184"/>
      <c r="AQ949" s="187"/>
      <c r="AR949" s="187"/>
      <c r="AS949" s="119"/>
    </row>
    <row r="950">
      <c r="A950" s="137">
        <v>703.0</v>
      </c>
      <c r="B950" s="150"/>
      <c r="C950" s="104" t="s">
        <v>4916</v>
      </c>
      <c r="D950" s="105" t="s">
        <v>70</v>
      </c>
      <c r="E950" s="107" t="s">
        <v>1326</v>
      </c>
      <c r="F950" s="101"/>
      <c r="G950" s="40" t="s">
        <v>4917</v>
      </c>
      <c r="H950" s="55" t="s">
        <v>4918</v>
      </c>
      <c r="I950" s="69" t="s">
        <v>4919</v>
      </c>
      <c r="J950" s="155"/>
      <c r="K950" s="37">
        <v>43952.0</v>
      </c>
      <c r="L950" s="37">
        <v>43953.0</v>
      </c>
      <c r="M950" s="73" t="s">
        <v>2285</v>
      </c>
      <c r="N950" s="179" t="s">
        <v>339</v>
      </c>
      <c r="O950" s="113">
        <v>43896.0</v>
      </c>
      <c r="P950" s="37">
        <v>43938.0</v>
      </c>
      <c r="Q950" s="22"/>
      <c r="R950" s="22"/>
      <c r="S950" s="117"/>
      <c r="T950" s="236"/>
      <c r="U950" s="161"/>
      <c r="V950" s="161"/>
      <c r="W950" s="120" t="s">
        <v>97</v>
      </c>
      <c r="X950" s="161"/>
      <c r="Y950" s="161"/>
      <c r="Z950" s="161"/>
      <c r="AA950" s="161"/>
      <c r="AB950" s="161"/>
      <c r="AC950" s="161"/>
      <c r="AD950" s="161"/>
      <c r="AE950" s="161"/>
      <c r="AF950" s="161"/>
      <c r="AG950" s="161"/>
      <c r="AH950" s="163"/>
      <c r="AI950" s="163"/>
      <c r="AJ950" s="163"/>
      <c r="AK950" s="163"/>
      <c r="AL950" s="149" t="s">
        <v>97</v>
      </c>
      <c r="AM950" s="163"/>
      <c r="AN950" s="161"/>
      <c r="AO950" s="161"/>
      <c r="AP950" s="161"/>
      <c r="AQ950" s="161"/>
      <c r="AR950" s="161"/>
      <c r="AS950" s="119"/>
    </row>
    <row r="951">
      <c r="A951" s="137">
        <v>704.0</v>
      </c>
      <c r="B951" s="150"/>
      <c r="C951" s="104" t="s">
        <v>4920</v>
      </c>
      <c r="D951" s="105" t="s">
        <v>48</v>
      </c>
      <c r="E951" s="107" t="s">
        <v>48</v>
      </c>
      <c r="F951" s="101"/>
      <c r="G951" s="40" t="s">
        <v>4921</v>
      </c>
      <c r="H951" s="55" t="s">
        <v>4922</v>
      </c>
      <c r="I951" s="69" t="s">
        <v>4923</v>
      </c>
      <c r="J951" s="155"/>
      <c r="K951" s="37">
        <v>44063.0</v>
      </c>
      <c r="L951" s="37">
        <v>44066.0</v>
      </c>
      <c r="M951" s="73" t="s">
        <v>4924</v>
      </c>
      <c r="N951" s="179" t="s">
        <v>155</v>
      </c>
      <c r="O951" s="113">
        <v>43832.0</v>
      </c>
      <c r="P951" s="37">
        <v>43997.0</v>
      </c>
      <c r="Q951" s="22"/>
      <c r="R951" s="22"/>
      <c r="S951" s="117"/>
      <c r="T951" s="236"/>
      <c r="U951" s="176" t="s">
        <v>97</v>
      </c>
      <c r="V951" s="161"/>
      <c r="W951" s="161"/>
      <c r="X951" s="161"/>
      <c r="Y951" s="161"/>
      <c r="Z951" s="161"/>
      <c r="AA951" s="161"/>
      <c r="AB951" s="161"/>
      <c r="AC951" s="161"/>
      <c r="AD951" s="161"/>
      <c r="AE951" s="161"/>
      <c r="AF951" s="161"/>
      <c r="AG951" s="161"/>
      <c r="AH951" s="163"/>
      <c r="AI951" s="163"/>
      <c r="AJ951" s="163"/>
      <c r="AK951" s="163"/>
      <c r="AL951" s="163"/>
      <c r="AM951" s="163"/>
      <c r="AN951" s="161"/>
      <c r="AO951" s="161"/>
      <c r="AP951" s="161"/>
      <c r="AQ951" s="161"/>
      <c r="AR951" s="161"/>
      <c r="AS951" s="119"/>
    </row>
    <row r="952">
      <c r="A952" s="137">
        <v>705.0</v>
      </c>
      <c r="B952" s="315"/>
      <c r="C952" s="104" t="s">
        <v>4925</v>
      </c>
      <c r="D952" s="105" t="s">
        <v>51</v>
      </c>
      <c r="E952" s="107" t="s">
        <v>51</v>
      </c>
      <c r="F952" s="228"/>
      <c r="G952" s="183" t="s">
        <v>4926</v>
      </c>
      <c r="H952" s="151" t="s">
        <v>4927</v>
      </c>
      <c r="I952" s="175" t="s">
        <v>4928</v>
      </c>
      <c r="J952" s="155"/>
      <c r="K952" s="37">
        <v>43895.0</v>
      </c>
      <c r="L952" s="37">
        <v>43898.0</v>
      </c>
      <c r="M952" s="85" t="s">
        <v>488</v>
      </c>
      <c r="N952" s="85" t="s">
        <v>256</v>
      </c>
      <c r="O952" s="37">
        <v>43746.0</v>
      </c>
      <c r="P952" s="37">
        <v>43774.0</v>
      </c>
      <c r="Q952" s="22"/>
      <c r="R952" s="22"/>
      <c r="S952" s="117"/>
      <c r="T952" s="181"/>
      <c r="U952" s="184"/>
      <c r="V952" s="536" t="s">
        <v>97</v>
      </c>
      <c r="W952" s="184"/>
      <c r="X952" s="184"/>
      <c r="Y952" s="184"/>
      <c r="Z952" s="184"/>
      <c r="AA952" s="184"/>
      <c r="AB952" s="184"/>
      <c r="AC952" s="184"/>
      <c r="AD952" s="186"/>
      <c r="AE952" s="187"/>
      <c r="AF952" s="184"/>
      <c r="AG952" s="187"/>
      <c r="AH952" s="189"/>
      <c r="AI952" s="189"/>
      <c r="AJ952" s="189"/>
      <c r="AK952" s="189"/>
      <c r="AL952" s="189"/>
      <c r="AM952" s="189"/>
      <c r="AN952" s="187"/>
      <c r="AO952" s="187"/>
      <c r="AP952" s="184"/>
      <c r="AQ952" s="187"/>
      <c r="AR952" s="187"/>
      <c r="AS952" s="119"/>
    </row>
    <row r="953">
      <c r="A953" s="101">
        <v>828.0</v>
      </c>
      <c r="B953" s="197">
        <v>10.0</v>
      </c>
      <c r="C953" s="104" t="s">
        <v>4929</v>
      </c>
      <c r="D953" s="105" t="s">
        <v>48</v>
      </c>
      <c r="E953" s="107" t="s">
        <v>48</v>
      </c>
      <c r="F953" s="109"/>
      <c r="G953" s="10" t="s">
        <v>4930</v>
      </c>
      <c r="H953" s="17" t="s">
        <v>4931</v>
      </c>
      <c r="I953" s="34" t="s">
        <v>4932</v>
      </c>
      <c r="J953" s="155"/>
      <c r="K953" s="22" t="s">
        <v>27</v>
      </c>
      <c r="L953" s="22" t="s">
        <v>27</v>
      </c>
      <c r="M953" s="24" t="s">
        <v>611</v>
      </c>
      <c r="N953" s="24" t="s">
        <v>179</v>
      </c>
      <c r="O953" s="22" t="s">
        <v>27</v>
      </c>
      <c r="P953" s="22" t="s">
        <v>27</v>
      </c>
      <c r="Q953" s="223"/>
      <c r="R953" s="223"/>
      <c r="S953" s="224"/>
      <c r="T953" s="118"/>
      <c r="U953" s="176" t="s">
        <v>97</v>
      </c>
      <c r="V953" s="119"/>
      <c r="W953" s="119"/>
      <c r="X953" s="119"/>
      <c r="Y953" s="119"/>
      <c r="Z953" s="119"/>
      <c r="AA953" s="119"/>
      <c r="AB953" s="119"/>
      <c r="AC953" s="119"/>
      <c r="AD953" s="119"/>
      <c r="AE953" s="119"/>
      <c r="AF953" s="119"/>
      <c r="AG953" s="119"/>
      <c r="AH953" s="121"/>
      <c r="AI953" s="121"/>
      <c r="AJ953" s="121"/>
      <c r="AK953" s="121"/>
      <c r="AL953" s="121"/>
      <c r="AM953" s="121"/>
      <c r="AN953" s="119"/>
      <c r="AO953" s="119"/>
      <c r="AP953" s="119"/>
      <c r="AQ953" s="119"/>
      <c r="AR953" s="119"/>
      <c r="AS953" s="119"/>
    </row>
    <row r="954">
      <c r="A954" s="137">
        <v>708.0</v>
      </c>
      <c r="B954" s="173">
        <v>1.0</v>
      </c>
      <c r="C954" s="104" t="s">
        <v>4933</v>
      </c>
      <c r="D954" s="296" t="s">
        <v>55</v>
      </c>
      <c r="E954" s="297" t="s">
        <v>55</v>
      </c>
      <c r="F954" s="101"/>
      <c r="G954" s="40" t="s">
        <v>2020</v>
      </c>
      <c r="H954" s="582" t="s">
        <v>4934</v>
      </c>
      <c r="I954" s="175" t="s">
        <v>4934</v>
      </c>
      <c r="J954" s="155"/>
      <c r="K954" s="37">
        <v>43844.0</v>
      </c>
      <c r="L954" s="37">
        <v>43849.0</v>
      </c>
      <c r="M954" s="290" t="s">
        <v>293</v>
      </c>
      <c r="N954" s="290" t="s">
        <v>179</v>
      </c>
      <c r="O954" s="201" t="s">
        <v>24</v>
      </c>
      <c r="P954" s="201" t="s">
        <v>24</v>
      </c>
      <c r="Q954" s="223"/>
      <c r="R954" s="223"/>
      <c r="S954" s="224"/>
      <c r="T954" s="141"/>
      <c r="U954" s="119"/>
      <c r="V954" s="119"/>
      <c r="W954" s="119"/>
      <c r="X954" s="119"/>
      <c r="Y954" s="119"/>
      <c r="Z954" s="299" t="s">
        <v>97</v>
      </c>
      <c r="AA954" s="119"/>
      <c r="AB954" s="119"/>
      <c r="AC954" s="119"/>
      <c r="AD954" s="119"/>
      <c r="AE954" s="119"/>
      <c r="AF954" s="119"/>
      <c r="AG954" s="119"/>
      <c r="AH954" s="121"/>
      <c r="AI954" s="121"/>
      <c r="AJ954" s="121"/>
      <c r="AK954" s="121"/>
      <c r="AL954" s="121"/>
      <c r="AM954" s="121"/>
      <c r="AN954" s="119"/>
      <c r="AO954" s="119"/>
      <c r="AP954" s="119"/>
      <c r="AQ954" s="119"/>
      <c r="AR954" s="119"/>
      <c r="AS954" s="119"/>
    </row>
    <row r="955">
      <c r="A955" s="137">
        <v>968.0</v>
      </c>
      <c r="B955" s="122">
        <v>9.0</v>
      </c>
      <c r="C955" s="123" t="s">
        <v>4935</v>
      </c>
      <c r="D955" s="309" t="s">
        <v>59</v>
      </c>
      <c r="E955" s="311" t="s">
        <v>59</v>
      </c>
      <c r="F955" s="127"/>
      <c r="G955" s="128" t="s">
        <v>4936</v>
      </c>
      <c r="H955" s="89" t="s">
        <v>4937</v>
      </c>
      <c r="I955" s="91" t="str">
        <f>HYPERLINK("https://filmfreeway.com/TulipanesLatinoArtFilmFestival","https://filmfreeway.com/TulipanesLatinoArtFilmFestival")</f>
        <v>https://filmfreeway.com/TulipanesLatinoArtFilmFestival</v>
      </c>
      <c r="J955" s="155"/>
      <c r="K955" s="22" t="s">
        <v>27</v>
      </c>
      <c r="L955" s="22" t="s">
        <v>27</v>
      </c>
      <c r="M955" s="130" t="s">
        <v>4938</v>
      </c>
      <c r="N955" s="130" t="s">
        <v>155</v>
      </c>
      <c r="O955" s="22" t="s">
        <v>27</v>
      </c>
      <c r="P955" s="22" t="s">
        <v>27</v>
      </c>
      <c r="Q955" s="131"/>
      <c r="R955" s="132"/>
      <c r="S955" s="132"/>
      <c r="T955" s="118"/>
      <c r="U955" s="119"/>
      <c r="V955" s="119"/>
      <c r="W955" s="119"/>
      <c r="X955" s="119"/>
      <c r="Y955" s="134"/>
      <c r="Z955" s="119"/>
      <c r="AA955" s="119"/>
      <c r="AB955" s="119"/>
      <c r="AC955" s="551" t="s">
        <v>97</v>
      </c>
      <c r="AD955" s="119"/>
      <c r="AE955" s="119"/>
      <c r="AF955" s="119"/>
      <c r="AG955" s="119"/>
      <c r="AH955" s="121"/>
      <c r="AI955" s="121"/>
      <c r="AJ955" s="121"/>
      <c r="AK955" s="121"/>
      <c r="AL955" s="121"/>
      <c r="AM955" s="135"/>
      <c r="AN955" s="119"/>
      <c r="AO955" s="119"/>
      <c r="AP955" s="119"/>
      <c r="AQ955" s="119"/>
      <c r="AR955" s="119"/>
      <c r="AS955" s="119"/>
    </row>
    <row r="956">
      <c r="A956" s="101">
        <v>706.0</v>
      </c>
      <c r="B956" s="150">
        <v>10.0</v>
      </c>
      <c r="C956" s="104" t="s">
        <v>4939</v>
      </c>
      <c r="D956" s="105" t="s">
        <v>48</v>
      </c>
      <c r="E956" s="107" t="s">
        <v>48</v>
      </c>
      <c r="F956" s="101"/>
      <c r="G956" s="40" t="s">
        <v>4940</v>
      </c>
      <c r="H956" s="55" t="s">
        <v>4941</v>
      </c>
      <c r="I956" s="69" t="s">
        <v>4942</v>
      </c>
      <c r="J956" s="155"/>
      <c r="K956" s="22" t="s">
        <v>27</v>
      </c>
      <c r="L956" s="22" t="s">
        <v>27</v>
      </c>
      <c r="M956" s="73" t="s">
        <v>4914</v>
      </c>
      <c r="N956" s="179" t="s">
        <v>283</v>
      </c>
      <c r="O956" s="22" t="s">
        <v>27</v>
      </c>
      <c r="P956" s="22" t="s">
        <v>27</v>
      </c>
      <c r="Q956" s="22"/>
      <c r="R956" s="22"/>
      <c r="S956" s="117"/>
      <c r="T956" s="236"/>
      <c r="U956" s="176" t="s">
        <v>97</v>
      </c>
      <c r="V956" s="161"/>
      <c r="W956" s="161"/>
      <c r="X956" s="161"/>
      <c r="Y956" s="161"/>
      <c r="Z956" s="161"/>
      <c r="AA956" s="161"/>
      <c r="AB956" s="161"/>
      <c r="AC956" s="161"/>
      <c r="AD956" s="161"/>
      <c r="AE956" s="161"/>
      <c r="AF956" s="161"/>
      <c r="AG956" s="161"/>
      <c r="AH956" s="163"/>
      <c r="AI956" s="163"/>
      <c r="AJ956" s="163"/>
      <c r="AK956" s="163"/>
      <c r="AL956" s="163"/>
      <c r="AM956" s="163"/>
      <c r="AN956" s="161"/>
      <c r="AO956" s="161"/>
      <c r="AP956" s="161"/>
      <c r="AQ956" s="161"/>
      <c r="AR956" s="161"/>
      <c r="AS956" s="119"/>
    </row>
    <row r="957">
      <c r="A957" s="137">
        <v>864.0</v>
      </c>
      <c r="B957" s="103">
        <v>0.0</v>
      </c>
      <c r="C957" s="104" t="s">
        <v>4943</v>
      </c>
      <c r="D957" s="105" t="s">
        <v>48</v>
      </c>
      <c r="E957" s="107" t="s">
        <v>48</v>
      </c>
      <c r="F957" s="109"/>
      <c r="G957" s="10" t="s">
        <v>4944</v>
      </c>
      <c r="H957" s="17" t="s">
        <v>4945</v>
      </c>
      <c r="I957" s="787" t="s">
        <v>4946</v>
      </c>
      <c r="J957" s="155"/>
      <c r="K957" s="22" t="s">
        <v>27</v>
      </c>
      <c r="L957" s="22" t="s">
        <v>27</v>
      </c>
      <c r="M957" s="24" t="s">
        <v>4914</v>
      </c>
      <c r="N957" s="24" t="s">
        <v>283</v>
      </c>
      <c r="O957" s="22" t="s">
        <v>27</v>
      </c>
      <c r="P957" s="22" t="s">
        <v>27</v>
      </c>
      <c r="Q957" s="223"/>
      <c r="R957" s="223"/>
      <c r="S957" s="224"/>
      <c r="T957" s="118"/>
      <c r="U957" s="176" t="s">
        <v>97</v>
      </c>
      <c r="V957" s="119"/>
      <c r="W957" s="119"/>
      <c r="X957" s="119"/>
      <c r="Y957" s="119"/>
      <c r="Z957" s="119"/>
      <c r="AA957" s="119"/>
      <c r="AB957" s="119"/>
      <c r="AC957" s="119"/>
      <c r="AD957" s="119"/>
      <c r="AE957" s="119"/>
      <c r="AF957" s="119"/>
      <c r="AG957" s="119"/>
      <c r="AH957" s="121"/>
      <c r="AI957" s="121"/>
      <c r="AJ957" s="121"/>
      <c r="AK957" s="121"/>
      <c r="AL957" s="121"/>
      <c r="AM957" s="121"/>
      <c r="AN957" s="119"/>
      <c r="AO957" s="119"/>
      <c r="AP957" s="119"/>
      <c r="AQ957" s="119"/>
      <c r="AR957" s="119"/>
      <c r="AS957" s="119"/>
    </row>
    <row r="958">
      <c r="A958" s="137">
        <v>707.0</v>
      </c>
      <c r="B958" s="177"/>
      <c r="C958" s="104" t="s">
        <v>4947</v>
      </c>
      <c r="D958" s="105" t="s">
        <v>48</v>
      </c>
      <c r="E958" s="107" t="s">
        <v>48</v>
      </c>
      <c r="F958" s="178"/>
      <c r="G958" s="77" t="s">
        <v>396</v>
      </c>
      <c r="H958" s="81" t="s">
        <v>398</v>
      </c>
      <c r="I958" s="84" t="s">
        <v>400</v>
      </c>
      <c r="J958" s="20" t="s">
        <v>78</v>
      </c>
      <c r="K958" s="37">
        <v>43937.0</v>
      </c>
      <c r="L958" s="37">
        <v>43939.0</v>
      </c>
      <c r="M958" s="85" t="s">
        <v>404</v>
      </c>
      <c r="N958" s="85" t="s">
        <v>405</v>
      </c>
      <c r="O958" s="113">
        <v>43800.0</v>
      </c>
      <c r="P958" s="37">
        <v>43828.0</v>
      </c>
      <c r="Q958" s="22"/>
      <c r="R958" s="22"/>
      <c r="S958" s="117"/>
      <c r="T958" s="181"/>
      <c r="U958" s="182" t="s">
        <v>97</v>
      </c>
      <c r="V958" s="184"/>
      <c r="W958" s="184"/>
      <c r="X958" s="184"/>
      <c r="Y958" s="184"/>
      <c r="Z958" s="184"/>
      <c r="AA958" s="184"/>
      <c r="AB958" s="184"/>
      <c r="AC958" s="184"/>
      <c r="AD958" s="186"/>
      <c r="AE958" s="187"/>
      <c r="AF958" s="184"/>
      <c r="AG958" s="187"/>
      <c r="AH958" s="189"/>
      <c r="AI958" s="189"/>
      <c r="AJ958" s="189"/>
      <c r="AK958" s="189"/>
      <c r="AL958" s="189"/>
      <c r="AM958" s="189"/>
      <c r="AN958" s="187"/>
      <c r="AO958" s="187"/>
      <c r="AP958" s="184"/>
      <c r="AQ958" s="187"/>
      <c r="AR958" s="187"/>
      <c r="AS958" s="119"/>
    </row>
    <row r="959">
      <c r="A959" s="101">
        <v>709.0</v>
      </c>
      <c r="B959" s="173">
        <v>9.0</v>
      </c>
      <c r="C959" s="104" t="s">
        <v>4948</v>
      </c>
      <c r="D959" s="138" t="s">
        <v>61</v>
      </c>
      <c r="E959" s="107" t="s">
        <v>477</v>
      </c>
      <c r="F959" s="101"/>
      <c r="G959" s="40" t="s">
        <v>4949</v>
      </c>
      <c r="H959" s="55" t="s">
        <v>4950</v>
      </c>
      <c r="I959" s="175" t="s">
        <v>4951</v>
      </c>
      <c r="J959" s="155"/>
      <c r="K959" s="22" t="s">
        <v>27</v>
      </c>
      <c r="L959" s="22" t="s">
        <v>27</v>
      </c>
      <c r="M959" s="73" t="s">
        <v>335</v>
      </c>
      <c r="N959" s="179" t="s">
        <v>336</v>
      </c>
      <c r="O959" s="22" t="s">
        <v>27</v>
      </c>
      <c r="P959" s="22" t="s">
        <v>27</v>
      </c>
      <c r="Q959" s="22"/>
      <c r="R959" s="22"/>
      <c r="S959" s="117"/>
      <c r="T959" s="236"/>
      <c r="U959" s="161"/>
      <c r="V959" s="161"/>
      <c r="W959" s="161"/>
      <c r="X959" s="161"/>
      <c r="Y959" s="161"/>
      <c r="Z959" s="161"/>
      <c r="AA959" s="161"/>
      <c r="AB959" s="161"/>
      <c r="AC959" s="161"/>
      <c r="AD959" s="161"/>
      <c r="AE959" s="277" t="s">
        <v>97</v>
      </c>
      <c r="AF959" s="161"/>
      <c r="AG959" s="161"/>
      <c r="AH959" s="163"/>
      <c r="AI959" s="163"/>
      <c r="AJ959" s="163"/>
      <c r="AK959" s="163"/>
      <c r="AL959" s="163"/>
      <c r="AM959" s="163"/>
      <c r="AN959" s="161"/>
      <c r="AO959" s="161"/>
      <c r="AP959" s="161"/>
      <c r="AQ959" s="161"/>
      <c r="AR959" s="161"/>
      <c r="AS959" s="119"/>
    </row>
    <row r="960">
      <c r="A960" s="137">
        <v>710.0</v>
      </c>
      <c r="B960" s="150">
        <v>10.0</v>
      </c>
      <c r="C960" s="104" t="s">
        <v>4952</v>
      </c>
      <c r="D960" s="138" t="s">
        <v>56</v>
      </c>
      <c r="E960" s="156" t="s">
        <v>227</v>
      </c>
      <c r="F960" s="101"/>
      <c r="G960" s="40" t="s">
        <v>4953</v>
      </c>
      <c r="H960" s="55" t="s">
        <v>4954</v>
      </c>
      <c r="I960" s="69" t="s">
        <v>4955</v>
      </c>
      <c r="J960" s="155"/>
      <c r="K960" s="37">
        <v>44125.0</v>
      </c>
      <c r="L960" s="37">
        <v>44128.0</v>
      </c>
      <c r="M960" s="73" t="s">
        <v>335</v>
      </c>
      <c r="N960" s="179" t="s">
        <v>336</v>
      </c>
      <c r="O960" s="37">
        <v>44043.0</v>
      </c>
      <c r="P960" s="37">
        <v>44043.0</v>
      </c>
      <c r="Q960" s="22"/>
      <c r="R960" s="22"/>
      <c r="S960" s="117"/>
      <c r="T960" s="236"/>
      <c r="U960" s="161"/>
      <c r="V960" s="161"/>
      <c r="W960" s="161"/>
      <c r="X960" s="161"/>
      <c r="Y960" s="161"/>
      <c r="Z960" s="161"/>
      <c r="AA960" s="218" t="s">
        <v>97</v>
      </c>
      <c r="AB960" s="161"/>
      <c r="AC960" s="161"/>
      <c r="AD960" s="161"/>
      <c r="AE960" s="161"/>
      <c r="AF960" s="161"/>
      <c r="AG960" s="161"/>
      <c r="AH960" s="163"/>
      <c r="AI960" s="163"/>
      <c r="AJ960" s="163"/>
      <c r="AK960" s="163"/>
      <c r="AL960" s="163"/>
      <c r="AM960" s="163"/>
      <c r="AN960" s="161"/>
      <c r="AO960" s="161"/>
      <c r="AP960" s="161"/>
      <c r="AQ960" s="161"/>
      <c r="AR960" s="161"/>
      <c r="AS960" s="119"/>
    </row>
    <row r="961">
      <c r="A961" s="137">
        <v>711.0</v>
      </c>
      <c r="B961" s="406">
        <v>10.0</v>
      </c>
      <c r="C961" s="104" t="s">
        <v>4956</v>
      </c>
      <c r="D961" s="105" t="s">
        <v>48</v>
      </c>
      <c r="E961" s="107" t="s">
        <v>48</v>
      </c>
      <c r="F961" s="627"/>
      <c r="G961" s="628" t="s">
        <v>4957</v>
      </c>
      <c r="H961" s="81" t="s">
        <v>4958</v>
      </c>
      <c r="I961" s="409" t="s">
        <v>4959</v>
      </c>
      <c r="J961" s="155"/>
      <c r="K961" s="37">
        <v>44125.0</v>
      </c>
      <c r="L961" s="37">
        <v>44135.0</v>
      </c>
      <c r="M961" s="410" t="s">
        <v>335</v>
      </c>
      <c r="N961" s="410" t="s">
        <v>336</v>
      </c>
      <c r="O961" s="37">
        <v>43913.0</v>
      </c>
      <c r="P961" s="37">
        <v>44032.0</v>
      </c>
      <c r="Q961" s="22"/>
      <c r="R961" s="22"/>
      <c r="S961" s="117"/>
      <c r="T961" s="411"/>
      <c r="U961" s="412" t="s">
        <v>97</v>
      </c>
      <c r="V961" s="413"/>
      <c r="W961" s="413"/>
      <c r="X961" s="413"/>
      <c r="Y961" s="413"/>
      <c r="Z961" s="413"/>
      <c r="AA961" s="413"/>
      <c r="AB961" s="413"/>
      <c r="AC961" s="413"/>
      <c r="AD961" s="186"/>
      <c r="AE961" s="187"/>
      <c r="AF961" s="413"/>
      <c r="AG961" s="187"/>
      <c r="AH961" s="189"/>
      <c r="AI961" s="189"/>
      <c r="AJ961" s="189"/>
      <c r="AK961" s="189"/>
      <c r="AL961" s="189"/>
      <c r="AM961" s="189"/>
      <c r="AN961" s="187"/>
      <c r="AO961" s="187"/>
      <c r="AP961" s="413"/>
      <c r="AQ961" s="187"/>
      <c r="AR961" s="187"/>
      <c r="AS961" s="119"/>
    </row>
    <row r="962">
      <c r="A962" s="101">
        <v>712.0</v>
      </c>
      <c r="B962" s="150">
        <v>9.0</v>
      </c>
      <c r="C962" s="104" t="s">
        <v>4960</v>
      </c>
      <c r="D962" s="296" t="s">
        <v>55</v>
      </c>
      <c r="E962" s="297" t="s">
        <v>55</v>
      </c>
      <c r="F962" s="101"/>
      <c r="G962" s="40" t="s">
        <v>4961</v>
      </c>
      <c r="H962" s="55" t="s">
        <v>4962</v>
      </c>
      <c r="I962" s="69" t="s">
        <v>4963</v>
      </c>
      <c r="J962" s="155"/>
      <c r="K962" s="37">
        <v>44121.0</v>
      </c>
      <c r="L962" s="37">
        <v>44136.0</v>
      </c>
      <c r="M962" s="73" t="s">
        <v>4964</v>
      </c>
      <c r="N962" s="179" t="s">
        <v>336</v>
      </c>
      <c r="O962" s="37">
        <v>43913.0</v>
      </c>
      <c r="P962" s="37">
        <v>43969.0</v>
      </c>
      <c r="Q962" s="22"/>
      <c r="R962" s="22"/>
      <c r="S962" s="117"/>
      <c r="T962" s="236"/>
      <c r="U962" s="161"/>
      <c r="V962" s="161"/>
      <c r="W962" s="161"/>
      <c r="X962" s="161"/>
      <c r="Y962" s="161"/>
      <c r="Z962" s="299" t="s">
        <v>97</v>
      </c>
      <c r="AA962" s="161"/>
      <c r="AB962" s="161"/>
      <c r="AC962" s="161"/>
      <c r="AD962" s="161"/>
      <c r="AE962" s="161"/>
      <c r="AF962" s="161"/>
      <c r="AG962" s="161"/>
      <c r="AH962" s="163"/>
      <c r="AI962" s="163"/>
      <c r="AJ962" s="163"/>
      <c r="AK962" s="163"/>
      <c r="AL962" s="163"/>
      <c r="AM962" s="163"/>
      <c r="AN962" s="161"/>
      <c r="AO962" s="161"/>
      <c r="AP962" s="161"/>
      <c r="AQ962" s="161"/>
      <c r="AR962" s="161"/>
      <c r="AS962" s="119"/>
    </row>
    <row r="963">
      <c r="A963" s="137">
        <v>820.0</v>
      </c>
      <c r="B963" s="197">
        <v>11.0</v>
      </c>
      <c r="C963" s="104" t="s">
        <v>4965</v>
      </c>
      <c r="D963" s="105" t="s">
        <v>48</v>
      </c>
      <c r="E963" s="107" t="s">
        <v>48</v>
      </c>
      <c r="F963" s="109"/>
      <c r="G963" s="10" t="s">
        <v>4966</v>
      </c>
      <c r="H963" s="17" t="s">
        <v>4967</v>
      </c>
      <c r="I963" s="34" t="s">
        <v>4968</v>
      </c>
      <c r="J963" s="155"/>
      <c r="K963" s="37">
        <v>44141.0</v>
      </c>
      <c r="L963" s="37">
        <v>44142.0</v>
      </c>
      <c r="M963" s="24" t="s">
        <v>4969</v>
      </c>
      <c r="N963" s="24" t="s">
        <v>1186</v>
      </c>
      <c r="O963" s="37">
        <v>43840.0</v>
      </c>
      <c r="P963" s="37">
        <v>44105.0</v>
      </c>
      <c r="Q963" s="223"/>
      <c r="R963" s="223"/>
      <c r="S963" s="224"/>
      <c r="T963" s="118"/>
      <c r="U963" s="176" t="s">
        <v>97</v>
      </c>
      <c r="V963" s="119"/>
      <c r="W963" s="119"/>
      <c r="X963" s="119"/>
      <c r="Y963" s="119"/>
      <c r="Z963" s="119"/>
      <c r="AA963" s="119"/>
      <c r="AB963" s="119"/>
      <c r="AC963" s="119"/>
      <c r="AD963" s="119"/>
      <c r="AE963" s="119"/>
      <c r="AF963" s="119"/>
      <c r="AG963" s="119"/>
      <c r="AH963" s="121"/>
      <c r="AI963" s="121"/>
      <c r="AJ963" s="121"/>
      <c r="AK963" s="121"/>
      <c r="AL963" s="121"/>
      <c r="AM963" s="121"/>
      <c r="AN963" s="119"/>
      <c r="AO963" s="119"/>
      <c r="AP963" s="119"/>
      <c r="AQ963" s="119"/>
      <c r="AR963" s="119"/>
      <c r="AS963" s="119"/>
    </row>
    <row r="964">
      <c r="A964" s="137">
        <v>713.0</v>
      </c>
      <c r="B964" s="150"/>
      <c r="C964" s="104" t="s">
        <v>4970</v>
      </c>
      <c r="D964" s="105" t="s">
        <v>48</v>
      </c>
      <c r="E964" s="107" t="s">
        <v>48</v>
      </c>
      <c r="F964" s="101"/>
      <c r="G964" s="40" t="s">
        <v>4971</v>
      </c>
      <c r="H964" s="55" t="s">
        <v>4972</v>
      </c>
      <c r="I964" s="69" t="s">
        <v>4973</v>
      </c>
      <c r="J964" s="155"/>
      <c r="K964" s="37">
        <v>43951.0</v>
      </c>
      <c r="L964" s="37">
        <v>43953.0</v>
      </c>
      <c r="M964" s="73" t="s">
        <v>4974</v>
      </c>
      <c r="N964" s="179" t="s">
        <v>283</v>
      </c>
      <c r="O964" s="113">
        <v>43831.0</v>
      </c>
      <c r="P964" s="37">
        <v>43891.0</v>
      </c>
      <c r="Q964" s="22"/>
      <c r="R964" s="22"/>
      <c r="S964" s="117"/>
      <c r="T964" s="236"/>
      <c r="U964" s="176" t="s">
        <v>97</v>
      </c>
      <c r="V964" s="161"/>
      <c r="W964" s="161"/>
      <c r="X964" s="161"/>
      <c r="Y964" s="161"/>
      <c r="Z964" s="161"/>
      <c r="AA964" s="161"/>
      <c r="AB964" s="161"/>
      <c r="AC964" s="161"/>
      <c r="AD964" s="161"/>
      <c r="AE964" s="161"/>
      <c r="AF964" s="161"/>
      <c r="AG964" s="161"/>
      <c r="AH964" s="163"/>
      <c r="AI964" s="163"/>
      <c r="AJ964" s="163"/>
      <c r="AK964" s="163"/>
      <c r="AL964" s="163"/>
      <c r="AM964" s="163"/>
      <c r="AN964" s="161"/>
      <c r="AO964" s="161"/>
      <c r="AP964" s="161"/>
      <c r="AQ964" s="161"/>
      <c r="AR964" s="161"/>
      <c r="AS964" s="119"/>
    </row>
    <row r="965">
      <c r="A965" s="137">
        <v>714.0</v>
      </c>
      <c r="B965" s="150"/>
      <c r="C965" s="104" t="s">
        <v>4975</v>
      </c>
      <c r="D965" s="138" t="s">
        <v>71</v>
      </c>
      <c r="E965" s="107" t="s">
        <v>71</v>
      </c>
      <c r="F965" s="101"/>
      <c r="G965" s="40" t="s">
        <v>830</v>
      </c>
      <c r="H965" s="55" t="s">
        <v>831</v>
      </c>
      <c r="I965" s="69" t="s">
        <v>833</v>
      </c>
      <c r="J965" s="20" t="s">
        <v>78</v>
      </c>
      <c r="K965" s="37">
        <v>43908.0</v>
      </c>
      <c r="L965" s="37">
        <v>43911.0</v>
      </c>
      <c r="M965" s="73" t="s">
        <v>835</v>
      </c>
      <c r="N965" s="179" t="s">
        <v>489</v>
      </c>
      <c r="O965" s="113">
        <v>43744.0</v>
      </c>
      <c r="P965" s="37">
        <v>43814.0</v>
      </c>
      <c r="Q965" s="22"/>
      <c r="R965" s="22"/>
      <c r="S965" s="117"/>
      <c r="T965" s="236"/>
      <c r="U965" s="161"/>
      <c r="V965" s="161"/>
      <c r="W965" s="120" t="s">
        <v>97</v>
      </c>
      <c r="X965" s="161"/>
      <c r="Y965" s="161"/>
      <c r="Z965" s="161"/>
      <c r="AA965" s="161"/>
      <c r="AB965" s="161"/>
      <c r="AC965" s="161"/>
      <c r="AD965" s="161"/>
      <c r="AE965" s="161"/>
      <c r="AF965" s="161"/>
      <c r="AG965" s="161"/>
      <c r="AH965" s="163"/>
      <c r="AI965" s="163"/>
      <c r="AJ965" s="163"/>
      <c r="AK965" s="163"/>
      <c r="AL965" s="163"/>
      <c r="AM965" s="163"/>
      <c r="AN965" s="161"/>
      <c r="AO965" s="161"/>
      <c r="AP965" s="161"/>
      <c r="AQ965" s="161"/>
      <c r="AR965" s="161"/>
      <c r="AS965" s="119"/>
    </row>
    <row r="966">
      <c r="A966" s="101">
        <v>781.0</v>
      </c>
      <c r="B966" s="173"/>
      <c r="C966" s="104" t="s">
        <v>4976</v>
      </c>
      <c r="D966" s="138" t="s">
        <v>59</v>
      </c>
      <c r="E966" s="107" t="s">
        <v>352</v>
      </c>
      <c r="F966" s="109"/>
      <c r="G966" s="10" t="s">
        <v>2026</v>
      </c>
      <c r="H966" s="17" t="s">
        <v>4977</v>
      </c>
      <c r="I966" s="175" t="s">
        <v>4978</v>
      </c>
      <c r="J966" s="112"/>
      <c r="K966" s="113">
        <v>44056.0</v>
      </c>
      <c r="L966" s="113">
        <v>44059.0</v>
      </c>
      <c r="M966" s="24" t="s">
        <v>1090</v>
      </c>
      <c r="N966" s="24" t="s">
        <v>622</v>
      </c>
      <c r="O966" s="114">
        <v>43830.0</v>
      </c>
      <c r="P966" s="114">
        <v>43966.0</v>
      </c>
      <c r="Q966" s="115"/>
      <c r="R966" s="115"/>
      <c r="S966" s="117"/>
      <c r="T966" s="118"/>
      <c r="U966" s="119"/>
      <c r="V966" s="119"/>
      <c r="W966" s="119"/>
      <c r="X966" s="119"/>
      <c r="Y966" s="119"/>
      <c r="Z966" s="119"/>
      <c r="AA966" s="119"/>
      <c r="AB966" s="119"/>
      <c r="AC966" s="551" t="s">
        <v>97</v>
      </c>
      <c r="AD966" s="119"/>
      <c r="AE966" s="119"/>
      <c r="AF966" s="119"/>
      <c r="AG966" s="119"/>
      <c r="AH966" s="121"/>
      <c r="AI966" s="121"/>
      <c r="AJ966" s="121"/>
      <c r="AK966" s="121"/>
      <c r="AL966" s="121"/>
      <c r="AM966" s="121"/>
      <c r="AN966" s="119"/>
      <c r="AO966" s="119"/>
      <c r="AP966" s="119"/>
      <c r="AQ966" s="119"/>
      <c r="AR966" s="119"/>
      <c r="AS966" s="119"/>
    </row>
    <row r="967">
      <c r="A967" s="101">
        <v>715.0</v>
      </c>
      <c r="B967" s="177">
        <v>10.0</v>
      </c>
      <c r="C967" s="104" t="s">
        <v>4979</v>
      </c>
      <c r="D967" s="105" t="s">
        <v>51</v>
      </c>
      <c r="E967" s="107" t="s">
        <v>51</v>
      </c>
      <c r="F967" s="178"/>
      <c r="G967" s="77" t="s">
        <v>4980</v>
      </c>
      <c r="H967" s="81" t="s">
        <v>4981</v>
      </c>
      <c r="I967" s="84" t="s">
        <v>4982</v>
      </c>
      <c r="J967" s="155"/>
      <c r="K967" s="37">
        <v>44119.0</v>
      </c>
      <c r="L967" s="37">
        <v>44129.0</v>
      </c>
      <c r="M967" s="85" t="s">
        <v>4983</v>
      </c>
      <c r="N967" s="85" t="s">
        <v>72</v>
      </c>
      <c r="O967" s="37">
        <v>43953.0</v>
      </c>
      <c r="P967" s="37">
        <v>43971.0</v>
      </c>
      <c r="Q967" s="373"/>
      <c r="R967" s="373"/>
      <c r="S967" s="224"/>
      <c r="T967" s="181"/>
      <c r="U967" s="184"/>
      <c r="V967" s="536" t="s">
        <v>97</v>
      </c>
      <c r="W967" s="184"/>
      <c r="X967" s="184"/>
      <c r="Y967" s="184"/>
      <c r="Z967" s="184"/>
      <c r="AA967" s="184"/>
      <c r="AB967" s="184"/>
      <c r="AC967" s="184"/>
      <c r="AD967" s="186"/>
      <c r="AE967" s="187"/>
      <c r="AF967" s="184"/>
      <c r="AG967" s="187"/>
      <c r="AH967" s="189"/>
      <c r="AI967" s="189"/>
      <c r="AJ967" s="189"/>
      <c r="AK967" s="189"/>
      <c r="AL967" s="189"/>
      <c r="AM967" s="189"/>
      <c r="AN967" s="187"/>
      <c r="AO967" s="187"/>
      <c r="AP967" s="184"/>
      <c r="AQ967" s="187"/>
      <c r="AR967" s="187"/>
      <c r="AS967" s="119"/>
    </row>
    <row r="968">
      <c r="A968" s="101">
        <v>995.0</v>
      </c>
      <c r="B968" s="284"/>
      <c r="C968" s="123" t="s">
        <v>4984</v>
      </c>
      <c r="D968" s="285" t="s">
        <v>71</v>
      </c>
      <c r="E968" s="287" t="s">
        <v>71</v>
      </c>
      <c r="F968" s="127"/>
      <c r="G968" s="128" t="s">
        <v>4985</v>
      </c>
      <c r="H968" s="89" t="s">
        <v>4986</v>
      </c>
      <c r="I968" s="91" t="str">
        <f>HYPERLINK("https://filmfreeway.com/UnitedStatesSuper8FilmandDigitalVideoFestival","https://filmfreeway.com/UnitedStatesSuper8FilmandDigitalVideoFestival")</f>
        <v>https://filmfreeway.com/UnitedStatesSuper8FilmandDigitalVideoFestival</v>
      </c>
      <c r="J968" s="288"/>
      <c r="K968" s="145">
        <v>43883.0</v>
      </c>
      <c r="L968" s="145">
        <v>43884.0</v>
      </c>
      <c r="M968" s="130" t="s">
        <v>3697</v>
      </c>
      <c r="N968" s="130" t="s">
        <v>412</v>
      </c>
      <c r="O968" s="145">
        <v>43697.0</v>
      </c>
      <c r="P968" s="145">
        <v>43809.0</v>
      </c>
      <c r="Q968" s="131"/>
      <c r="R968" s="132"/>
      <c r="S968" s="132"/>
      <c r="T968" s="118"/>
      <c r="U968" s="119"/>
      <c r="V968" s="119"/>
      <c r="W968" s="119"/>
      <c r="X968" s="119"/>
      <c r="Y968" s="134"/>
      <c r="Z968" s="119"/>
      <c r="AA968" s="119"/>
      <c r="AB968" s="119"/>
      <c r="AC968" s="119"/>
      <c r="AD968" s="119"/>
      <c r="AE968" s="119"/>
      <c r="AF968" s="119"/>
      <c r="AG968" s="119"/>
      <c r="AH968" s="121"/>
      <c r="AI968" s="121"/>
      <c r="AJ968" s="121"/>
      <c r="AK968" s="121"/>
      <c r="AL968" s="121"/>
      <c r="AM968" s="165" t="s">
        <v>97</v>
      </c>
      <c r="AN968" s="119"/>
      <c r="AO968" s="119"/>
      <c r="AP968" s="119"/>
      <c r="AQ968" s="119"/>
      <c r="AR968" s="119"/>
      <c r="AS968" s="119"/>
    </row>
    <row r="969">
      <c r="A969" s="137">
        <v>996.0</v>
      </c>
      <c r="B969" s="284"/>
      <c r="C969" s="123" t="s">
        <v>4987</v>
      </c>
      <c r="D969" s="507" t="s">
        <v>71</v>
      </c>
      <c r="E969" s="371" t="s">
        <v>71</v>
      </c>
      <c r="F969" s="312"/>
      <c r="G969" s="216" t="s">
        <v>1114</v>
      </c>
      <c r="H969" s="89" t="s">
        <v>1115</v>
      </c>
      <c r="I969" s="91" t="str">
        <f>HYPERLINK("https://filmfreeway.com/UniverseMulticulturalFilmFestival","https://filmfreeway.com/UniverseMulticulturalFilmFestival")</f>
        <v>https://filmfreeway.com/UniverseMulticulturalFilmFestival</v>
      </c>
      <c r="J969" s="93" t="s">
        <v>1116</v>
      </c>
      <c r="K969" s="145">
        <v>43924.0</v>
      </c>
      <c r="L969" s="145">
        <v>43926.0</v>
      </c>
      <c r="M969" s="130" t="s">
        <v>1117</v>
      </c>
      <c r="N969" s="130" t="s">
        <v>72</v>
      </c>
      <c r="O969" s="145">
        <v>43738.0</v>
      </c>
      <c r="P969" s="145">
        <v>43889.0</v>
      </c>
      <c r="Q969" s="131"/>
      <c r="R969" s="132"/>
      <c r="S969" s="132"/>
      <c r="T969" s="118"/>
      <c r="U969" s="119"/>
      <c r="V969" s="119"/>
      <c r="W969" s="119"/>
      <c r="X969" s="119"/>
      <c r="Y969" s="134"/>
      <c r="Z969" s="119"/>
      <c r="AA969" s="119"/>
      <c r="AB969" s="119"/>
      <c r="AC969" s="119"/>
      <c r="AD969" s="119"/>
      <c r="AE969" s="119"/>
      <c r="AF969" s="119"/>
      <c r="AG969" s="119"/>
      <c r="AH969" s="121"/>
      <c r="AI969" s="121"/>
      <c r="AJ969" s="121"/>
      <c r="AK969" s="121"/>
      <c r="AL969" s="121"/>
      <c r="AM969" s="165" t="s">
        <v>97</v>
      </c>
      <c r="AN969" s="119"/>
      <c r="AO969" s="119"/>
      <c r="AP969" s="119"/>
      <c r="AQ969" s="119"/>
      <c r="AR969" s="119"/>
      <c r="AS969" s="119"/>
    </row>
    <row r="970">
      <c r="A970" s="137">
        <v>924.0</v>
      </c>
      <c r="B970" s="122">
        <v>5.0</v>
      </c>
      <c r="C970" s="123" t="s">
        <v>4988</v>
      </c>
      <c r="D970" s="124" t="s">
        <v>70</v>
      </c>
      <c r="E970" s="126" t="s">
        <v>112</v>
      </c>
      <c r="F970" s="127"/>
      <c r="G970" s="128" t="s">
        <v>4989</v>
      </c>
      <c r="H970" s="89" t="s">
        <v>4990</v>
      </c>
      <c r="I970" s="91" t="str">
        <f>HYPERLINK("https://filmfreeway.com/unoff","https://filmfreeway.com/unoff")</f>
        <v>https://filmfreeway.com/unoff</v>
      </c>
      <c r="J970" s="155"/>
      <c r="K970" s="22" t="s">
        <v>27</v>
      </c>
      <c r="L970" s="22" t="s">
        <v>27</v>
      </c>
      <c r="M970" s="130" t="s">
        <v>536</v>
      </c>
      <c r="N970" s="130" t="s">
        <v>537</v>
      </c>
      <c r="O970" s="22" t="s">
        <v>27</v>
      </c>
      <c r="P970" s="22" t="s">
        <v>27</v>
      </c>
      <c r="Q970" s="131"/>
      <c r="R970" s="132"/>
      <c r="S970" s="132"/>
      <c r="T970" s="118"/>
      <c r="U970" s="119"/>
      <c r="V970" s="119"/>
      <c r="W970" s="120" t="s">
        <v>97</v>
      </c>
      <c r="X970" s="119"/>
      <c r="Y970" s="134"/>
      <c r="Z970" s="119"/>
      <c r="AA970" s="119"/>
      <c r="AB970" s="119"/>
      <c r="AC970" s="119"/>
      <c r="AD970" s="119"/>
      <c r="AE970" s="119"/>
      <c r="AF970" s="119"/>
      <c r="AG970" s="119"/>
      <c r="AH970" s="121"/>
      <c r="AI970" s="121"/>
      <c r="AJ970" s="121"/>
      <c r="AK970" s="121"/>
      <c r="AL970" s="149" t="s">
        <v>97</v>
      </c>
      <c r="AM970" s="135"/>
      <c r="AN970" s="119"/>
      <c r="AO970" s="119"/>
      <c r="AP970" s="119"/>
      <c r="AQ970" s="119"/>
      <c r="AR970" s="119"/>
      <c r="AS970" s="119"/>
    </row>
    <row r="971">
      <c r="A971" s="137">
        <v>716.0</v>
      </c>
      <c r="B971" s="150"/>
      <c r="C971" s="104" t="s">
        <v>4991</v>
      </c>
      <c r="D971" s="138" t="s">
        <v>56</v>
      </c>
      <c r="E971" s="156" t="s">
        <v>227</v>
      </c>
      <c r="F971" s="101"/>
      <c r="G971" s="40" t="s">
        <v>4992</v>
      </c>
      <c r="H971" s="55" t="s">
        <v>4993</v>
      </c>
      <c r="I971" s="69" t="s">
        <v>4994</v>
      </c>
      <c r="J971" s="155"/>
      <c r="K971" s="37">
        <v>44078.0</v>
      </c>
      <c r="L971" s="37">
        <v>44080.0</v>
      </c>
      <c r="M971" s="73" t="s">
        <v>880</v>
      </c>
      <c r="N971" s="179" t="s">
        <v>46</v>
      </c>
      <c r="O971" s="113">
        <v>43830.0</v>
      </c>
      <c r="P971" s="37">
        <v>44022.0</v>
      </c>
      <c r="Q971" s="22"/>
      <c r="R971" s="22"/>
      <c r="S971" s="117"/>
      <c r="T971" s="236"/>
      <c r="U971" s="161"/>
      <c r="V971" s="161"/>
      <c r="W971" s="161"/>
      <c r="X971" s="161"/>
      <c r="Y971" s="161"/>
      <c r="Z971" s="161"/>
      <c r="AA971" s="218" t="s">
        <v>97</v>
      </c>
      <c r="AB971" s="161"/>
      <c r="AC971" s="161"/>
      <c r="AD971" s="161"/>
      <c r="AE971" s="161"/>
      <c r="AF971" s="161"/>
      <c r="AG971" s="161"/>
      <c r="AH971" s="163"/>
      <c r="AI971" s="163"/>
      <c r="AJ971" s="163"/>
      <c r="AK971" s="163"/>
      <c r="AL971" s="163"/>
      <c r="AM971" s="163"/>
      <c r="AN971" s="161"/>
      <c r="AO971" s="161"/>
      <c r="AP971" s="161"/>
      <c r="AQ971" s="161"/>
      <c r="AR971" s="161"/>
      <c r="AS971" s="119"/>
    </row>
    <row r="972">
      <c r="A972" s="137">
        <v>717.0</v>
      </c>
      <c r="B972" s="150"/>
      <c r="C972" s="104" t="s">
        <v>4995</v>
      </c>
      <c r="D972" s="138" t="s">
        <v>56</v>
      </c>
      <c r="E972" s="156" t="s">
        <v>227</v>
      </c>
      <c r="F972" s="101"/>
      <c r="G972" s="40" t="s">
        <v>4996</v>
      </c>
      <c r="H972" s="55" t="s">
        <v>4997</v>
      </c>
      <c r="I972" s="69" t="s">
        <v>4998</v>
      </c>
      <c r="J972" s="155"/>
      <c r="K972" s="37">
        <v>44119.0</v>
      </c>
      <c r="L972" s="37">
        <v>44122.0</v>
      </c>
      <c r="M972" s="85" t="s">
        <v>322</v>
      </c>
      <c r="N972" s="179" t="s">
        <v>19</v>
      </c>
      <c r="O972" s="113">
        <v>43845.0</v>
      </c>
      <c r="P972" s="37">
        <v>44073.0</v>
      </c>
      <c r="Q972" s="22"/>
      <c r="R972" s="22"/>
      <c r="S972" s="117"/>
      <c r="T972" s="236"/>
      <c r="U972" s="161"/>
      <c r="V972" s="161"/>
      <c r="W972" s="161"/>
      <c r="X972" s="161"/>
      <c r="Y972" s="161"/>
      <c r="Z972" s="161"/>
      <c r="AA972" s="218" t="s">
        <v>97</v>
      </c>
      <c r="AB972" s="161"/>
      <c r="AC972" s="161"/>
      <c r="AD972" s="161"/>
      <c r="AE972" s="161"/>
      <c r="AF972" s="161"/>
      <c r="AG972" s="161"/>
      <c r="AH972" s="163"/>
      <c r="AI972" s="163"/>
      <c r="AJ972" s="163"/>
      <c r="AK972" s="163"/>
      <c r="AL972" s="163"/>
      <c r="AM972" s="163"/>
      <c r="AN972" s="161"/>
      <c r="AO972" s="161"/>
      <c r="AP972" s="161"/>
      <c r="AQ972" s="161"/>
      <c r="AR972" s="161"/>
      <c r="AS972" s="119"/>
    </row>
    <row r="973">
      <c r="A973" s="137">
        <v>867.0</v>
      </c>
      <c r="B973" s="103">
        <v>9.0</v>
      </c>
      <c r="C973" s="38" t="s">
        <v>4999</v>
      </c>
      <c r="D973" s="105" t="s">
        <v>48</v>
      </c>
      <c r="E973" s="107" t="s">
        <v>48</v>
      </c>
      <c r="F973" s="788"/>
      <c r="G973" s="789" t="s">
        <v>5000</v>
      </c>
      <c r="H973" s="17" t="s">
        <v>5001</v>
      </c>
      <c r="I973" s="111" t="s">
        <v>5002</v>
      </c>
      <c r="J973" s="155"/>
      <c r="K973" s="37">
        <v>44097.0</v>
      </c>
      <c r="L973" s="37">
        <v>44101.0</v>
      </c>
      <c r="M973" s="24" t="s">
        <v>196</v>
      </c>
      <c r="N973" s="24" t="s">
        <v>29</v>
      </c>
      <c r="O973" s="37">
        <v>43920.0</v>
      </c>
      <c r="P973" s="37">
        <v>43992.0</v>
      </c>
      <c r="Q973" s="200" t="s">
        <v>222</v>
      </c>
      <c r="R973" s="223"/>
      <c r="S973" s="224"/>
      <c r="T973" s="118"/>
      <c r="U973" s="176" t="s">
        <v>97</v>
      </c>
      <c r="V973" s="119"/>
      <c r="W973" s="119"/>
      <c r="X973" s="119"/>
      <c r="Y973" s="119"/>
      <c r="Z973" s="119"/>
      <c r="AA973" s="119"/>
      <c r="AB973" s="119"/>
      <c r="AC973" s="119"/>
      <c r="AD973" s="119"/>
      <c r="AE973" s="119"/>
      <c r="AF973" s="119"/>
      <c r="AG973" s="119"/>
      <c r="AH973" s="121"/>
      <c r="AI973" s="121"/>
      <c r="AJ973" s="121"/>
      <c r="AK973" s="121"/>
      <c r="AL973" s="121"/>
      <c r="AM973" s="121"/>
      <c r="AN973" s="119"/>
      <c r="AO973" s="119"/>
      <c r="AP973" s="119"/>
      <c r="AQ973" s="119"/>
      <c r="AR973" s="119"/>
      <c r="AS973" s="119"/>
    </row>
    <row r="974">
      <c r="A974" s="101">
        <v>718.0</v>
      </c>
      <c r="B974" s="150"/>
      <c r="C974" s="104" t="s">
        <v>3219</v>
      </c>
      <c r="D974" s="105" t="s">
        <v>48</v>
      </c>
      <c r="E974" s="107" t="s">
        <v>48</v>
      </c>
      <c r="F974" s="101"/>
      <c r="G974" s="40" t="s">
        <v>5003</v>
      </c>
      <c r="H974" s="55" t="s">
        <v>3221</v>
      </c>
      <c r="I974" s="69" t="s">
        <v>5004</v>
      </c>
      <c r="J974" s="155"/>
      <c r="K974" s="37">
        <v>43943.0</v>
      </c>
      <c r="L974" s="37">
        <v>43947.0</v>
      </c>
      <c r="M974" s="174" t="s">
        <v>268</v>
      </c>
      <c r="N974" s="179" t="s">
        <v>102</v>
      </c>
      <c r="O974" s="113">
        <v>43814.0</v>
      </c>
      <c r="P974" s="37">
        <v>43896.0</v>
      </c>
      <c r="Q974" s="22"/>
      <c r="R974" s="22"/>
      <c r="S974" s="117"/>
      <c r="T974" s="236"/>
      <c r="U974" s="176" t="s">
        <v>97</v>
      </c>
      <c r="V974" s="161"/>
      <c r="W974" s="161"/>
      <c r="X974" s="161"/>
      <c r="Y974" s="161"/>
      <c r="Z974" s="161"/>
      <c r="AA974" s="161"/>
      <c r="AB974" s="161"/>
      <c r="AC974" s="161"/>
      <c r="AD974" s="161"/>
      <c r="AE974" s="161"/>
      <c r="AF974" s="161"/>
      <c r="AG974" s="161"/>
      <c r="AH974" s="163"/>
      <c r="AI974" s="163"/>
      <c r="AJ974" s="163"/>
      <c r="AK974" s="163"/>
      <c r="AL974" s="163"/>
      <c r="AM974" s="163"/>
      <c r="AN974" s="161"/>
      <c r="AO974" s="161"/>
      <c r="AP974" s="161"/>
      <c r="AQ974" s="161"/>
      <c r="AR974" s="161"/>
      <c r="AS974" s="119"/>
    </row>
    <row r="975">
      <c r="A975" s="137">
        <v>719.0</v>
      </c>
      <c r="B975" s="150"/>
      <c r="C975" s="104" t="s">
        <v>3302</v>
      </c>
      <c r="D975" s="105" t="s">
        <v>89</v>
      </c>
      <c r="E975" s="107" t="s">
        <v>89</v>
      </c>
      <c r="F975" s="101"/>
      <c r="G975" s="40" t="s">
        <v>5005</v>
      </c>
      <c r="H975" s="55" t="s">
        <v>5006</v>
      </c>
      <c r="I975" s="69" t="s">
        <v>5007</v>
      </c>
      <c r="J975" s="155"/>
      <c r="K975" s="37">
        <v>43882.0</v>
      </c>
      <c r="L975" s="37">
        <v>43883.0</v>
      </c>
      <c r="M975" s="174" t="s">
        <v>3306</v>
      </c>
      <c r="N975" s="179" t="s">
        <v>967</v>
      </c>
      <c r="O975" s="113">
        <v>43678.0</v>
      </c>
      <c r="P975" s="37">
        <v>43823.0</v>
      </c>
      <c r="Q975" s="22"/>
      <c r="R975" s="22"/>
      <c r="S975" s="117"/>
      <c r="T975" s="236"/>
      <c r="U975" s="161"/>
      <c r="V975" s="161"/>
      <c r="W975" s="161"/>
      <c r="X975" s="161"/>
      <c r="Y975" s="161"/>
      <c r="Z975" s="161"/>
      <c r="AA975" s="161"/>
      <c r="AB975" s="161"/>
      <c r="AC975" s="161"/>
      <c r="AD975" s="161"/>
      <c r="AE975" s="161"/>
      <c r="AF975" s="161"/>
      <c r="AG975" s="161"/>
      <c r="AH975" s="163"/>
      <c r="AI975" s="163"/>
      <c r="AJ975" s="163"/>
      <c r="AK975" s="163"/>
      <c r="AL975" s="163"/>
      <c r="AM975" s="163"/>
      <c r="AN975" s="161"/>
      <c r="AO975" s="161"/>
      <c r="AP975" s="161"/>
      <c r="AQ975" s="172" t="s">
        <v>97</v>
      </c>
      <c r="AR975" s="161"/>
      <c r="AS975" s="119"/>
    </row>
    <row r="976">
      <c r="A976" s="137">
        <v>720.0</v>
      </c>
      <c r="B976" s="177">
        <v>11.0</v>
      </c>
      <c r="C976" s="104" t="s">
        <v>5008</v>
      </c>
      <c r="D976" s="138" t="s">
        <v>77</v>
      </c>
      <c r="E976" s="107" t="s">
        <v>869</v>
      </c>
      <c r="F976" s="178"/>
      <c r="G976" s="77" t="s">
        <v>5009</v>
      </c>
      <c r="H976" s="81" t="s">
        <v>5010</v>
      </c>
      <c r="I976" s="84" t="s">
        <v>5011</v>
      </c>
      <c r="J976" s="155"/>
      <c r="K976" s="22" t="s">
        <v>27</v>
      </c>
      <c r="L976" s="22" t="s">
        <v>27</v>
      </c>
      <c r="M976" s="85" t="s">
        <v>5012</v>
      </c>
      <c r="N976" s="85" t="s">
        <v>379</v>
      </c>
      <c r="O976" s="22" t="s">
        <v>27</v>
      </c>
      <c r="P976" s="22" t="s">
        <v>27</v>
      </c>
      <c r="Q976" s="373"/>
      <c r="R976" s="373"/>
      <c r="S976" s="224"/>
      <c r="T976" s="181"/>
      <c r="U976" s="184"/>
      <c r="V976" s="184"/>
      <c r="W976" s="184"/>
      <c r="X976" s="184"/>
      <c r="Y976" s="184"/>
      <c r="Z976" s="184"/>
      <c r="AA976" s="184"/>
      <c r="AB976" s="184"/>
      <c r="AC976" s="184"/>
      <c r="AD976" s="186"/>
      <c r="AE976" s="187"/>
      <c r="AF976" s="184"/>
      <c r="AG976" s="187"/>
      <c r="AH976" s="189"/>
      <c r="AI976" s="189"/>
      <c r="AJ976" s="189"/>
      <c r="AK976" s="189"/>
      <c r="AL976" s="189"/>
      <c r="AM976" s="189"/>
      <c r="AN976" s="187"/>
      <c r="AO976" s="645" t="s">
        <v>97</v>
      </c>
      <c r="AP976" s="184"/>
      <c r="AQ976" s="187"/>
      <c r="AR976" s="187"/>
      <c r="AS976" s="119"/>
    </row>
    <row r="977">
      <c r="A977" s="101">
        <v>775.0</v>
      </c>
      <c r="B977" s="103"/>
      <c r="C977" s="104" t="s">
        <v>5013</v>
      </c>
      <c r="D977" s="105" t="s">
        <v>48</v>
      </c>
      <c r="E977" s="107" t="s">
        <v>48</v>
      </c>
      <c r="F977" s="109"/>
      <c r="G977" s="10" t="s">
        <v>773</v>
      </c>
      <c r="H977" s="17" t="s">
        <v>774</v>
      </c>
      <c r="I977" s="111" t="s">
        <v>776</v>
      </c>
      <c r="J977" s="222" t="s">
        <v>78</v>
      </c>
      <c r="K977" s="113">
        <v>43916.0</v>
      </c>
      <c r="L977" s="113">
        <v>43919.0</v>
      </c>
      <c r="M977" s="24" t="s">
        <v>778</v>
      </c>
      <c r="N977" s="24" t="s">
        <v>110</v>
      </c>
      <c r="O977" s="114">
        <v>43697.0</v>
      </c>
      <c r="P977" s="114">
        <v>43814.0</v>
      </c>
      <c r="Q977" s="115"/>
      <c r="R977" s="115"/>
      <c r="S977" s="117"/>
      <c r="T977" s="118"/>
      <c r="U977" s="176" t="s">
        <v>97</v>
      </c>
      <c r="V977" s="119"/>
      <c r="W977" s="119"/>
      <c r="X977" s="119"/>
      <c r="Y977" s="119"/>
      <c r="Z977" s="119"/>
      <c r="AA977" s="119"/>
      <c r="AB977" s="119"/>
      <c r="AC977" s="119"/>
      <c r="AD977" s="119"/>
      <c r="AE977" s="119"/>
      <c r="AF977" s="119"/>
      <c r="AG977" s="119"/>
      <c r="AH977" s="121"/>
      <c r="AI977" s="121"/>
      <c r="AJ977" s="121"/>
      <c r="AK977" s="121"/>
      <c r="AL977" s="121"/>
      <c r="AM977" s="121"/>
      <c r="AN977" s="119"/>
      <c r="AO977" s="119"/>
      <c r="AP977" s="119"/>
      <c r="AQ977" s="119"/>
      <c r="AR977" s="119"/>
      <c r="AS977" s="119"/>
    </row>
    <row r="978">
      <c r="A978" s="101">
        <v>721.0</v>
      </c>
      <c r="B978" s="177"/>
      <c r="C978" s="104" t="s">
        <v>2663</v>
      </c>
      <c r="D978" s="105" t="s">
        <v>48</v>
      </c>
      <c r="E978" s="107" t="s">
        <v>48</v>
      </c>
      <c r="F978" s="228"/>
      <c r="G978" s="183" t="s">
        <v>5014</v>
      </c>
      <c r="H978" s="81" t="s">
        <v>5015</v>
      </c>
      <c r="I978" s="84" t="s">
        <v>5016</v>
      </c>
      <c r="J978" s="344"/>
      <c r="K978" s="152">
        <v>44048.0</v>
      </c>
      <c r="L978" s="152">
        <v>44052.0</v>
      </c>
      <c r="M978" s="85" t="s">
        <v>3603</v>
      </c>
      <c r="N978" s="85" t="s">
        <v>72</v>
      </c>
      <c r="O978" s="113">
        <v>43767.0</v>
      </c>
      <c r="P978" s="113">
        <v>43988.0</v>
      </c>
      <c r="Q978" s="373"/>
      <c r="R978" s="373"/>
      <c r="S978" s="203" t="s">
        <v>97</v>
      </c>
      <c r="T978" s="181"/>
      <c r="U978" s="182" t="s">
        <v>97</v>
      </c>
      <c r="V978" s="184"/>
      <c r="W978" s="184"/>
      <c r="X978" s="184"/>
      <c r="Y978" s="184"/>
      <c r="Z978" s="184"/>
      <c r="AA978" s="184"/>
      <c r="AB978" s="184"/>
      <c r="AC978" s="184"/>
      <c r="AD978" s="186"/>
      <c r="AE978" s="187"/>
      <c r="AF978" s="184"/>
      <c r="AG978" s="187"/>
      <c r="AH978" s="189"/>
      <c r="AI978" s="189"/>
      <c r="AJ978" s="189"/>
      <c r="AK978" s="189"/>
      <c r="AL978" s="189"/>
      <c r="AM978" s="189"/>
      <c r="AN978" s="187"/>
      <c r="AO978" s="187"/>
      <c r="AP978" s="184"/>
      <c r="AQ978" s="187"/>
      <c r="AR978" s="187"/>
      <c r="AS978" s="119"/>
    </row>
    <row r="979">
      <c r="A979" s="137">
        <v>722.0</v>
      </c>
      <c r="B979" s="177">
        <v>10.0</v>
      </c>
      <c r="C979" s="104" t="s">
        <v>5017</v>
      </c>
      <c r="D979" s="105" t="s">
        <v>48</v>
      </c>
      <c r="E979" s="107" t="s">
        <v>48</v>
      </c>
      <c r="F979" s="178"/>
      <c r="G979" s="77" t="s">
        <v>5018</v>
      </c>
      <c r="H979" s="151" t="s">
        <v>5019</v>
      </c>
      <c r="I979" s="84" t="s">
        <v>5020</v>
      </c>
      <c r="J979" s="155"/>
      <c r="K979" s="22" t="s">
        <v>27</v>
      </c>
      <c r="L979" s="22" t="s">
        <v>27</v>
      </c>
      <c r="M979" s="174" t="s">
        <v>4649</v>
      </c>
      <c r="N979" s="85" t="s">
        <v>762</v>
      </c>
      <c r="O979" s="22" t="s">
        <v>27</v>
      </c>
      <c r="P979" s="22" t="s">
        <v>27</v>
      </c>
      <c r="Q979" s="373"/>
      <c r="R979" s="373"/>
      <c r="S979" s="203" t="s">
        <v>97</v>
      </c>
      <c r="T979" s="181"/>
      <c r="U979" s="182" t="s">
        <v>97</v>
      </c>
      <c r="V979" s="184"/>
      <c r="W979" s="184"/>
      <c r="X979" s="184"/>
      <c r="Y979" s="184"/>
      <c r="Z979" s="184"/>
      <c r="AA979" s="184"/>
      <c r="AB979" s="184"/>
      <c r="AC979" s="184"/>
      <c r="AD979" s="186"/>
      <c r="AE979" s="187"/>
      <c r="AF979" s="184"/>
      <c r="AG979" s="187"/>
      <c r="AH979" s="189"/>
      <c r="AI979" s="189"/>
      <c r="AJ979" s="189"/>
      <c r="AK979" s="189"/>
      <c r="AL979" s="189"/>
      <c r="AM979" s="189"/>
      <c r="AN979" s="187"/>
      <c r="AO979" s="187"/>
      <c r="AP979" s="184"/>
      <c r="AQ979" s="187"/>
      <c r="AR979" s="187"/>
      <c r="AS979" s="119"/>
    </row>
    <row r="980">
      <c r="A980" s="137">
        <v>723.0</v>
      </c>
      <c r="B980" s="150"/>
      <c r="C980" s="104" t="s">
        <v>5021</v>
      </c>
      <c r="D980" s="105" t="s">
        <v>48</v>
      </c>
      <c r="E980" s="107" t="s">
        <v>48</v>
      </c>
      <c r="F980" s="101"/>
      <c r="G980" s="40" t="s">
        <v>5022</v>
      </c>
      <c r="H980" s="55" t="s">
        <v>5023</v>
      </c>
      <c r="I980" s="69" t="s">
        <v>5024</v>
      </c>
      <c r="J980" s="155"/>
      <c r="K980" s="37">
        <v>43993.0</v>
      </c>
      <c r="L980" s="37">
        <v>43996.0</v>
      </c>
      <c r="M980" s="73" t="s">
        <v>5025</v>
      </c>
      <c r="N980" s="179" t="s">
        <v>46</v>
      </c>
      <c r="O980" s="113">
        <v>43780.0</v>
      </c>
      <c r="P980" s="37">
        <v>43899.0</v>
      </c>
      <c r="Q980" s="22"/>
      <c r="R980" s="22"/>
      <c r="S980" s="117"/>
      <c r="T980" s="236"/>
      <c r="U980" s="176" t="s">
        <v>97</v>
      </c>
      <c r="V980" s="161"/>
      <c r="W980" s="161"/>
      <c r="X980" s="161"/>
      <c r="Y980" s="161"/>
      <c r="Z980" s="161"/>
      <c r="AA980" s="161"/>
      <c r="AB980" s="161"/>
      <c r="AC980" s="161"/>
      <c r="AD980" s="161"/>
      <c r="AE980" s="161"/>
      <c r="AF980" s="161"/>
      <c r="AG980" s="161"/>
      <c r="AH980" s="163"/>
      <c r="AI980" s="163"/>
      <c r="AJ980" s="163"/>
      <c r="AK980" s="163"/>
      <c r="AL980" s="163"/>
      <c r="AM980" s="163"/>
      <c r="AN980" s="161"/>
      <c r="AO980" s="161"/>
      <c r="AP980" s="161"/>
      <c r="AQ980" s="161"/>
      <c r="AR980" s="161"/>
      <c r="AS980" s="119"/>
    </row>
    <row r="981">
      <c r="A981" s="101">
        <v>724.0</v>
      </c>
      <c r="B981" s="150"/>
      <c r="C981" s="104" t="s">
        <v>5026</v>
      </c>
      <c r="D981" s="105" t="s">
        <v>48</v>
      </c>
      <c r="E981" s="107" t="s">
        <v>48</v>
      </c>
      <c r="F981" s="101"/>
      <c r="G981" s="40" t="s">
        <v>5027</v>
      </c>
      <c r="H981" s="55" t="s">
        <v>5028</v>
      </c>
      <c r="I981" s="69" t="s">
        <v>5029</v>
      </c>
      <c r="J981" s="155"/>
      <c r="K981" s="37">
        <v>43972.0</v>
      </c>
      <c r="L981" s="37">
        <v>43975.0</v>
      </c>
      <c r="M981" s="174" t="s">
        <v>5030</v>
      </c>
      <c r="N981" s="179" t="s">
        <v>102</v>
      </c>
      <c r="O981" s="113">
        <v>43769.0</v>
      </c>
      <c r="P981" s="37">
        <v>43861.0</v>
      </c>
      <c r="Q981" s="22"/>
      <c r="R981" s="22"/>
      <c r="S981" s="117"/>
      <c r="T981" s="236"/>
      <c r="U981" s="176" t="s">
        <v>97</v>
      </c>
      <c r="V981" s="161"/>
      <c r="W981" s="161"/>
      <c r="X981" s="161"/>
      <c r="Y981" s="161"/>
      <c r="Z981" s="161"/>
      <c r="AA981" s="161"/>
      <c r="AB981" s="161"/>
      <c r="AC981" s="161"/>
      <c r="AD981" s="161"/>
      <c r="AE981" s="161"/>
      <c r="AF981" s="161"/>
      <c r="AG981" s="161"/>
      <c r="AH981" s="163"/>
      <c r="AI981" s="163"/>
      <c r="AJ981" s="163"/>
      <c r="AK981" s="163"/>
      <c r="AL981" s="163"/>
      <c r="AM981" s="163"/>
      <c r="AN981" s="161"/>
      <c r="AO981" s="161"/>
      <c r="AP981" s="161"/>
      <c r="AQ981" s="161"/>
      <c r="AR981" s="161"/>
      <c r="AS981" s="119"/>
    </row>
    <row r="982">
      <c r="A982" s="137">
        <v>962.0</v>
      </c>
      <c r="B982" s="122">
        <v>10.0</v>
      </c>
      <c r="C982" s="123" t="s">
        <v>5031</v>
      </c>
      <c r="D982" s="309" t="s">
        <v>57</v>
      </c>
      <c r="E982" s="311" t="s">
        <v>57</v>
      </c>
      <c r="F982" s="127"/>
      <c r="G982" s="128" t="s">
        <v>5032</v>
      </c>
      <c r="H982" s="89" t="s">
        <v>5033</v>
      </c>
      <c r="I982" s="91" t="str">
        <f>HYPERLINK("https://filmfreeway.com/VietFilmFest2019","https://filmfreeway.com/VietFilmFest2019")</f>
        <v>https://filmfreeway.com/VietFilmFest2019</v>
      </c>
      <c r="J982" s="155"/>
      <c r="K982" s="22" t="s">
        <v>27</v>
      </c>
      <c r="L982" s="22" t="s">
        <v>27</v>
      </c>
      <c r="M982" s="130" t="s">
        <v>5034</v>
      </c>
      <c r="N982" s="130" t="s">
        <v>72</v>
      </c>
      <c r="O982" s="22" t="s">
        <v>27</v>
      </c>
      <c r="P982" s="22" t="s">
        <v>27</v>
      </c>
      <c r="Q982" s="131"/>
      <c r="R982" s="132"/>
      <c r="S982" s="132"/>
      <c r="T982" s="118"/>
      <c r="U982" s="119"/>
      <c r="V982" s="119"/>
      <c r="W982" s="119"/>
      <c r="X982" s="119"/>
      <c r="Y982" s="134"/>
      <c r="Z982" s="119"/>
      <c r="AA982" s="119"/>
      <c r="AB982" s="307" t="s">
        <v>97</v>
      </c>
      <c r="AC982" s="119"/>
      <c r="AD982" s="119"/>
      <c r="AE982" s="119"/>
      <c r="AF982" s="119"/>
      <c r="AG982" s="119"/>
      <c r="AH982" s="121"/>
      <c r="AI982" s="121"/>
      <c r="AJ982" s="121"/>
      <c r="AK982" s="121"/>
      <c r="AL982" s="121"/>
      <c r="AM982" s="135"/>
      <c r="AN982" s="119"/>
      <c r="AO982" s="119"/>
      <c r="AP982" s="119"/>
      <c r="AQ982" s="119"/>
      <c r="AR982" s="119"/>
      <c r="AS982" s="119"/>
    </row>
    <row r="983">
      <c r="A983" s="137">
        <v>725.0</v>
      </c>
      <c r="B983" s="177">
        <v>10.0</v>
      </c>
      <c r="C983" s="104" t="s">
        <v>5035</v>
      </c>
      <c r="D983" s="105" t="s">
        <v>48</v>
      </c>
      <c r="E983" s="107" t="s">
        <v>48</v>
      </c>
      <c r="F983" s="178"/>
      <c r="G983" s="77" t="s">
        <v>5036</v>
      </c>
      <c r="H983" s="151" t="s">
        <v>5037</v>
      </c>
      <c r="I983" s="84" t="s">
        <v>5038</v>
      </c>
      <c r="J983" s="155"/>
      <c r="K983" s="37">
        <v>44125.0</v>
      </c>
      <c r="L983" s="37">
        <v>44129.0</v>
      </c>
      <c r="M983" s="85" t="s">
        <v>5039</v>
      </c>
      <c r="N983" s="85" t="s">
        <v>291</v>
      </c>
      <c r="O983" s="37">
        <v>43997.0</v>
      </c>
      <c r="P983" s="37">
        <v>44025.0</v>
      </c>
      <c r="Q983" s="373"/>
      <c r="R983" s="373"/>
      <c r="S983" s="224"/>
      <c r="T983" s="181"/>
      <c r="U983" s="182" t="s">
        <v>97</v>
      </c>
      <c r="V983" s="184"/>
      <c r="W983" s="184"/>
      <c r="X983" s="184"/>
      <c r="Y983" s="184"/>
      <c r="Z983" s="184"/>
      <c r="AA983" s="184"/>
      <c r="AB983" s="184"/>
      <c r="AC983" s="184"/>
      <c r="AD983" s="186"/>
      <c r="AE983" s="187"/>
      <c r="AF983" s="184"/>
      <c r="AG983" s="187"/>
      <c r="AH983" s="189"/>
      <c r="AI983" s="189"/>
      <c r="AJ983" s="189"/>
      <c r="AK983" s="189"/>
      <c r="AL983" s="189"/>
      <c r="AM983" s="189"/>
      <c r="AN983" s="187"/>
      <c r="AO983" s="187"/>
      <c r="AP983" s="184"/>
      <c r="AQ983" s="187"/>
      <c r="AR983" s="187"/>
      <c r="AS983" s="119"/>
    </row>
    <row r="984">
      <c r="A984" s="137">
        <v>815.0</v>
      </c>
      <c r="B984" s="103">
        <v>8.0</v>
      </c>
      <c r="C984" s="104" t="s">
        <v>5040</v>
      </c>
      <c r="D984" s="105" t="s">
        <v>48</v>
      </c>
      <c r="E984" s="107" t="s">
        <v>48</v>
      </c>
      <c r="F984" s="790"/>
      <c r="G984" s="10" t="s">
        <v>5041</v>
      </c>
      <c r="H984" s="791" t="s">
        <v>5042</v>
      </c>
      <c r="I984" s="111" t="s">
        <v>5043</v>
      </c>
      <c r="J984" s="155"/>
      <c r="K984" s="37">
        <v>44072.0</v>
      </c>
      <c r="L984" s="37">
        <v>44080.0</v>
      </c>
      <c r="M984" s="24" t="s">
        <v>5044</v>
      </c>
      <c r="N984" s="24" t="s">
        <v>29</v>
      </c>
      <c r="O984" s="37">
        <v>43921.0</v>
      </c>
      <c r="P984" s="37">
        <v>43992.0</v>
      </c>
      <c r="Q984" s="223"/>
      <c r="R984" s="223"/>
      <c r="S984" s="224"/>
      <c r="T984" s="118"/>
      <c r="U984" s="176" t="s">
        <v>97</v>
      </c>
      <c r="V984" s="119"/>
      <c r="W984" s="119"/>
      <c r="X984" s="119"/>
      <c r="Y984" s="119"/>
      <c r="Z984" s="119"/>
      <c r="AA984" s="119"/>
      <c r="AB984" s="119"/>
      <c r="AC984" s="119"/>
      <c r="AD984" s="119"/>
      <c r="AE984" s="119"/>
      <c r="AF984" s="119"/>
      <c r="AG984" s="119"/>
      <c r="AH984" s="121"/>
      <c r="AI984" s="121"/>
      <c r="AJ984" s="121"/>
      <c r="AK984" s="121"/>
      <c r="AL984" s="121"/>
      <c r="AM984" s="121"/>
      <c r="AN984" s="119"/>
      <c r="AO984" s="119"/>
      <c r="AP984" s="119"/>
      <c r="AQ984" s="119"/>
      <c r="AR984" s="119"/>
      <c r="AS984" s="119"/>
    </row>
    <row r="985">
      <c r="A985" s="137">
        <v>726.0</v>
      </c>
      <c r="B985" s="150"/>
      <c r="C985" s="104" t="s">
        <v>5045</v>
      </c>
      <c r="D985" s="138" t="s">
        <v>75</v>
      </c>
      <c r="E985" s="107" t="s">
        <v>345</v>
      </c>
      <c r="F985" s="101"/>
      <c r="G985" s="40" t="s">
        <v>956</v>
      </c>
      <c r="H985" s="55" t="s">
        <v>957</v>
      </c>
      <c r="I985" s="69" t="s">
        <v>960</v>
      </c>
      <c r="J985" s="20" t="s">
        <v>964</v>
      </c>
      <c r="K985" s="37">
        <v>43913.0</v>
      </c>
      <c r="L985" s="37">
        <v>43918.0</v>
      </c>
      <c r="M985" s="174" t="s">
        <v>966</v>
      </c>
      <c r="N985" s="179" t="s">
        <v>967</v>
      </c>
      <c r="O985" s="113">
        <v>43708.0</v>
      </c>
      <c r="P985" s="37">
        <v>43830.0</v>
      </c>
      <c r="Q985" s="22"/>
      <c r="R985" s="22"/>
      <c r="S985" s="117"/>
      <c r="T985" s="236" t="s">
        <v>50</v>
      </c>
      <c r="U985" s="161"/>
      <c r="V985" s="161"/>
      <c r="W985" s="161"/>
      <c r="X985" s="161"/>
      <c r="Y985" s="161"/>
      <c r="Z985" s="161"/>
      <c r="AA985" s="161"/>
      <c r="AB985" s="161"/>
      <c r="AC985" s="161"/>
      <c r="AD985" s="161"/>
      <c r="AE985" s="161"/>
      <c r="AF985" s="161"/>
      <c r="AG985" s="161"/>
      <c r="AH985" s="163"/>
      <c r="AI985" s="163"/>
      <c r="AJ985" s="163"/>
      <c r="AK985" s="163"/>
      <c r="AL985" s="163"/>
      <c r="AM985" s="163"/>
      <c r="AN985" s="143" t="s">
        <v>97</v>
      </c>
      <c r="AO985" s="161"/>
      <c r="AP985" s="161"/>
      <c r="AQ985" s="161"/>
      <c r="AR985" s="161"/>
      <c r="AS985" s="119"/>
    </row>
    <row r="986">
      <c r="A986" s="137">
        <v>727.0</v>
      </c>
      <c r="B986" s="177"/>
      <c r="C986" s="104" t="s">
        <v>5046</v>
      </c>
      <c r="D986" s="296" t="s">
        <v>55</v>
      </c>
      <c r="E986" s="792" t="s">
        <v>55</v>
      </c>
      <c r="F986" s="178"/>
      <c r="G986" s="77" t="s">
        <v>123</v>
      </c>
      <c r="H986" s="151" t="s">
        <v>124</v>
      </c>
      <c r="I986" s="84" t="s">
        <v>128</v>
      </c>
      <c r="J986" s="20" t="s">
        <v>129</v>
      </c>
      <c r="K986" s="37">
        <v>43958.0</v>
      </c>
      <c r="L986" s="152">
        <v>43975.0</v>
      </c>
      <c r="M986" s="85" t="s">
        <v>131</v>
      </c>
      <c r="N986" s="85" t="s">
        <v>132</v>
      </c>
      <c r="O986" s="113">
        <v>43717.0</v>
      </c>
      <c r="P986" s="37">
        <v>43769.0</v>
      </c>
      <c r="Q986" s="22"/>
      <c r="R986" s="22"/>
      <c r="S986" s="117"/>
      <c r="T986" s="181"/>
      <c r="U986" s="184"/>
      <c r="V986" s="184"/>
      <c r="W986" s="184"/>
      <c r="X986" s="184"/>
      <c r="Y986" s="184"/>
      <c r="Z986" s="420" t="s">
        <v>97</v>
      </c>
      <c r="AA986" s="184"/>
      <c r="AB986" s="184"/>
      <c r="AC986" s="184"/>
      <c r="AD986" s="186"/>
      <c r="AE986" s="187"/>
      <c r="AF986" s="184"/>
      <c r="AG986" s="187"/>
      <c r="AH986" s="189"/>
      <c r="AI986" s="189"/>
      <c r="AJ986" s="189"/>
      <c r="AK986" s="189"/>
      <c r="AL986" s="189"/>
      <c r="AM986" s="189"/>
      <c r="AN986" s="187"/>
      <c r="AO986" s="187"/>
      <c r="AP986" s="184"/>
      <c r="AQ986" s="187"/>
      <c r="AR986" s="187"/>
      <c r="AS986" s="119"/>
    </row>
    <row r="987">
      <c r="A987" s="101">
        <v>728.0</v>
      </c>
      <c r="B987" s="173"/>
      <c r="C987" s="104" t="s">
        <v>5047</v>
      </c>
      <c r="D987" s="105" t="s">
        <v>48</v>
      </c>
      <c r="E987" s="107" t="s">
        <v>48</v>
      </c>
      <c r="F987" s="101"/>
      <c r="G987" s="40" t="s">
        <v>5048</v>
      </c>
      <c r="H987" s="55" t="s">
        <v>5049</v>
      </c>
      <c r="I987" s="175" t="s">
        <v>5050</v>
      </c>
      <c r="J987" s="155"/>
      <c r="K987" s="37">
        <v>44126.0</v>
      </c>
      <c r="L987" s="37">
        <v>44130.0</v>
      </c>
      <c r="M987" s="174" t="s">
        <v>5051</v>
      </c>
      <c r="N987" s="179" t="s">
        <v>291</v>
      </c>
      <c r="O987" s="113">
        <v>43890.0</v>
      </c>
      <c r="P987" s="37">
        <v>44012.0</v>
      </c>
      <c r="Q987" s="22"/>
      <c r="R987" s="22"/>
      <c r="S987" s="117"/>
      <c r="T987" s="236"/>
      <c r="U987" s="176" t="s">
        <v>97</v>
      </c>
      <c r="V987" s="161"/>
      <c r="W987" s="161"/>
      <c r="X987" s="161"/>
      <c r="Y987" s="161"/>
      <c r="Z987" s="161"/>
      <c r="AA987" s="161"/>
      <c r="AB987" s="161"/>
      <c r="AC987" s="161"/>
      <c r="AD987" s="161"/>
      <c r="AE987" s="161"/>
      <c r="AF987" s="161"/>
      <c r="AG987" s="161"/>
      <c r="AH987" s="163"/>
      <c r="AI987" s="163"/>
      <c r="AJ987" s="163"/>
      <c r="AK987" s="163"/>
      <c r="AL987" s="163"/>
      <c r="AM987" s="163"/>
      <c r="AN987" s="161"/>
      <c r="AO987" s="161"/>
      <c r="AP987" s="161"/>
      <c r="AQ987" s="161"/>
      <c r="AR987" s="161"/>
      <c r="AS987" s="119"/>
    </row>
    <row r="988">
      <c r="A988" s="101">
        <v>932.0</v>
      </c>
      <c r="B988" s="122">
        <v>4.0</v>
      </c>
      <c r="C988" s="123" t="s">
        <v>5052</v>
      </c>
      <c r="D988" s="124" t="s">
        <v>52</v>
      </c>
      <c r="E988" s="126" t="s">
        <v>52</v>
      </c>
      <c r="F988" s="144"/>
      <c r="G988" s="87" t="s">
        <v>1004</v>
      </c>
      <c r="H988" s="89" t="s">
        <v>1007</v>
      </c>
      <c r="I988" s="91" t="str">
        <f>HYPERLINK("https://filmfreeway.com/WatsonvilleFilmFestival","https://filmfreeway.com/WatsonvilleFilmFestival")</f>
        <v>https://filmfreeway.com/WatsonvilleFilmFestival</v>
      </c>
      <c r="J988" s="20" t="s">
        <v>26</v>
      </c>
      <c r="K988" s="22" t="s">
        <v>27</v>
      </c>
      <c r="L988" s="22" t="s">
        <v>27</v>
      </c>
      <c r="M988" s="264" t="s">
        <v>1011</v>
      </c>
      <c r="N988" s="264" t="s">
        <v>72</v>
      </c>
      <c r="O988" s="22" t="s">
        <v>27</v>
      </c>
      <c r="P988" s="22" t="s">
        <v>27</v>
      </c>
      <c r="Q988" s="131"/>
      <c r="R988" s="132"/>
      <c r="S988" s="148" t="s">
        <v>97</v>
      </c>
      <c r="T988" s="118"/>
      <c r="U988" s="119"/>
      <c r="V988" s="119"/>
      <c r="W988" s="120" t="s">
        <v>97</v>
      </c>
      <c r="X988" s="119"/>
      <c r="Y988" s="134"/>
      <c r="Z988" s="119"/>
      <c r="AA988" s="119"/>
      <c r="AB988" s="119"/>
      <c r="AC988" s="119"/>
      <c r="AD988" s="119"/>
      <c r="AE988" s="119"/>
      <c r="AF988" s="119"/>
      <c r="AG988" s="119"/>
      <c r="AH988" s="121"/>
      <c r="AI988" s="121"/>
      <c r="AJ988" s="121"/>
      <c r="AK988" s="121"/>
      <c r="AL988" s="121"/>
      <c r="AM988" s="135"/>
      <c r="AN988" s="119"/>
      <c r="AO988" s="119"/>
      <c r="AP988" s="119"/>
      <c r="AQ988" s="119"/>
      <c r="AR988" s="119"/>
      <c r="AS988" s="119"/>
    </row>
    <row r="989">
      <c r="A989" s="137">
        <v>729.0</v>
      </c>
      <c r="B989" s="793">
        <v>10.0</v>
      </c>
      <c r="C989" s="794" t="s">
        <v>5053</v>
      </c>
      <c r="D989" s="795" t="s">
        <v>54</v>
      </c>
      <c r="E989" s="796" t="s">
        <v>54</v>
      </c>
      <c r="F989" s="797"/>
      <c r="G989" s="798" t="s">
        <v>5054</v>
      </c>
      <c r="H989" s="799" t="s">
        <v>5055</v>
      </c>
      <c r="I989" s="800" t="s">
        <v>5056</v>
      </c>
      <c r="J989" s="646"/>
      <c r="K989" s="37">
        <v>44113.0</v>
      </c>
      <c r="L989" s="37">
        <v>44122.0</v>
      </c>
      <c r="M989" s="801" t="s">
        <v>5057</v>
      </c>
      <c r="N989" s="801" t="s">
        <v>430</v>
      </c>
      <c r="O989" s="37">
        <v>43921.0</v>
      </c>
      <c r="P989" s="37">
        <v>44063.0</v>
      </c>
      <c r="Q989" s="802"/>
      <c r="R989" s="802"/>
      <c r="S989" s="803"/>
      <c r="T989" s="181"/>
      <c r="U989" s="184"/>
      <c r="V989" s="184"/>
      <c r="W989" s="184"/>
      <c r="X989" s="184"/>
      <c r="Y989" s="233" t="s">
        <v>97</v>
      </c>
      <c r="Z989" s="184"/>
      <c r="AA989" s="184"/>
      <c r="AB989" s="184"/>
      <c r="AC989" s="184"/>
      <c r="AD989" s="186"/>
      <c r="AE989" s="187"/>
      <c r="AF989" s="184"/>
      <c r="AG989" s="187"/>
      <c r="AH989" s="189"/>
      <c r="AI989" s="189"/>
      <c r="AJ989" s="189"/>
      <c r="AK989" s="189"/>
      <c r="AL989" s="189"/>
      <c r="AM989" s="189"/>
      <c r="AN989" s="187"/>
      <c r="AO989" s="187"/>
      <c r="AP989" s="184"/>
      <c r="AQ989" s="187"/>
      <c r="AR989" s="187"/>
      <c r="AS989" s="119"/>
    </row>
    <row r="990">
      <c r="A990" s="137">
        <v>730.0</v>
      </c>
      <c r="B990" s="150"/>
      <c r="C990" s="104" t="s">
        <v>5058</v>
      </c>
      <c r="D990" s="105" t="s">
        <v>66</v>
      </c>
      <c r="E990" s="107" t="s">
        <v>5059</v>
      </c>
      <c r="F990" s="101"/>
      <c r="G990" s="40" t="s">
        <v>5060</v>
      </c>
      <c r="H990" s="55" t="s">
        <v>5061</v>
      </c>
      <c r="I990" s="69" t="s">
        <v>5062</v>
      </c>
      <c r="J990" s="155"/>
      <c r="K990" s="37">
        <v>44049.0</v>
      </c>
      <c r="L990" s="37">
        <v>44052.0</v>
      </c>
      <c r="M990" s="73" t="s">
        <v>5063</v>
      </c>
      <c r="N990" s="179" t="s">
        <v>594</v>
      </c>
      <c r="O990" s="113">
        <v>43812.0</v>
      </c>
      <c r="P990" s="37">
        <v>43896.0</v>
      </c>
      <c r="Q990" s="22"/>
      <c r="R990" s="22"/>
      <c r="S990" s="117"/>
      <c r="T990" s="236"/>
      <c r="U990" s="161"/>
      <c r="V990" s="161"/>
      <c r="W990" s="120" t="s">
        <v>97</v>
      </c>
      <c r="X990" s="161"/>
      <c r="Y990" s="161"/>
      <c r="Z990" s="161"/>
      <c r="AA990" s="161"/>
      <c r="AB990" s="161"/>
      <c r="AC990" s="161"/>
      <c r="AD990" s="161"/>
      <c r="AE990" s="161"/>
      <c r="AF990" s="161"/>
      <c r="AG990" s="161"/>
      <c r="AH990" s="163"/>
      <c r="AI990" s="163"/>
      <c r="AJ990" s="242" t="s">
        <v>97</v>
      </c>
      <c r="AK990" s="332" t="s">
        <v>97</v>
      </c>
      <c r="AL990" s="163"/>
      <c r="AM990" s="163"/>
      <c r="AN990" s="161"/>
      <c r="AO990" s="161"/>
      <c r="AP990" s="161"/>
      <c r="AQ990" s="161"/>
      <c r="AR990" s="161"/>
      <c r="AS990" s="119"/>
    </row>
    <row r="991">
      <c r="A991" s="101">
        <v>731.0</v>
      </c>
      <c r="B991" s="150"/>
      <c r="C991" s="104" t="s">
        <v>5064</v>
      </c>
      <c r="D991" s="105" t="s">
        <v>52</v>
      </c>
      <c r="E991" s="107" t="s">
        <v>52</v>
      </c>
      <c r="F991" s="101"/>
      <c r="G991" s="40" t="s">
        <v>5065</v>
      </c>
      <c r="H991" s="55" t="s">
        <v>5066</v>
      </c>
      <c r="I991" s="69" t="s">
        <v>5067</v>
      </c>
      <c r="J991" s="155"/>
      <c r="K991" s="37">
        <v>43945.0</v>
      </c>
      <c r="L991" s="37">
        <v>43947.0</v>
      </c>
      <c r="M991" s="73" t="s">
        <v>5068</v>
      </c>
      <c r="N991" s="179" t="s">
        <v>212</v>
      </c>
      <c r="O991" s="113">
        <v>43708.0</v>
      </c>
      <c r="P991" s="37">
        <v>43850.0</v>
      </c>
      <c r="Q991" s="22"/>
      <c r="R991" s="22"/>
      <c r="S991" s="117"/>
      <c r="T991" s="236"/>
      <c r="U991" s="161"/>
      <c r="V991" s="161"/>
      <c r="W991" s="120" t="s">
        <v>97</v>
      </c>
      <c r="X991" s="161"/>
      <c r="Y991" s="161"/>
      <c r="Z991" s="161"/>
      <c r="AA991" s="161"/>
      <c r="AB991" s="161"/>
      <c r="AC991" s="161"/>
      <c r="AD991" s="161"/>
      <c r="AE991" s="161"/>
      <c r="AF991" s="161"/>
      <c r="AG991" s="161"/>
      <c r="AH991" s="163"/>
      <c r="AI991" s="163"/>
      <c r="AJ991" s="163"/>
      <c r="AK991" s="163"/>
      <c r="AL991" s="163"/>
      <c r="AM991" s="163"/>
      <c r="AN991" s="161"/>
      <c r="AO991" s="161"/>
      <c r="AP991" s="161"/>
      <c r="AQ991" s="161"/>
      <c r="AR991" s="161"/>
      <c r="AS991" s="119"/>
    </row>
    <row r="992">
      <c r="A992" s="137">
        <v>1021.0</v>
      </c>
      <c r="B992" s="173"/>
      <c r="C992" s="804" t="s">
        <v>5069</v>
      </c>
      <c r="D992" s="622" t="s">
        <v>48</v>
      </c>
      <c r="E992" s="622" t="s">
        <v>48</v>
      </c>
      <c r="F992" s="101"/>
      <c r="G992" s="256" t="s">
        <v>1934</v>
      </c>
      <c r="H992" s="278" t="s">
        <v>5070</v>
      </c>
      <c r="I992" s="280" t="s">
        <v>5070</v>
      </c>
      <c r="J992" s="288"/>
      <c r="K992" s="262">
        <v>43952.0</v>
      </c>
      <c r="L992" s="262">
        <v>43954.0</v>
      </c>
      <c r="M992" s="254" t="s">
        <v>5071</v>
      </c>
      <c r="N992" s="254" t="s">
        <v>251</v>
      </c>
      <c r="O992" s="262">
        <v>43784.0</v>
      </c>
      <c r="P992" s="262">
        <v>43883.0</v>
      </c>
      <c r="Q992" s="132"/>
      <c r="R992" s="132"/>
      <c r="S992" s="132"/>
      <c r="T992" s="236"/>
      <c r="U992" s="176" t="s">
        <v>97</v>
      </c>
      <c r="V992" s="161"/>
      <c r="W992" s="161"/>
      <c r="X992" s="161"/>
      <c r="Y992" s="161"/>
      <c r="Z992" s="161"/>
      <c r="AA992" s="161"/>
      <c r="AB992" s="161"/>
      <c r="AC992" s="161"/>
      <c r="AD992" s="161"/>
      <c r="AE992" s="161"/>
      <c r="AF992" s="161"/>
      <c r="AG992" s="237"/>
      <c r="AH992" s="163"/>
      <c r="AI992" s="163"/>
      <c r="AJ992" s="163"/>
      <c r="AK992" s="163"/>
      <c r="AL992" s="163"/>
      <c r="AM992" s="163"/>
      <c r="AN992" s="161"/>
      <c r="AO992" s="161"/>
      <c r="AP992" s="161"/>
      <c r="AQ992" s="161"/>
      <c r="AR992" s="161"/>
      <c r="AS992" s="119"/>
    </row>
    <row r="993">
      <c r="A993" s="137">
        <v>884.0</v>
      </c>
      <c r="B993" s="122">
        <v>0.0</v>
      </c>
      <c r="C993" s="123" t="s">
        <v>5072</v>
      </c>
      <c r="D993" s="124" t="s">
        <v>48</v>
      </c>
      <c r="E993" s="126" t="s">
        <v>48</v>
      </c>
      <c r="F993" s="144"/>
      <c r="G993" s="87" t="s">
        <v>5073</v>
      </c>
      <c r="H993" s="89" t="s">
        <v>5074</v>
      </c>
      <c r="I993" s="91" t="str">
        <f>HYPERLINK("http://www.wviff.org/","http://www.wviff.org/")</f>
        <v>http://www.wviff.org/</v>
      </c>
      <c r="J993" s="155"/>
      <c r="K993" s="22" t="s">
        <v>27</v>
      </c>
      <c r="L993" s="22" t="s">
        <v>27</v>
      </c>
      <c r="M993" s="130" t="s">
        <v>5075</v>
      </c>
      <c r="N993" s="130" t="s">
        <v>357</v>
      </c>
      <c r="O993" s="22" t="s">
        <v>27</v>
      </c>
      <c r="P993" s="22" t="s">
        <v>27</v>
      </c>
      <c r="Q993" s="131"/>
      <c r="R993" s="132"/>
      <c r="S993" s="132"/>
      <c r="T993" s="118"/>
      <c r="U993" s="176" t="s">
        <v>97</v>
      </c>
      <c r="V993" s="119"/>
      <c r="W993" s="119"/>
      <c r="X993" s="119"/>
      <c r="Y993" s="134"/>
      <c r="Z993" s="119"/>
      <c r="AA993" s="119"/>
      <c r="AB993" s="119"/>
      <c r="AC993" s="119"/>
      <c r="AD993" s="119"/>
      <c r="AE993" s="119"/>
      <c r="AF993" s="119"/>
      <c r="AG993" s="119"/>
      <c r="AH993" s="121"/>
      <c r="AI993" s="121"/>
      <c r="AJ993" s="121"/>
      <c r="AK993" s="121"/>
      <c r="AL993" s="121"/>
      <c r="AM993" s="135"/>
      <c r="AN993" s="119"/>
      <c r="AO993" s="119"/>
      <c r="AP993" s="119"/>
      <c r="AQ993" s="119"/>
      <c r="AR993" s="119"/>
      <c r="AS993" s="119"/>
    </row>
    <row r="994">
      <c r="A994" s="137">
        <v>931.0</v>
      </c>
      <c r="B994" s="122">
        <v>4.0</v>
      </c>
      <c r="C994" s="123" t="s">
        <v>5076</v>
      </c>
      <c r="D994" s="124" t="s">
        <v>52</v>
      </c>
      <c r="E994" s="126" t="s">
        <v>52</v>
      </c>
      <c r="F994" s="312"/>
      <c r="G994" s="216" t="s">
        <v>5077</v>
      </c>
      <c r="H994" s="89" t="s">
        <v>5078</v>
      </c>
      <c r="I994" s="91" t="str">
        <f>HYPERLINK("https://filmfreeway.com/TheWestVirginiaMountaineerShortFilmFestival","https://filmfreeway.com/TheWestVirginiaMountaineerShortFilmFestival")</f>
        <v>https://filmfreeway.com/TheWestVirginiaMountaineerShortFilmFestival</v>
      </c>
      <c r="J994" s="155"/>
      <c r="K994" s="22" t="s">
        <v>27</v>
      </c>
      <c r="L994" s="22" t="s">
        <v>27</v>
      </c>
      <c r="M994" s="170" t="s">
        <v>5079</v>
      </c>
      <c r="N994" s="130" t="s">
        <v>357</v>
      </c>
      <c r="O994" s="22" t="s">
        <v>27</v>
      </c>
      <c r="P994" s="22" t="s">
        <v>27</v>
      </c>
      <c r="Q994" s="131"/>
      <c r="R994" s="132"/>
      <c r="S994" s="148" t="s">
        <v>97</v>
      </c>
      <c r="T994" s="118"/>
      <c r="U994" s="119"/>
      <c r="V994" s="119"/>
      <c r="W994" s="120" t="s">
        <v>97</v>
      </c>
      <c r="X994" s="119"/>
      <c r="Y994" s="134"/>
      <c r="Z994" s="119"/>
      <c r="AA994" s="119"/>
      <c r="AB994" s="119"/>
      <c r="AC994" s="119"/>
      <c r="AD994" s="119"/>
      <c r="AE994" s="119"/>
      <c r="AF994" s="119"/>
      <c r="AG994" s="119"/>
      <c r="AH994" s="121"/>
      <c r="AI994" s="121"/>
      <c r="AJ994" s="121"/>
      <c r="AK994" s="121"/>
      <c r="AL994" s="121"/>
      <c r="AM994" s="135"/>
      <c r="AN994" s="119"/>
      <c r="AO994" s="119"/>
      <c r="AP994" s="119"/>
      <c r="AQ994" s="119"/>
      <c r="AR994" s="119"/>
      <c r="AS994" s="119"/>
    </row>
    <row r="995">
      <c r="A995" s="137">
        <v>732.0</v>
      </c>
      <c r="B995" s="150">
        <v>10.0</v>
      </c>
      <c r="C995" s="104" t="s">
        <v>5080</v>
      </c>
      <c r="D995" s="105" t="s">
        <v>48</v>
      </c>
      <c r="E995" s="107" t="s">
        <v>48</v>
      </c>
      <c r="F995" s="101"/>
      <c r="G995" s="40" t="s">
        <v>5081</v>
      </c>
      <c r="H995" s="55" t="s">
        <v>5082</v>
      </c>
      <c r="I995" s="69" t="s">
        <v>5083</v>
      </c>
      <c r="J995" s="155"/>
      <c r="K995" s="22" t="s">
        <v>27</v>
      </c>
      <c r="L995" s="22" t="s">
        <v>27</v>
      </c>
      <c r="M995" s="73" t="s">
        <v>5084</v>
      </c>
      <c r="N995" s="179" t="s">
        <v>412</v>
      </c>
      <c r="O995" s="22" t="s">
        <v>27</v>
      </c>
      <c r="P995" s="22" t="s">
        <v>27</v>
      </c>
      <c r="Q995" s="22"/>
      <c r="R995" s="22"/>
      <c r="S995" s="117"/>
      <c r="T995" s="236"/>
      <c r="U995" s="176" t="s">
        <v>97</v>
      </c>
      <c r="V995" s="161"/>
      <c r="W995" s="161"/>
      <c r="X995" s="161"/>
      <c r="Y995" s="161"/>
      <c r="Z995" s="161"/>
      <c r="AA995" s="161"/>
      <c r="AB995" s="161"/>
      <c r="AC995" s="161"/>
      <c r="AD995" s="161"/>
      <c r="AE995" s="161"/>
      <c r="AF995" s="161"/>
      <c r="AG995" s="161"/>
      <c r="AH995" s="163"/>
      <c r="AI995" s="163"/>
      <c r="AJ995" s="163"/>
      <c r="AK995" s="163"/>
      <c r="AL995" s="163"/>
      <c r="AM995" s="163"/>
      <c r="AN995" s="161"/>
      <c r="AO995" s="161"/>
      <c r="AP995" s="161"/>
      <c r="AQ995" s="161"/>
      <c r="AR995" s="161"/>
      <c r="AS995" s="119"/>
    </row>
    <row r="996">
      <c r="A996" s="137">
        <v>865.0</v>
      </c>
      <c r="B996" s="103">
        <v>11.0</v>
      </c>
      <c r="C996" s="104" t="s">
        <v>5085</v>
      </c>
      <c r="D996" s="105" t="s">
        <v>48</v>
      </c>
      <c r="E996" s="107" t="s">
        <v>48</v>
      </c>
      <c r="F996" s="109"/>
      <c r="G996" s="10" t="s">
        <v>5086</v>
      </c>
      <c r="H996" s="17" t="s">
        <v>5087</v>
      </c>
      <c r="I996" s="111" t="s">
        <v>5088</v>
      </c>
      <c r="J996" s="155"/>
      <c r="K996" s="37">
        <v>44146.0</v>
      </c>
      <c r="L996" s="37">
        <v>44149.0</v>
      </c>
      <c r="M996" s="24" t="s">
        <v>5089</v>
      </c>
      <c r="N996" s="24" t="s">
        <v>350</v>
      </c>
      <c r="O996" s="37">
        <v>43952.0</v>
      </c>
      <c r="P996" s="37">
        <v>44074.0</v>
      </c>
      <c r="Q996" s="223"/>
      <c r="R996" s="223"/>
      <c r="S996" s="224"/>
      <c r="T996" s="118"/>
      <c r="U996" s="176" t="s">
        <v>97</v>
      </c>
      <c r="V996" s="119"/>
      <c r="W996" s="119"/>
      <c r="X996" s="119"/>
      <c r="Y996" s="119"/>
      <c r="Z996" s="119"/>
      <c r="AA996" s="119"/>
      <c r="AB996" s="119"/>
      <c r="AC996" s="119"/>
      <c r="AD996" s="119"/>
      <c r="AE996" s="119"/>
      <c r="AF996" s="119"/>
      <c r="AG996" s="119"/>
      <c r="AH996" s="121"/>
      <c r="AI996" s="121"/>
      <c r="AJ996" s="121"/>
      <c r="AK996" s="121"/>
      <c r="AL996" s="121"/>
      <c r="AM996" s="121"/>
      <c r="AN996" s="119"/>
      <c r="AO996" s="119"/>
      <c r="AP996" s="119"/>
      <c r="AQ996" s="119"/>
      <c r="AR996" s="119"/>
      <c r="AS996" s="119"/>
    </row>
    <row r="997">
      <c r="A997" s="137">
        <v>1027.0</v>
      </c>
      <c r="B997" s="173"/>
      <c r="C997" s="668" t="s">
        <v>5090</v>
      </c>
      <c r="D997" s="622" t="s">
        <v>71</v>
      </c>
      <c r="E997" s="805" t="s">
        <v>5091</v>
      </c>
      <c r="F997" s="254"/>
      <c r="G997" s="256" t="s">
        <v>1913</v>
      </c>
      <c r="H997" s="669" t="s">
        <v>5092</v>
      </c>
      <c r="I997" s="280" t="s">
        <v>5093</v>
      </c>
      <c r="J997" s="670"/>
      <c r="K997" s="286">
        <v>44040.0</v>
      </c>
      <c r="L997" s="286">
        <v>44044.0</v>
      </c>
      <c r="M997" s="254" t="s">
        <v>3139</v>
      </c>
      <c r="N997" s="254" t="s">
        <v>132</v>
      </c>
      <c r="O997" s="286">
        <v>43800.0</v>
      </c>
      <c r="P997" s="286">
        <v>43951.0</v>
      </c>
      <c r="Q997" s="22"/>
      <c r="R997" s="22"/>
      <c r="S997" s="117"/>
      <c r="T997" s="236"/>
      <c r="U997" s="161"/>
      <c r="V997" s="161"/>
      <c r="W997" s="161"/>
      <c r="X997" s="161"/>
      <c r="Y997" s="161"/>
      <c r="Z997" s="161"/>
      <c r="AA997" s="161"/>
      <c r="AB997" s="161"/>
      <c r="AC997" s="161"/>
      <c r="AD997" s="161"/>
      <c r="AE997" s="161"/>
      <c r="AF997" s="161"/>
      <c r="AG997" s="237"/>
      <c r="AH997" s="163"/>
      <c r="AI997" s="163"/>
      <c r="AJ997" s="163"/>
      <c r="AK997" s="163"/>
      <c r="AL997" s="163"/>
      <c r="AM997" s="165" t="s">
        <v>97</v>
      </c>
      <c r="AN997" s="161"/>
      <c r="AO997" s="645" t="s">
        <v>97</v>
      </c>
      <c r="AP997" s="161"/>
      <c r="AQ997" s="161"/>
      <c r="AR997" s="161"/>
      <c r="AS997" s="119"/>
    </row>
    <row r="998">
      <c r="A998" s="101">
        <v>863.0</v>
      </c>
      <c r="B998" s="103">
        <v>11.0</v>
      </c>
      <c r="C998" s="104" t="s">
        <v>5094</v>
      </c>
      <c r="D998" s="105" t="s">
        <v>48</v>
      </c>
      <c r="E998" s="107" t="s">
        <v>48</v>
      </c>
      <c r="F998" s="109"/>
      <c r="G998" s="10" t="s">
        <v>5095</v>
      </c>
      <c r="H998" s="17" t="s">
        <v>5096</v>
      </c>
      <c r="I998" s="111" t="s">
        <v>5097</v>
      </c>
      <c r="J998" s="155"/>
      <c r="K998" s="22" t="s">
        <v>27</v>
      </c>
      <c r="L998" s="22" t="s">
        <v>27</v>
      </c>
      <c r="M998" s="24" t="s">
        <v>5098</v>
      </c>
      <c r="N998" s="24" t="s">
        <v>2531</v>
      </c>
      <c r="O998" s="22" t="s">
        <v>27</v>
      </c>
      <c r="P998" s="22" t="s">
        <v>27</v>
      </c>
      <c r="Q998" s="223"/>
      <c r="R998" s="223"/>
      <c r="S998" s="224"/>
      <c r="T998" s="118"/>
      <c r="U998" s="176" t="s">
        <v>97</v>
      </c>
      <c r="V998" s="119"/>
      <c r="W998" s="119"/>
      <c r="X998" s="119"/>
      <c r="Y998" s="119"/>
      <c r="Z998" s="119"/>
      <c r="AA998" s="119"/>
      <c r="AB998" s="119"/>
      <c r="AC998" s="119"/>
      <c r="AD998" s="119"/>
      <c r="AE998" s="119"/>
      <c r="AF998" s="119"/>
      <c r="AG998" s="119"/>
      <c r="AH998" s="121"/>
      <c r="AI998" s="121"/>
      <c r="AJ998" s="121"/>
      <c r="AK998" s="121"/>
      <c r="AL998" s="121"/>
      <c r="AM998" s="121"/>
      <c r="AN998" s="119"/>
      <c r="AO998" s="119"/>
      <c r="AP998" s="119"/>
      <c r="AQ998" s="119"/>
      <c r="AR998" s="119"/>
      <c r="AS998" s="119"/>
    </row>
    <row r="999">
      <c r="A999" s="137">
        <v>733.0</v>
      </c>
      <c r="B999" s="177"/>
      <c r="C999" s="104" t="s">
        <v>5099</v>
      </c>
      <c r="D999" s="226" t="s">
        <v>54</v>
      </c>
      <c r="E999" s="227" t="s">
        <v>54</v>
      </c>
      <c r="F999" s="178"/>
      <c r="G999" s="77" t="s">
        <v>1061</v>
      </c>
      <c r="H999" s="32" t="s">
        <v>1062</v>
      </c>
      <c r="I999" s="84" t="s">
        <v>1068</v>
      </c>
      <c r="J999" s="20" t="s">
        <v>78</v>
      </c>
      <c r="K999" s="37">
        <v>43923.0</v>
      </c>
      <c r="L999" s="37">
        <v>43933.0</v>
      </c>
      <c r="M999" s="73" t="s">
        <v>447</v>
      </c>
      <c r="N999" s="85" t="s">
        <v>80</v>
      </c>
      <c r="O999" s="113">
        <v>43739.0</v>
      </c>
      <c r="P999" s="37">
        <v>43871.0</v>
      </c>
      <c r="Q999" s="22"/>
      <c r="R999" s="22"/>
      <c r="S999" s="117"/>
      <c r="T999" s="181"/>
      <c r="U999" s="184"/>
      <c r="V999" s="184"/>
      <c r="W999" s="184"/>
      <c r="X999" s="184"/>
      <c r="Y999" s="233" t="s">
        <v>97</v>
      </c>
      <c r="Z999" s="184"/>
      <c r="AA999" s="184"/>
      <c r="AB999" s="184"/>
      <c r="AC999" s="184"/>
      <c r="AD999" s="186"/>
      <c r="AE999" s="187"/>
      <c r="AF999" s="184"/>
      <c r="AG999" s="187"/>
      <c r="AH999" s="189"/>
      <c r="AI999" s="189"/>
      <c r="AJ999" s="189"/>
      <c r="AK999" s="189"/>
      <c r="AL999" s="189"/>
      <c r="AM999" s="189"/>
      <c r="AN999" s="187"/>
      <c r="AO999" s="187"/>
      <c r="AP999" s="184"/>
      <c r="AQ999" s="187"/>
      <c r="AR999" s="187"/>
      <c r="AS999" s="119"/>
    </row>
    <row r="1000">
      <c r="A1000" s="101">
        <v>734.0</v>
      </c>
      <c r="B1000" s="150"/>
      <c r="C1000" s="104" t="s">
        <v>5100</v>
      </c>
      <c r="D1000" s="138" t="s">
        <v>75</v>
      </c>
      <c r="E1000" s="107" t="s">
        <v>345</v>
      </c>
      <c r="F1000" s="101"/>
      <c r="G1000" s="40" t="s">
        <v>5101</v>
      </c>
      <c r="H1000" s="55" t="s">
        <v>5102</v>
      </c>
      <c r="I1000" s="69" t="s">
        <v>5103</v>
      </c>
      <c r="J1000" s="155"/>
      <c r="K1000" s="37">
        <v>43846.0</v>
      </c>
      <c r="L1000" s="37">
        <v>43850.0</v>
      </c>
      <c r="M1000" s="73" t="s">
        <v>444</v>
      </c>
      <c r="N1000" s="179" t="s">
        <v>72</v>
      </c>
      <c r="O1000" s="113">
        <v>43646.0</v>
      </c>
      <c r="P1000" s="37">
        <v>43732.0</v>
      </c>
      <c r="Q1000" s="22"/>
      <c r="R1000" s="22"/>
      <c r="S1000" s="117"/>
      <c r="T1000" s="236" t="s">
        <v>50</v>
      </c>
      <c r="U1000" s="161"/>
      <c r="V1000" s="161"/>
      <c r="W1000" s="161"/>
      <c r="X1000" s="161"/>
      <c r="Y1000" s="161"/>
      <c r="Z1000" s="161"/>
      <c r="AA1000" s="161"/>
      <c r="AB1000" s="161"/>
      <c r="AC1000" s="161"/>
      <c r="AD1000" s="161"/>
      <c r="AE1000" s="161"/>
      <c r="AF1000" s="161"/>
      <c r="AG1000" s="161"/>
      <c r="AH1000" s="163"/>
      <c r="AI1000" s="163"/>
      <c r="AJ1000" s="163"/>
      <c r="AK1000" s="163"/>
      <c r="AL1000" s="163"/>
      <c r="AM1000" s="163"/>
      <c r="AN1000" s="143" t="s">
        <v>97</v>
      </c>
      <c r="AO1000" s="161"/>
      <c r="AP1000" s="161"/>
      <c r="AQ1000" s="161"/>
      <c r="AR1000" s="161"/>
      <c r="AS1000" s="119"/>
    </row>
    <row r="1001">
      <c r="A1001" s="137">
        <v>735.0</v>
      </c>
      <c r="B1001" s="150"/>
      <c r="C1001" s="104" t="s">
        <v>4724</v>
      </c>
      <c r="D1001" s="138" t="s">
        <v>71</v>
      </c>
      <c r="E1001" s="107" t="s">
        <v>71</v>
      </c>
      <c r="F1001" s="101"/>
      <c r="G1001" s="40" t="s">
        <v>5104</v>
      </c>
      <c r="H1001" s="55" t="s">
        <v>5105</v>
      </c>
      <c r="I1001" s="69" t="s">
        <v>5106</v>
      </c>
      <c r="J1001" s="155"/>
      <c r="K1001" s="37">
        <v>44106.0</v>
      </c>
      <c r="L1001" s="37">
        <v>44108.0</v>
      </c>
      <c r="M1001" s="73" t="s">
        <v>178</v>
      </c>
      <c r="N1001" s="179" t="s">
        <v>179</v>
      </c>
      <c r="O1001" s="113">
        <v>43890.0</v>
      </c>
      <c r="P1001" s="37">
        <v>44044.0</v>
      </c>
      <c r="Q1001" s="22"/>
      <c r="R1001" s="22"/>
      <c r="S1001" s="117"/>
      <c r="T1001" s="236"/>
      <c r="U1001" s="161"/>
      <c r="V1001" s="161"/>
      <c r="W1001" s="161"/>
      <c r="X1001" s="161"/>
      <c r="Y1001" s="161"/>
      <c r="Z1001" s="161"/>
      <c r="AA1001" s="161"/>
      <c r="AB1001" s="161"/>
      <c r="AC1001" s="161"/>
      <c r="AD1001" s="161"/>
      <c r="AE1001" s="161"/>
      <c r="AF1001" s="161"/>
      <c r="AG1001" s="161"/>
      <c r="AH1001" s="163"/>
      <c r="AI1001" s="163"/>
      <c r="AJ1001" s="163"/>
      <c r="AK1001" s="163"/>
      <c r="AL1001" s="163"/>
      <c r="AM1001" s="165" t="s">
        <v>97</v>
      </c>
      <c r="AN1001" s="161"/>
      <c r="AO1001" s="161"/>
      <c r="AP1001" s="161"/>
      <c r="AQ1001" s="161"/>
      <c r="AR1001" s="161"/>
      <c r="AS1001" s="119"/>
    </row>
    <row r="1002">
      <c r="A1002" s="137">
        <v>736.0</v>
      </c>
      <c r="B1002" s="150"/>
      <c r="C1002" s="104" t="s">
        <v>5107</v>
      </c>
      <c r="D1002" s="138" t="s">
        <v>75</v>
      </c>
      <c r="E1002" s="107" t="s">
        <v>345</v>
      </c>
      <c r="F1002" s="101"/>
      <c r="G1002" s="40" t="s">
        <v>5108</v>
      </c>
      <c r="H1002" s="55" t="s">
        <v>5109</v>
      </c>
      <c r="I1002" s="69" t="s">
        <v>5110</v>
      </c>
      <c r="J1002" s="155"/>
      <c r="K1002" s="37">
        <v>44119.0</v>
      </c>
      <c r="L1002" s="37">
        <v>44129.0</v>
      </c>
      <c r="M1002" s="156" t="s">
        <v>196</v>
      </c>
      <c r="N1002" s="179" t="s">
        <v>29</v>
      </c>
      <c r="O1002" s="113">
        <v>44063.0</v>
      </c>
      <c r="P1002" s="37">
        <v>44085.0</v>
      </c>
      <c r="Q1002" s="22"/>
      <c r="R1002" s="22"/>
      <c r="S1002" s="117"/>
      <c r="T1002" s="236" t="s">
        <v>50</v>
      </c>
      <c r="U1002" s="161"/>
      <c r="V1002" s="161"/>
      <c r="W1002" s="161"/>
      <c r="X1002" s="161"/>
      <c r="Y1002" s="161"/>
      <c r="Z1002" s="161"/>
      <c r="AA1002" s="161"/>
      <c r="AB1002" s="161"/>
      <c r="AC1002" s="161"/>
      <c r="AD1002" s="161"/>
      <c r="AE1002" s="161"/>
      <c r="AF1002" s="161"/>
      <c r="AG1002" s="161"/>
      <c r="AH1002" s="163"/>
      <c r="AI1002" s="163"/>
      <c r="AJ1002" s="163"/>
      <c r="AK1002" s="163"/>
      <c r="AL1002" s="163"/>
      <c r="AM1002" s="163"/>
      <c r="AN1002" s="143" t="s">
        <v>97</v>
      </c>
      <c r="AO1002" s="161"/>
      <c r="AP1002" s="161"/>
      <c r="AQ1002" s="161"/>
      <c r="AR1002" s="161"/>
      <c r="AS1002" s="119"/>
    </row>
    <row r="1003">
      <c r="A1003" s="101">
        <v>737.0</v>
      </c>
      <c r="B1003" s="806"/>
      <c r="C1003" s="104" t="s">
        <v>5111</v>
      </c>
      <c r="D1003" s="105" t="s">
        <v>48</v>
      </c>
      <c r="E1003" s="107" t="s">
        <v>48</v>
      </c>
      <c r="F1003" s="178"/>
      <c r="G1003" s="798" t="s">
        <v>5112</v>
      </c>
      <c r="H1003" s="799" t="s">
        <v>5113</v>
      </c>
      <c r="I1003" s="807" t="s">
        <v>5114</v>
      </c>
      <c r="J1003" s="646"/>
      <c r="K1003" s="648">
        <v>43904.0</v>
      </c>
      <c r="L1003" s="648">
        <v>43904.0</v>
      </c>
      <c r="M1003" s="801" t="s">
        <v>5115</v>
      </c>
      <c r="N1003" s="801" t="s">
        <v>350</v>
      </c>
      <c r="O1003" s="650">
        <v>43738.0</v>
      </c>
      <c r="P1003" s="648">
        <v>43828.0</v>
      </c>
      <c r="Q1003" s="808"/>
      <c r="R1003" s="808"/>
      <c r="S1003" s="809"/>
      <c r="T1003" s="181"/>
      <c r="U1003" s="182" t="s">
        <v>97</v>
      </c>
      <c r="V1003" s="184"/>
      <c r="W1003" s="184"/>
      <c r="X1003" s="184"/>
      <c r="Y1003" s="184"/>
      <c r="Z1003" s="184"/>
      <c r="AA1003" s="184"/>
      <c r="AB1003" s="184"/>
      <c r="AC1003" s="184"/>
      <c r="AD1003" s="186"/>
      <c r="AE1003" s="187"/>
      <c r="AF1003" s="184"/>
      <c r="AG1003" s="187"/>
      <c r="AH1003" s="189"/>
      <c r="AI1003" s="189"/>
      <c r="AJ1003" s="189"/>
      <c r="AK1003" s="189"/>
      <c r="AL1003" s="189"/>
      <c r="AM1003" s="189"/>
      <c r="AN1003" s="187"/>
      <c r="AO1003" s="187"/>
      <c r="AP1003" s="184"/>
      <c r="AQ1003" s="187"/>
      <c r="AR1003" s="187"/>
      <c r="AS1003" s="119"/>
    </row>
    <row r="1004">
      <c r="A1004" s="137">
        <v>738.0</v>
      </c>
      <c r="B1004" s="177">
        <v>11.0</v>
      </c>
      <c r="C1004" s="104" t="s">
        <v>1391</v>
      </c>
      <c r="D1004" s="105" t="s">
        <v>48</v>
      </c>
      <c r="E1004" s="107" t="s">
        <v>48</v>
      </c>
      <c r="F1004" s="810"/>
      <c r="G1004" s="77" t="s">
        <v>5116</v>
      </c>
      <c r="H1004" s="81" t="s">
        <v>5117</v>
      </c>
      <c r="I1004" s="84" t="str">
        <f>HYPERLINK("https://filmfreeway.com/WilliamsburgIndependentFilmFestival","https://filmfreeway.com/WilliamsburgIndependentFilmFestival")</f>
        <v>https://filmfreeway.com/WilliamsburgIndependentFilmFestival</v>
      </c>
      <c r="J1004" s="155"/>
      <c r="K1004" s="37">
        <v>44154.0</v>
      </c>
      <c r="L1004" s="37">
        <v>44157.0</v>
      </c>
      <c r="M1004" s="85" t="s">
        <v>196</v>
      </c>
      <c r="N1004" s="85" t="s">
        <v>29</v>
      </c>
      <c r="O1004" s="37">
        <v>44021.0</v>
      </c>
      <c r="P1004" s="37">
        <v>44118.0</v>
      </c>
      <c r="Q1004" s="22"/>
      <c r="R1004" s="22"/>
      <c r="S1004" s="117"/>
      <c r="T1004" s="181"/>
      <c r="U1004" s="811" t="s">
        <v>97</v>
      </c>
      <c r="V1004" s="812"/>
      <c r="W1004" s="812"/>
      <c r="X1004" s="812"/>
      <c r="Y1004" s="812"/>
      <c r="Z1004" s="812"/>
      <c r="AA1004" s="812"/>
      <c r="AB1004" s="812"/>
      <c r="AC1004" s="812"/>
      <c r="AD1004" s="813"/>
      <c r="AE1004" s="814"/>
      <c r="AF1004" s="812"/>
      <c r="AG1004" s="814"/>
      <c r="AH1004" s="815"/>
      <c r="AI1004" s="815"/>
      <c r="AJ1004" s="815"/>
      <c r="AK1004" s="815"/>
      <c r="AL1004" s="815"/>
      <c r="AM1004" s="815"/>
      <c r="AN1004" s="814"/>
      <c r="AO1004" s="814"/>
      <c r="AP1004" s="812"/>
      <c r="AQ1004" s="814"/>
      <c r="AR1004" s="814"/>
      <c r="AS1004" s="816"/>
    </row>
    <row r="1005">
      <c r="A1005" s="137">
        <v>739.0</v>
      </c>
      <c r="B1005" s="150"/>
      <c r="C1005" s="104" t="s">
        <v>5118</v>
      </c>
      <c r="D1005" s="105" t="s">
        <v>52</v>
      </c>
      <c r="E1005" s="107" t="s">
        <v>52</v>
      </c>
      <c r="F1005" s="817"/>
      <c r="G1005" s="40" t="s">
        <v>5119</v>
      </c>
      <c r="H1005" s="55" t="s">
        <v>5120</v>
      </c>
      <c r="I1005" s="69" t="s">
        <v>5121</v>
      </c>
      <c r="J1005" s="155"/>
      <c r="K1005" s="37">
        <v>43848.0</v>
      </c>
      <c r="L1005" s="37">
        <v>43848.0</v>
      </c>
      <c r="M1005" s="174" t="s">
        <v>5122</v>
      </c>
      <c r="N1005" s="179" t="s">
        <v>102</v>
      </c>
      <c r="O1005" s="113">
        <v>43814.0</v>
      </c>
      <c r="P1005" s="37">
        <v>43814.0</v>
      </c>
      <c r="Q1005" s="22"/>
      <c r="R1005" s="22"/>
      <c r="S1005" s="117"/>
      <c r="T1005" s="236"/>
      <c r="U1005" s="161"/>
      <c r="V1005" s="161"/>
      <c r="W1005" s="120" t="s">
        <v>97</v>
      </c>
      <c r="X1005" s="161"/>
      <c r="Y1005" s="161"/>
      <c r="Z1005" s="161"/>
      <c r="AA1005" s="161"/>
      <c r="AB1005" s="161"/>
      <c r="AC1005" s="161"/>
      <c r="AD1005" s="161"/>
      <c r="AE1005" s="161"/>
      <c r="AF1005" s="161"/>
      <c r="AG1005" s="161"/>
      <c r="AH1005" s="163"/>
      <c r="AI1005" s="163"/>
      <c r="AJ1005" s="163"/>
      <c r="AK1005" s="163"/>
      <c r="AL1005" s="163"/>
      <c r="AM1005" s="163"/>
      <c r="AN1005" s="161"/>
      <c r="AO1005" s="161"/>
      <c r="AP1005" s="161"/>
      <c r="AQ1005" s="161"/>
      <c r="AR1005" s="161"/>
      <c r="AS1005" s="119"/>
    </row>
    <row r="1006">
      <c r="A1006" s="137">
        <v>1022.0</v>
      </c>
      <c r="B1006" s="173"/>
      <c r="C1006" s="668" t="s">
        <v>5123</v>
      </c>
      <c r="D1006" s="622" t="s">
        <v>48</v>
      </c>
      <c r="E1006" s="622" t="s">
        <v>48</v>
      </c>
      <c r="F1006" s="817"/>
      <c r="G1006" s="818" t="s">
        <v>5124</v>
      </c>
      <c r="H1006" s="669" t="s">
        <v>5125</v>
      </c>
      <c r="I1006" s="259" t="s">
        <v>5126</v>
      </c>
      <c r="J1006" s="288"/>
      <c r="K1006" s="262">
        <v>43881.0</v>
      </c>
      <c r="L1006" s="262">
        <v>43890.0</v>
      </c>
      <c r="M1006" s="254" t="s">
        <v>196</v>
      </c>
      <c r="N1006" s="254" t="s">
        <v>29</v>
      </c>
      <c r="O1006" s="262">
        <v>43713.0</v>
      </c>
      <c r="P1006" s="262">
        <v>44150.0</v>
      </c>
      <c r="Q1006" s="22"/>
      <c r="R1006" s="22"/>
      <c r="S1006" s="193" t="s">
        <v>97</v>
      </c>
      <c r="T1006" s="236"/>
      <c r="U1006" s="176" t="s">
        <v>97</v>
      </c>
      <c r="V1006" s="161"/>
      <c r="W1006" s="161"/>
      <c r="X1006" s="161"/>
      <c r="Y1006" s="161"/>
      <c r="Z1006" s="161"/>
      <c r="AA1006" s="161"/>
      <c r="AB1006" s="161"/>
      <c r="AC1006" s="161"/>
      <c r="AD1006" s="161"/>
      <c r="AE1006" s="161"/>
      <c r="AF1006" s="161"/>
      <c r="AG1006" s="237"/>
      <c r="AH1006" s="163"/>
      <c r="AI1006" s="163"/>
      <c r="AJ1006" s="163"/>
      <c r="AK1006" s="163"/>
      <c r="AL1006" s="163"/>
      <c r="AM1006" s="163"/>
      <c r="AN1006" s="161"/>
      <c r="AO1006" s="161"/>
      <c r="AP1006" s="161"/>
      <c r="AQ1006" s="161"/>
      <c r="AR1006" s="161"/>
      <c r="AS1006" s="119"/>
    </row>
    <row r="1007">
      <c r="A1007" s="101">
        <v>740.0</v>
      </c>
      <c r="B1007" s="819"/>
      <c r="C1007" s="761" t="s">
        <v>5127</v>
      </c>
      <c r="D1007" s="773" t="s">
        <v>48</v>
      </c>
      <c r="E1007" s="782" t="s">
        <v>48</v>
      </c>
      <c r="F1007" s="820"/>
      <c r="G1007" s="77" t="s">
        <v>890</v>
      </c>
      <c r="H1007" s="151" t="s">
        <v>891</v>
      </c>
      <c r="I1007" s="84" t="s">
        <v>895</v>
      </c>
      <c r="J1007" s="20" t="s">
        <v>26</v>
      </c>
      <c r="K1007" s="37">
        <v>43923.0</v>
      </c>
      <c r="L1007" s="37">
        <v>43930.0</v>
      </c>
      <c r="M1007" s="85" t="s">
        <v>897</v>
      </c>
      <c r="N1007" s="85" t="s">
        <v>350</v>
      </c>
      <c r="O1007" s="113">
        <v>43800.0</v>
      </c>
      <c r="P1007" s="37">
        <v>43827.0</v>
      </c>
      <c r="Q1007" s="22"/>
      <c r="R1007" s="22"/>
      <c r="S1007" s="193" t="s">
        <v>97</v>
      </c>
      <c r="T1007" s="181"/>
      <c r="U1007" s="182" t="s">
        <v>97</v>
      </c>
      <c r="V1007" s="184"/>
      <c r="W1007" s="184"/>
      <c r="X1007" s="184"/>
      <c r="Y1007" s="184"/>
      <c r="Z1007" s="184"/>
      <c r="AA1007" s="184"/>
      <c r="AB1007" s="184"/>
      <c r="AC1007" s="184"/>
      <c r="AD1007" s="186"/>
      <c r="AE1007" s="187"/>
      <c r="AF1007" s="184"/>
      <c r="AG1007" s="187"/>
      <c r="AH1007" s="189"/>
      <c r="AI1007" s="189"/>
      <c r="AJ1007" s="189"/>
      <c r="AK1007" s="189"/>
      <c r="AL1007" s="189"/>
      <c r="AM1007" s="189"/>
      <c r="AN1007" s="187"/>
      <c r="AO1007" s="187"/>
      <c r="AP1007" s="184"/>
      <c r="AQ1007" s="187"/>
      <c r="AR1007" s="187"/>
      <c r="AS1007" s="119"/>
    </row>
    <row r="1008">
      <c r="A1008" s="137">
        <v>945.0</v>
      </c>
      <c r="B1008" s="821">
        <v>0.0</v>
      </c>
      <c r="C1008" s="822" t="s">
        <v>5128</v>
      </c>
      <c r="D1008" s="823" t="s">
        <v>56</v>
      </c>
      <c r="E1008" s="824" t="s">
        <v>5129</v>
      </c>
      <c r="F1008" s="825"/>
      <c r="G1008" s="128" t="s">
        <v>5130</v>
      </c>
      <c r="H1008" s="89" t="s">
        <v>5131</v>
      </c>
      <c r="I1008" s="91" t="str">
        <f>HYPERLINK("https://filmfreeway.com/WomenofAfricanDescentFilmFestival","https://filmfreeway.com/WomenofAfricanDescentFilmFestival")</f>
        <v>https://filmfreeway.com/WomenofAfricanDescentFilmFestival</v>
      </c>
      <c r="J1008" s="155"/>
      <c r="K1008" s="37">
        <v>43953.0</v>
      </c>
      <c r="L1008" s="37">
        <v>43953.0</v>
      </c>
      <c r="M1008" s="130" t="s">
        <v>28</v>
      </c>
      <c r="N1008" s="130" t="s">
        <v>29</v>
      </c>
      <c r="O1008" s="37">
        <v>43857.0</v>
      </c>
      <c r="P1008" s="37">
        <v>43901.0</v>
      </c>
      <c r="Q1008" s="131"/>
      <c r="R1008" s="132"/>
      <c r="S1008" s="132"/>
      <c r="T1008" s="118"/>
      <c r="U1008" s="119"/>
      <c r="V1008" s="119"/>
      <c r="W1008" s="119"/>
      <c r="X1008" s="401" t="s">
        <v>97</v>
      </c>
      <c r="Y1008" s="134"/>
      <c r="Z1008" s="119"/>
      <c r="AA1008" s="218" t="s">
        <v>97</v>
      </c>
      <c r="AB1008" s="119"/>
      <c r="AC1008" s="119"/>
      <c r="AD1008" s="119"/>
      <c r="AE1008" s="119"/>
      <c r="AF1008" s="119"/>
      <c r="AG1008" s="119"/>
      <c r="AH1008" s="121"/>
      <c r="AI1008" s="121"/>
      <c r="AJ1008" s="121"/>
      <c r="AK1008" s="121"/>
      <c r="AL1008" s="121"/>
      <c r="AM1008" s="135"/>
      <c r="AN1008" s="119"/>
      <c r="AO1008" s="119"/>
      <c r="AP1008" s="119"/>
      <c r="AQ1008" s="119"/>
      <c r="AR1008" s="119"/>
      <c r="AS1008" s="119"/>
    </row>
    <row r="1009">
      <c r="A1009" s="101">
        <v>1001.0</v>
      </c>
      <c r="B1009" s="826"/>
      <c r="C1009" s="822" t="s">
        <v>5132</v>
      </c>
      <c r="D1009" s="827" t="s">
        <v>71</v>
      </c>
      <c r="E1009" s="828" t="s">
        <v>71</v>
      </c>
      <c r="F1009" s="829"/>
      <c r="G1009" s="830" t="s">
        <v>5133</v>
      </c>
      <c r="H1009" s="831" t="s">
        <v>5134</v>
      </c>
      <c r="I1009" s="832" t="str">
        <f>HYPERLINK("https://filmfreeway.com/WomenSportsFilmFestival","https://filmfreeway.com/WomenSportsFilmFestival")</f>
        <v>https://filmfreeway.com/WomenSportsFilmFestival</v>
      </c>
      <c r="J1009" s="833"/>
      <c r="K1009" s="834">
        <v>44098.0</v>
      </c>
      <c r="L1009" s="834">
        <v>44100.0</v>
      </c>
      <c r="M1009" s="835" t="s">
        <v>399</v>
      </c>
      <c r="N1009" s="835" t="s">
        <v>72</v>
      </c>
      <c r="O1009" s="834">
        <v>43922.0</v>
      </c>
      <c r="P1009" s="834">
        <v>43985.0</v>
      </c>
      <c r="Q1009" s="836"/>
      <c r="R1009" s="837"/>
      <c r="S1009" s="838" t="s">
        <v>97</v>
      </c>
      <c r="T1009" s="118"/>
      <c r="U1009" s="119"/>
      <c r="V1009" s="119"/>
      <c r="W1009" s="119"/>
      <c r="X1009" s="119"/>
      <c r="Y1009" s="134"/>
      <c r="Z1009" s="119"/>
      <c r="AA1009" s="119"/>
      <c r="AB1009" s="119"/>
      <c r="AC1009" s="119"/>
      <c r="AD1009" s="119"/>
      <c r="AE1009" s="119"/>
      <c r="AF1009" s="119"/>
      <c r="AG1009" s="119"/>
      <c r="AH1009" s="121"/>
      <c r="AI1009" s="121"/>
      <c r="AJ1009" s="121"/>
      <c r="AK1009" s="121"/>
      <c r="AL1009" s="121"/>
      <c r="AM1009" s="165" t="s">
        <v>97</v>
      </c>
      <c r="AN1009" s="119"/>
      <c r="AO1009" s="119"/>
      <c r="AP1009" s="119"/>
      <c r="AQ1009" s="119"/>
      <c r="AR1009" s="119"/>
      <c r="AS1009" s="119"/>
    </row>
    <row r="1010">
      <c r="A1010" s="137">
        <v>947.0</v>
      </c>
      <c r="B1010" s="826"/>
      <c r="C1010" s="822" t="s">
        <v>5135</v>
      </c>
      <c r="D1010" s="839" t="s">
        <v>53</v>
      </c>
      <c r="E1010" s="824" t="s">
        <v>108</v>
      </c>
      <c r="F1010" s="840"/>
      <c r="G1010" s="216" t="s">
        <v>1136</v>
      </c>
      <c r="H1010" s="89" t="s">
        <v>1137</v>
      </c>
      <c r="I1010" s="91" t="str">
        <f>HYPERLINK("https://filmfreeway.com/WomensFilmFestival-Bratt","https://filmfreeway.com/WomensFilmFestival-Bratt")</f>
        <v>https://filmfreeway.com/WomensFilmFestival-Bratt</v>
      </c>
      <c r="J1010" s="93" t="s">
        <v>1143</v>
      </c>
      <c r="K1010" s="145">
        <v>43910.0</v>
      </c>
      <c r="L1010" s="145">
        <v>43919.0</v>
      </c>
      <c r="M1010" s="130" t="s">
        <v>1144</v>
      </c>
      <c r="N1010" s="130" t="s">
        <v>762</v>
      </c>
      <c r="O1010" s="145">
        <v>43723.0</v>
      </c>
      <c r="P1010" s="145">
        <v>43791.0</v>
      </c>
      <c r="Q1010" s="131"/>
      <c r="R1010" s="132"/>
      <c r="S1010" s="132"/>
      <c r="T1010" s="118"/>
      <c r="U1010" s="119"/>
      <c r="V1010" s="119"/>
      <c r="W1010" s="119"/>
      <c r="X1010" s="401" t="s">
        <v>97</v>
      </c>
      <c r="Y1010" s="134"/>
      <c r="Z1010" s="119"/>
      <c r="AA1010" s="119"/>
      <c r="AB1010" s="119"/>
      <c r="AC1010" s="119"/>
      <c r="AD1010" s="119"/>
      <c r="AE1010" s="119"/>
      <c r="AF1010" s="119"/>
      <c r="AG1010" s="119"/>
      <c r="AH1010" s="121"/>
      <c r="AI1010" s="121"/>
      <c r="AJ1010" s="121"/>
      <c r="AK1010" s="121"/>
      <c r="AL1010" s="121"/>
      <c r="AM1010" s="135"/>
      <c r="AN1010" s="119"/>
      <c r="AO1010" s="119"/>
      <c r="AP1010" s="119"/>
      <c r="AQ1010" s="119"/>
      <c r="AR1010" s="119"/>
      <c r="AS1010" s="119"/>
    </row>
    <row r="1011">
      <c r="A1011" s="137">
        <v>741.0</v>
      </c>
      <c r="B1011" s="841"/>
      <c r="C1011" s="761" t="s">
        <v>5136</v>
      </c>
      <c r="D1011" s="773" t="s">
        <v>53</v>
      </c>
      <c r="E1011" s="782" t="s">
        <v>53</v>
      </c>
      <c r="F1011" s="842"/>
      <c r="G1011" s="40" t="s">
        <v>766</v>
      </c>
      <c r="H1011" s="55" t="s">
        <v>767</v>
      </c>
      <c r="I1011" s="69" t="s">
        <v>769</v>
      </c>
      <c r="J1011" s="20" t="s">
        <v>771</v>
      </c>
      <c r="K1011" s="37">
        <v>43910.0</v>
      </c>
      <c r="L1011" s="37">
        <v>43919.0</v>
      </c>
      <c r="M1011" s="73" t="s">
        <v>772</v>
      </c>
      <c r="N1011" s="179" t="s">
        <v>212</v>
      </c>
      <c r="O1011" s="113">
        <v>43621.0</v>
      </c>
      <c r="P1011" s="37">
        <v>43804.0</v>
      </c>
      <c r="Q1011" s="22"/>
      <c r="R1011" s="22"/>
      <c r="S1011" s="117"/>
      <c r="T1011" s="236"/>
      <c r="U1011" s="161"/>
      <c r="V1011" s="161"/>
      <c r="W1011" s="161"/>
      <c r="X1011" s="401" t="s">
        <v>97</v>
      </c>
      <c r="Y1011" s="161"/>
      <c r="Z1011" s="161"/>
      <c r="AA1011" s="161"/>
      <c r="AB1011" s="161"/>
      <c r="AC1011" s="161"/>
      <c r="AD1011" s="161"/>
      <c r="AE1011" s="161"/>
      <c r="AF1011" s="161"/>
      <c r="AG1011" s="161"/>
      <c r="AH1011" s="163"/>
      <c r="AI1011" s="163"/>
      <c r="AJ1011" s="163"/>
      <c r="AK1011" s="163"/>
      <c r="AL1011" s="163"/>
      <c r="AM1011" s="163"/>
      <c r="AN1011" s="161"/>
      <c r="AO1011" s="161"/>
      <c r="AP1011" s="161"/>
      <c r="AQ1011" s="161"/>
      <c r="AR1011" s="161"/>
      <c r="AS1011" s="119"/>
    </row>
    <row r="1012">
      <c r="A1012" s="137">
        <v>742.0</v>
      </c>
      <c r="B1012" s="819">
        <v>6.0</v>
      </c>
      <c r="C1012" s="761" t="s">
        <v>4663</v>
      </c>
      <c r="D1012" s="773" t="s">
        <v>53</v>
      </c>
      <c r="E1012" s="782" t="s">
        <v>53</v>
      </c>
      <c r="F1012" s="820"/>
      <c r="G1012" s="77" t="s">
        <v>5137</v>
      </c>
      <c r="H1012" s="151" t="s">
        <v>5138</v>
      </c>
      <c r="I1012" s="84" t="s">
        <v>5139</v>
      </c>
      <c r="J1012" s="155"/>
      <c r="K1012" s="22" t="s">
        <v>27</v>
      </c>
      <c r="L1012" s="22" t="s">
        <v>27</v>
      </c>
      <c r="M1012" s="85" t="s">
        <v>196</v>
      </c>
      <c r="N1012" s="85" t="s">
        <v>29</v>
      </c>
      <c r="O1012" s="22" t="s">
        <v>27</v>
      </c>
      <c r="P1012" s="22" t="s">
        <v>27</v>
      </c>
      <c r="Q1012" s="22"/>
      <c r="R1012" s="22"/>
      <c r="S1012" s="117"/>
      <c r="T1012" s="181"/>
      <c r="U1012" s="184"/>
      <c r="V1012" s="184"/>
      <c r="W1012" s="184"/>
      <c r="X1012" s="671" t="s">
        <v>97</v>
      </c>
      <c r="Y1012" s="184"/>
      <c r="Z1012" s="184"/>
      <c r="AA1012" s="184"/>
      <c r="AB1012" s="184"/>
      <c r="AC1012" s="184"/>
      <c r="AD1012" s="186"/>
      <c r="AE1012" s="187"/>
      <c r="AF1012" s="184"/>
      <c r="AG1012" s="187"/>
      <c r="AH1012" s="189"/>
      <c r="AI1012" s="189"/>
      <c r="AJ1012" s="189"/>
      <c r="AK1012" s="189"/>
      <c r="AL1012" s="189"/>
      <c r="AM1012" s="189"/>
      <c r="AN1012" s="187"/>
      <c r="AO1012" s="187"/>
      <c r="AP1012" s="184"/>
      <c r="AQ1012" s="187"/>
      <c r="AR1012" s="187"/>
      <c r="AS1012" s="119"/>
    </row>
    <row r="1013">
      <c r="A1013" s="101">
        <v>743.0</v>
      </c>
      <c r="B1013" s="819"/>
      <c r="C1013" s="761" t="s">
        <v>5140</v>
      </c>
      <c r="D1013" s="773" t="s">
        <v>48</v>
      </c>
      <c r="E1013" s="782" t="s">
        <v>48</v>
      </c>
      <c r="F1013" s="820"/>
      <c r="G1013" s="798" t="s">
        <v>5141</v>
      </c>
      <c r="H1013" s="843" t="s">
        <v>5142</v>
      </c>
      <c r="I1013" s="800" t="s">
        <v>5143</v>
      </c>
      <c r="J1013" s="646"/>
      <c r="K1013" s="648">
        <v>44037.0</v>
      </c>
      <c r="L1013" s="648">
        <v>44044.0</v>
      </c>
      <c r="M1013" s="801" t="s">
        <v>5144</v>
      </c>
      <c r="N1013" s="801" t="s">
        <v>80</v>
      </c>
      <c r="O1013" s="650">
        <v>43891.0</v>
      </c>
      <c r="P1013" s="648">
        <v>43952.0</v>
      </c>
      <c r="Q1013" s="808"/>
      <c r="R1013" s="808"/>
      <c r="S1013" s="844" t="s">
        <v>97</v>
      </c>
      <c r="T1013" s="181"/>
      <c r="U1013" s="182" t="s">
        <v>97</v>
      </c>
      <c r="V1013" s="184"/>
      <c r="W1013" s="184"/>
      <c r="X1013" s="184"/>
      <c r="Y1013" s="184"/>
      <c r="Z1013" s="184"/>
      <c r="AA1013" s="184"/>
      <c r="AB1013" s="184"/>
      <c r="AC1013" s="184"/>
      <c r="AD1013" s="186"/>
      <c r="AE1013" s="187"/>
      <c r="AF1013" s="184"/>
      <c r="AG1013" s="187"/>
      <c r="AH1013" s="189"/>
      <c r="AI1013" s="189"/>
      <c r="AJ1013" s="189"/>
      <c r="AK1013" s="189"/>
      <c r="AL1013" s="189"/>
      <c r="AM1013" s="189"/>
      <c r="AN1013" s="187"/>
      <c r="AO1013" s="187"/>
      <c r="AP1013" s="184"/>
      <c r="AQ1013" s="187"/>
      <c r="AR1013" s="187"/>
      <c r="AS1013" s="119"/>
    </row>
    <row r="1014">
      <c r="A1014" s="137">
        <v>744.0</v>
      </c>
      <c r="B1014" s="819"/>
      <c r="C1014" s="761" t="s">
        <v>5145</v>
      </c>
      <c r="D1014" s="773" t="s">
        <v>48</v>
      </c>
      <c r="E1014" s="782" t="s">
        <v>48</v>
      </c>
      <c r="F1014" s="820"/>
      <c r="G1014" s="77" t="s">
        <v>5146</v>
      </c>
      <c r="H1014" s="81" t="s">
        <v>5147</v>
      </c>
      <c r="I1014" s="84" t="s">
        <v>5148</v>
      </c>
      <c r="J1014" s="155"/>
      <c r="K1014" s="37">
        <v>44104.0</v>
      </c>
      <c r="L1014" s="37">
        <v>44108.0</v>
      </c>
      <c r="M1014" s="85" t="s">
        <v>5149</v>
      </c>
      <c r="N1014" s="85" t="s">
        <v>29</v>
      </c>
      <c r="O1014" s="113">
        <v>43895.0</v>
      </c>
      <c r="P1014" s="37">
        <v>44000.0</v>
      </c>
      <c r="Q1014" s="22"/>
      <c r="R1014" s="22"/>
      <c r="S1014" s="117"/>
      <c r="T1014" s="181"/>
      <c r="U1014" s="811" t="s">
        <v>97</v>
      </c>
      <c r="V1014" s="812"/>
      <c r="W1014" s="812"/>
      <c r="X1014" s="812"/>
      <c r="Y1014" s="812"/>
      <c r="Z1014" s="812"/>
      <c r="AA1014" s="812"/>
      <c r="AB1014" s="812"/>
      <c r="AC1014" s="812"/>
      <c r="AD1014" s="813"/>
      <c r="AE1014" s="814"/>
      <c r="AF1014" s="812"/>
      <c r="AG1014" s="814"/>
      <c r="AH1014" s="815"/>
      <c r="AI1014" s="815"/>
      <c r="AJ1014" s="815"/>
      <c r="AK1014" s="815"/>
      <c r="AL1014" s="815"/>
      <c r="AM1014" s="815"/>
      <c r="AN1014" s="814"/>
      <c r="AO1014" s="814"/>
      <c r="AP1014" s="812"/>
      <c r="AQ1014" s="814"/>
      <c r="AR1014" s="814"/>
      <c r="AS1014" s="816"/>
    </row>
    <row r="1015">
      <c r="A1015" s="137">
        <v>745.0</v>
      </c>
      <c r="B1015" s="845">
        <v>8.0</v>
      </c>
      <c r="C1015" s="761" t="s">
        <v>5150</v>
      </c>
      <c r="D1015" s="773" t="s">
        <v>48</v>
      </c>
      <c r="E1015" s="782" t="s">
        <v>48</v>
      </c>
      <c r="F1015" s="842"/>
      <c r="G1015" s="40" t="s">
        <v>5151</v>
      </c>
      <c r="H1015" s="55" t="s">
        <v>5152</v>
      </c>
      <c r="I1015" s="175" t="s">
        <v>5153</v>
      </c>
      <c r="J1015" s="155"/>
      <c r="K1015" s="37">
        <v>44078.0</v>
      </c>
      <c r="L1015" s="37">
        <v>44081.0</v>
      </c>
      <c r="M1015" s="73" t="s">
        <v>5154</v>
      </c>
      <c r="N1015" s="179" t="s">
        <v>29</v>
      </c>
      <c r="O1015" s="37">
        <v>43799.0</v>
      </c>
      <c r="P1015" s="37">
        <v>44032.0</v>
      </c>
      <c r="Q1015" s="22"/>
      <c r="R1015" s="22"/>
      <c r="S1015" s="117"/>
      <c r="T1015" s="236"/>
      <c r="U1015" s="176" t="s">
        <v>97</v>
      </c>
      <c r="V1015" s="161"/>
      <c r="W1015" s="161"/>
      <c r="X1015" s="161"/>
      <c r="Y1015" s="161"/>
      <c r="Z1015" s="161"/>
      <c r="AA1015" s="161"/>
      <c r="AB1015" s="161"/>
      <c r="AC1015" s="161"/>
      <c r="AD1015" s="161"/>
      <c r="AE1015" s="161"/>
      <c r="AF1015" s="161"/>
      <c r="AG1015" s="161"/>
      <c r="AH1015" s="163"/>
      <c r="AI1015" s="163"/>
      <c r="AJ1015" s="163"/>
      <c r="AK1015" s="163"/>
      <c r="AL1015" s="163"/>
      <c r="AM1015" s="163"/>
      <c r="AN1015" s="161"/>
      <c r="AO1015" s="161"/>
      <c r="AP1015" s="161"/>
      <c r="AQ1015" s="161"/>
      <c r="AR1015" s="161"/>
      <c r="AS1015" s="119"/>
    </row>
    <row r="1016">
      <c r="A1016" s="101">
        <v>746.0</v>
      </c>
      <c r="B1016" s="841"/>
      <c r="C1016" s="761" t="s">
        <v>5155</v>
      </c>
      <c r="D1016" s="781" t="s">
        <v>71</v>
      </c>
      <c r="E1016" s="782" t="s">
        <v>71</v>
      </c>
      <c r="F1016" s="842"/>
      <c r="G1016" s="40" t="s">
        <v>5156</v>
      </c>
      <c r="H1016" s="55" t="s">
        <v>5157</v>
      </c>
      <c r="I1016" s="69" t="s">
        <v>5158</v>
      </c>
      <c r="J1016" s="155"/>
      <c r="K1016" s="37">
        <v>43959.0</v>
      </c>
      <c r="L1016" s="37">
        <v>43974.0</v>
      </c>
      <c r="M1016" s="156" t="s">
        <v>196</v>
      </c>
      <c r="N1016" s="179" t="s">
        <v>29</v>
      </c>
      <c r="O1016" s="113">
        <v>43819.0</v>
      </c>
      <c r="P1016" s="37">
        <v>43905.0</v>
      </c>
      <c r="Q1016" s="22"/>
      <c r="R1016" s="22"/>
      <c r="S1016" s="117"/>
      <c r="T1016" s="236"/>
      <c r="U1016" s="161"/>
      <c r="V1016" s="161"/>
      <c r="W1016" s="161"/>
      <c r="X1016" s="161"/>
      <c r="Y1016" s="161"/>
      <c r="Z1016" s="161"/>
      <c r="AA1016" s="161"/>
      <c r="AB1016" s="161"/>
      <c r="AC1016" s="161"/>
      <c r="AD1016" s="161"/>
      <c r="AE1016" s="161"/>
      <c r="AF1016" s="161"/>
      <c r="AG1016" s="161"/>
      <c r="AH1016" s="163"/>
      <c r="AI1016" s="163"/>
      <c r="AJ1016" s="163"/>
      <c r="AK1016" s="163"/>
      <c r="AL1016" s="163"/>
      <c r="AM1016" s="165" t="s">
        <v>97</v>
      </c>
      <c r="AN1016" s="161"/>
      <c r="AO1016" s="161"/>
      <c r="AP1016" s="161"/>
      <c r="AQ1016" s="161"/>
      <c r="AR1016" s="161"/>
      <c r="AS1016" s="119"/>
    </row>
    <row r="1017">
      <c r="A1017" s="137">
        <v>747.0</v>
      </c>
      <c r="B1017" s="841">
        <v>9.0</v>
      </c>
      <c r="C1017" s="761" t="s">
        <v>5159</v>
      </c>
      <c r="D1017" s="773" t="s">
        <v>48</v>
      </c>
      <c r="E1017" s="782" t="s">
        <v>48</v>
      </c>
      <c r="F1017" s="842"/>
      <c r="G1017" s="40" t="s">
        <v>5160</v>
      </c>
      <c r="H1017" s="55" t="s">
        <v>5161</v>
      </c>
      <c r="I1017" s="69" t="s">
        <v>5162</v>
      </c>
      <c r="J1017" s="155"/>
      <c r="K1017" s="22" t="s">
        <v>27</v>
      </c>
      <c r="L1017" s="22" t="s">
        <v>27</v>
      </c>
      <c r="M1017" s="73" t="s">
        <v>399</v>
      </c>
      <c r="N1017" s="179" t="s">
        <v>72</v>
      </c>
      <c r="O1017" s="22" t="s">
        <v>27</v>
      </c>
      <c r="P1017" s="22" t="s">
        <v>27</v>
      </c>
      <c r="Q1017" s="22"/>
      <c r="R1017" s="22"/>
      <c r="S1017" s="117"/>
      <c r="T1017" s="236"/>
      <c r="U1017" s="176" t="s">
        <v>97</v>
      </c>
      <c r="V1017" s="161"/>
      <c r="W1017" s="161"/>
      <c r="X1017" s="161"/>
      <c r="Y1017" s="161"/>
      <c r="Z1017" s="161"/>
      <c r="AA1017" s="161"/>
      <c r="AB1017" s="161"/>
      <c r="AC1017" s="161"/>
      <c r="AD1017" s="161"/>
      <c r="AE1017" s="161"/>
      <c r="AF1017" s="161"/>
      <c r="AG1017" s="161"/>
      <c r="AH1017" s="163"/>
      <c r="AI1017" s="163"/>
      <c r="AJ1017" s="163"/>
      <c r="AK1017" s="163"/>
      <c r="AL1017" s="163"/>
      <c r="AM1017" s="163"/>
      <c r="AN1017" s="161"/>
      <c r="AO1017" s="161"/>
      <c r="AP1017" s="161"/>
      <c r="AQ1017" s="161"/>
      <c r="AR1017" s="161"/>
      <c r="AS1017" s="119"/>
    </row>
    <row r="1018">
      <c r="A1018" s="137">
        <v>748.0</v>
      </c>
      <c r="B1018" s="845"/>
      <c r="C1018" s="846" t="s">
        <v>5163</v>
      </c>
      <c r="D1018" s="773" t="s">
        <v>48</v>
      </c>
      <c r="E1018" s="782" t="s">
        <v>48</v>
      </c>
      <c r="F1018" s="842"/>
      <c r="G1018" s="40" t="s">
        <v>380</v>
      </c>
      <c r="H1018" s="55" t="s">
        <v>381</v>
      </c>
      <c r="I1018" s="175" t="s">
        <v>384</v>
      </c>
      <c r="J1018" s="20" t="s">
        <v>386</v>
      </c>
      <c r="K1018" s="37">
        <v>43938.0</v>
      </c>
      <c r="L1018" s="37">
        <v>43947.0</v>
      </c>
      <c r="M1018" s="174" t="s">
        <v>387</v>
      </c>
      <c r="N1018" s="179" t="s">
        <v>102</v>
      </c>
      <c r="O1018" s="113">
        <v>43784.0</v>
      </c>
      <c r="P1018" s="37">
        <v>43861.0</v>
      </c>
      <c r="Q1018" s="22"/>
      <c r="R1018" s="22"/>
      <c r="S1018" s="117"/>
      <c r="T1018" s="236"/>
      <c r="U1018" s="176" t="s">
        <v>97</v>
      </c>
      <c r="V1018" s="161"/>
      <c r="W1018" s="161"/>
      <c r="X1018" s="161"/>
      <c r="Y1018" s="161"/>
      <c r="Z1018" s="161"/>
      <c r="AA1018" s="161"/>
      <c r="AB1018" s="161"/>
      <c r="AC1018" s="161"/>
      <c r="AD1018" s="161"/>
      <c r="AE1018" s="161"/>
      <c r="AF1018" s="161"/>
      <c r="AG1018" s="161"/>
      <c r="AH1018" s="163"/>
      <c r="AI1018" s="163"/>
      <c r="AJ1018" s="163"/>
      <c r="AK1018" s="163"/>
      <c r="AL1018" s="163"/>
      <c r="AM1018" s="163"/>
      <c r="AN1018" s="161"/>
      <c r="AO1018" s="161"/>
      <c r="AP1018" s="161"/>
      <c r="AQ1018" s="161"/>
      <c r="AR1018" s="161"/>
      <c r="AS1018" s="119"/>
    </row>
    <row r="1019">
      <c r="A1019" s="137">
        <v>892.0</v>
      </c>
      <c r="B1019" s="821">
        <v>10.0</v>
      </c>
      <c r="C1019" s="847" t="s">
        <v>5164</v>
      </c>
      <c r="D1019" s="848" t="s">
        <v>48</v>
      </c>
      <c r="E1019" s="849" t="s">
        <v>48</v>
      </c>
      <c r="F1019" s="825"/>
      <c r="G1019" s="128" t="s">
        <v>5165</v>
      </c>
      <c r="H1019" s="89" t="s">
        <v>5166</v>
      </c>
      <c r="I1019" s="91" t="str">
        <f>HYPERLINK("https://filmfreeway.com/WVFILMmakersFestival","https://filmfreeway.com/WVFILMmakersFestival")</f>
        <v>https://filmfreeway.com/WVFILMmakersFestival</v>
      </c>
      <c r="J1019" s="155"/>
      <c r="K1019" s="22" t="s">
        <v>27</v>
      </c>
      <c r="L1019" s="22" t="s">
        <v>27</v>
      </c>
      <c r="M1019" s="130" t="s">
        <v>5167</v>
      </c>
      <c r="N1019" s="130" t="s">
        <v>357</v>
      </c>
      <c r="O1019" s="22" t="s">
        <v>27</v>
      </c>
      <c r="P1019" s="22" t="s">
        <v>27</v>
      </c>
      <c r="Q1019" s="131"/>
      <c r="R1019" s="132"/>
      <c r="S1019" s="132"/>
      <c r="T1019" s="118"/>
      <c r="U1019" s="176" t="s">
        <v>97</v>
      </c>
      <c r="V1019" s="119"/>
      <c r="W1019" s="119"/>
      <c r="X1019" s="119"/>
      <c r="Y1019" s="134"/>
      <c r="Z1019" s="119"/>
      <c r="AA1019" s="119"/>
      <c r="AB1019" s="119"/>
      <c r="AC1019" s="119"/>
      <c r="AD1019" s="119"/>
      <c r="AE1019" s="119"/>
      <c r="AF1019" s="119"/>
      <c r="AG1019" s="119"/>
      <c r="AH1019" s="121"/>
      <c r="AI1019" s="121"/>
      <c r="AJ1019" s="121"/>
      <c r="AK1019" s="121"/>
      <c r="AL1019" s="121"/>
      <c r="AM1019" s="135"/>
      <c r="AN1019" s="119"/>
      <c r="AO1019" s="119"/>
      <c r="AP1019" s="119"/>
      <c r="AQ1019" s="119"/>
      <c r="AR1019" s="119"/>
      <c r="AS1019" s="119"/>
    </row>
    <row r="1020">
      <c r="A1020" s="137">
        <v>749.0</v>
      </c>
      <c r="B1020" s="845"/>
      <c r="C1020" s="761" t="s">
        <v>5168</v>
      </c>
      <c r="D1020" s="773" t="s">
        <v>70</v>
      </c>
      <c r="E1020" s="782" t="s">
        <v>70</v>
      </c>
      <c r="F1020" s="842"/>
      <c r="G1020" s="40" t="s">
        <v>5169</v>
      </c>
      <c r="H1020" s="55" t="s">
        <v>5170</v>
      </c>
      <c r="I1020" s="175" t="s">
        <v>5171</v>
      </c>
      <c r="J1020" s="155"/>
      <c r="K1020" s="37">
        <v>43917.0</v>
      </c>
      <c r="L1020" s="37">
        <v>43919.0</v>
      </c>
      <c r="M1020" s="73" t="s">
        <v>3687</v>
      </c>
      <c r="N1020" s="179" t="s">
        <v>339</v>
      </c>
      <c r="O1020" s="113">
        <v>43831.0</v>
      </c>
      <c r="P1020" s="37">
        <v>43831.0</v>
      </c>
      <c r="Q1020" s="22"/>
      <c r="R1020" s="22"/>
      <c r="S1020" s="117"/>
      <c r="T1020" s="236"/>
      <c r="U1020" s="161"/>
      <c r="V1020" s="161"/>
      <c r="W1020" s="161"/>
      <c r="X1020" s="161"/>
      <c r="Y1020" s="161"/>
      <c r="Z1020" s="161"/>
      <c r="AA1020" s="161"/>
      <c r="AB1020" s="161"/>
      <c r="AC1020" s="161"/>
      <c r="AD1020" s="161"/>
      <c r="AE1020" s="161"/>
      <c r="AF1020" s="161"/>
      <c r="AG1020" s="161"/>
      <c r="AH1020" s="163"/>
      <c r="AI1020" s="163"/>
      <c r="AJ1020" s="163"/>
      <c r="AK1020" s="163"/>
      <c r="AL1020" s="149" t="s">
        <v>97</v>
      </c>
      <c r="AM1020" s="163"/>
      <c r="AN1020" s="161"/>
      <c r="AO1020" s="161"/>
      <c r="AP1020" s="161"/>
      <c r="AQ1020" s="161"/>
      <c r="AR1020" s="161"/>
      <c r="AS1020" s="119"/>
    </row>
    <row r="1021">
      <c r="A1021" s="137">
        <v>829.0</v>
      </c>
      <c r="B1021" s="850">
        <v>10.0</v>
      </c>
      <c r="C1021" s="846" t="s">
        <v>5172</v>
      </c>
      <c r="D1021" s="851" t="s">
        <v>48</v>
      </c>
      <c r="E1021" s="852" t="s">
        <v>48</v>
      </c>
      <c r="F1021" s="790"/>
      <c r="G1021" s="10" t="s">
        <v>5173</v>
      </c>
      <c r="H1021" s="17" t="s">
        <v>5174</v>
      </c>
      <c r="I1021" s="34" t="s">
        <v>5175</v>
      </c>
      <c r="J1021" s="155"/>
      <c r="K1021" s="22" t="s">
        <v>27</v>
      </c>
      <c r="L1021" s="22" t="s">
        <v>27</v>
      </c>
      <c r="M1021" s="24" t="s">
        <v>2194</v>
      </c>
      <c r="N1021" s="24" t="s">
        <v>561</v>
      </c>
      <c r="O1021" s="22" t="s">
        <v>27</v>
      </c>
      <c r="P1021" s="22" t="s">
        <v>27</v>
      </c>
      <c r="Q1021" s="223"/>
      <c r="R1021" s="223"/>
      <c r="S1021" s="224"/>
      <c r="T1021" s="118"/>
      <c r="U1021" s="176" t="s">
        <v>97</v>
      </c>
      <c r="V1021" s="119"/>
      <c r="W1021" s="119"/>
      <c r="X1021" s="119"/>
      <c r="Y1021" s="119"/>
      <c r="Z1021" s="119"/>
      <c r="AA1021" s="119"/>
      <c r="AB1021" s="119"/>
      <c r="AC1021" s="119"/>
      <c r="AD1021" s="119"/>
      <c r="AE1021" s="119"/>
      <c r="AF1021" s="119"/>
      <c r="AG1021" s="119"/>
      <c r="AH1021" s="121"/>
      <c r="AI1021" s="121"/>
      <c r="AJ1021" s="121"/>
      <c r="AK1021" s="121"/>
      <c r="AL1021" s="121"/>
      <c r="AM1021" s="121"/>
      <c r="AN1021" s="119"/>
      <c r="AO1021" s="119"/>
      <c r="AP1021" s="119"/>
      <c r="AQ1021" s="119"/>
      <c r="AR1021" s="119"/>
      <c r="AS1021" s="119"/>
    </row>
    <row r="1022">
      <c r="A1022" s="101">
        <v>866.0</v>
      </c>
      <c r="B1022" s="853">
        <v>11.0</v>
      </c>
      <c r="C1022" s="846" t="s">
        <v>5176</v>
      </c>
      <c r="D1022" s="773" t="s">
        <v>48</v>
      </c>
      <c r="E1022" s="782" t="s">
        <v>48</v>
      </c>
      <c r="F1022" s="790"/>
      <c r="G1022" s="10" t="s">
        <v>5177</v>
      </c>
      <c r="H1022" s="17" t="s">
        <v>5178</v>
      </c>
      <c r="I1022" s="111" t="s">
        <v>5179</v>
      </c>
      <c r="J1022" s="155"/>
      <c r="K1022" s="37">
        <v>44141.0</v>
      </c>
      <c r="L1022" s="37">
        <v>44148.0</v>
      </c>
      <c r="M1022" s="24" t="s">
        <v>5180</v>
      </c>
      <c r="N1022" s="24" t="s">
        <v>29</v>
      </c>
      <c r="O1022" s="37">
        <v>43884.0</v>
      </c>
      <c r="P1022" s="37">
        <v>44030.0</v>
      </c>
      <c r="Q1022" s="223"/>
      <c r="R1022" s="223"/>
      <c r="S1022" s="203" t="s">
        <v>97</v>
      </c>
      <c r="T1022" s="118"/>
      <c r="U1022" s="176" t="s">
        <v>97</v>
      </c>
      <c r="V1022" s="119"/>
      <c r="W1022" s="119"/>
      <c r="X1022" s="119"/>
      <c r="Y1022" s="119"/>
      <c r="Z1022" s="119"/>
      <c r="AA1022" s="119"/>
      <c r="AB1022" s="119"/>
      <c r="AC1022" s="119"/>
      <c r="AD1022" s="119"/>
      <c r="AE1022" s="119"/>
      <c r="AF1022" s="119"/>
      <c r="AG1022" s="119"/>
      <c r="AH1022" s="121"/>
      <c r="AI1022" s="121"/>
      <c r="AJ1022" s="121"/>
      <c r="AK1022" s="121"/>
      <c r="AL1022" s="121"/>
      <c r="AM1022" s="121"/>
      <c r="AN1022" s="119"/>
      <c r="AO1022" s="119"/>
      <c r="AP1022" s="119"/>
      <c r="AQ1022" s="119"/>
      <c r="AR1022" s="119"/>
      <c r="AS1022" s="119"/>
    </row>
    <row r="1023">
      <c r="A1023" s="101">
        <v>750.0</v>
      </c>
      <c r="B1023" s="854">
        <v>11.0</v>
      </c>
      <c r="C1023" s="855" t="s">
        <v>5181</v>
      </c>
      <c r="D1023" s="856" t="s">
        <v>63</v>
      </c>
      <c r="E1023" s="857" t="s">
        <v>1297</v>
      </c>
      <c r="F1023" s="858"/>
      <c r="G1023" s="859" t="s">
        <v>5182</v>
      </c>
      <c r="H1023" s="860" t="s">
        <v>5183</v>
      </c>
      <c r="I1023" s="861" t="s">
        <v>5184</v>
      </c>
      <c r="J1023" s="862"/>
      <c r="K1023" s="37">
        <v>44139.0</v>
      </c>
      <c r="L1023" s="37">
        <v>44146.0</v>
      </c>
      <c r="M1023" s="220" t="s">
        <v>1425</v>
      </c>
      <c r="N1023" s="726" t="s">
        <v>72</v>
      </c>
      <c r="O1023" s="37">
        <v>43945.0</v>
      </c>
      <c r="P1023" s="37">
        <v>44113.0</v>
      </c>
      <c r="Q1023" s="664"/>
      <c r="R1023" s="664"/>
      <c r="S1023" s="863"/>
      <c r="T1023" s="864"/>
      <c r="U1023" s="865"/>
      <c r="V1023" s="865"/>
      <c r="W1023" s="865"/>
      <c r="X1023" s="865"/>
      <c r="Y1023" s="865"/>
      <c r="Z1023" s="865"/>
      <c r="AA1023" s="865"/>
      <c r="AB1023" s="865"/>
      <c r="AC1023" s="865"/>
      <c r="AD1023" s="865"/>
      <c r="AE1023" s="865"/>
      <c r="AF1023" s="865"/>
      <c r="AG1023" s="866" t="s">
        <v>97</v>
      </c>
      <c r="AH1023" s="867"/>
      <c r="AI1023" s="867"/>
      <c r="AJ1023" s="867"/>
      <c r="AK1023" s="867"/>
      <c r="AL1023" s="867"/>
      <c r="AM1023" s="867"/>
      <c r="AN1023" s="865"/>
      <c r="AO1023" s="865"/>
      <c r="AP1023" s="865"/>
      <c r="AQ1023" s="865"/>
      <c r="AR1023" s="865"/>
      <c r="AS1023" s="868"/>
    </row>
  </sheetData>
  <hyperlinks>
    <hyperlink r:id="rId1" ref="H2"/>
    <hyperlink r:id="rId2" ref="I2"/>
    <hyperlink r:id="rId3" ref="H3"/>
    <hyperlink r:id="rId4" ref="H4"/>
    <hyperlink r:id="rId5" ref="I4"/>
    <hyperlink r:id="rId6" ref="H5"/>
    <hyperlink r:id="rId7" ref="C6"/>
    <hyperlink r:id="rId8" ref="H6"/>
    <hyperlink r:id="rId9" ref="I6"/>
    <hyperlink r:id="rId10" ref="H7"/>
    <hyperlink r:id="rId11" ref="I7"/>
    <hyperlink r:id="rId12" ref="H8"/>
    <hyperlink r:id="rId13" ref="I8"/>
    <hyperlink r:id="rId14" ref="H9"/>
    <hyperlink r:id="rId15" ref="I9"/>
    <hyperlink r:id="rId16" ref="G10"/>
    <hyperlink r:id="rId17" ref="H10"/>
    <hyperlink r:id="rId18" ref="H11"/>
    <hyperlink r:id="rId19" ref="H12"/>
    <hyperlink r:id="rId20" ref="I12"/>
    <hyperlink r:id="rId21" ref="G13"/>
    <hyperlink r:id="rId22" ref="H13"/>
    <hyperlink r:id="rId23" ref="I13"/>
    <hyperlink r:id="rId24" ref="C14"/>
    <hyperlink r:id="rId25" ref="G14"/>
    <hyperlink r:id="rId26" ref="H14"/>
    <hyperlink r:id="rId27" ref="I14"/>
    <hyperlink r:id="rId28" ref="H15"/>
    <hyperlink r:id="rId29" ref="I15"/>
    <hyperlink r:id="rId30" ref="C16"/>
    <hyperlink r:id="rId31" ref="H16"/>
    <hyperlink r:id="rId32" ref="I16"/>
    <hyperlink r:id="rId33" ref="C17"/>
    <hyperlink r:id="rId34" ref="H17"/>
    <hyperlink r:id="rId35" ref="I17"/>
    <hyperlink r:id="rId36" ref="H18"/>
    <hyperlink r:id="rId37" ref="I18"/>
    <hyperlink r:id="rId38" ref="H19"/>
    <hyperlink r:id="rId39" ref="H20"/>
    <hyperlink r:id="rId40" ref="I20"/>
    <hyperlink r:id="rId41" ref="G21"/>
    <hyperlink r:id="rId42" ref="H21"/>
    <hyperlink r:id="rId43" ref="I21"/>
    <hyperlink r:id="rId44" ref="H22"/>
    <hyperlink r:id="rId45" ref="I22"/>
    <hyperlink r:id="rId46" ref="C23"/>
    <hyperlink r:id="rId47" ref="H23"/>
    <hyperlink r:id="rId48" ref="I23"/>
    <hyperlink r:id="rId49" ref="H24"/>
    <hyperlink r:id="rId50" ref="I24"/>
    <hyperlink r:id="rId51" ref="C25"/>
    <hyperlink r:id="rId52" ref="G25"/>
    <hyperlink r:id="rId53" ref="H25"/>
    <hyperlink r:id="rId54" ref="I25"/>
    <hyperlink r:id="rId55" ref="H26"/>
    <hyperlink r:id="rId56" ref="I26"/>
    <hyperlink r:id="rId57" ref="C27"/>
    <hyperlink r:id="rId58" ref="H27"/>
    <hyperlink r:id="rId59" ref="I27"/>
    <hyperlink r:id="rId60" ref="H28"/>
    <hyperlink r:id="rId61" ref="I28"/>
    <hyperlink r:id="rId62" ref="H29"/>
    <hyperlink r:id="rId63" ref="I29"/>
    <hyperlink r:id="rId64" ref="C30"/>
    <hyperlink r:id="rId65" ref="H30"/>
    <hyperlink r:id="rId66" ref="I30"/>
    <hyperlink r:id="rId67" ref="G31"/>
    <hyperlink r:id="rId68" ref="H31"/>
    <hyperlink r:id="rId69" ref="I31"/>
    <hyperlink r:id="rId70" ref="H32"/>
    <hyperlink r:id="rId71" ref="I32"/>
    <hyperlink r:id="rId72" ref="H33"/>
    <hyperlink r:id="rId73" ref="I33"/>
    <hyperlink r:id="rId74" ref="C34"/>
    <hyperlink r:id="rId75" ref="G34"/>
    <hyperlink r:id="rId76" ref="H34"/>
    <hyperlink r:id="rId77" ref="I34"/>
    <hyperlink r:id="rId78" ref="H35"/>
    <hyperlink r:id="rId79" ref="I35"/>
    <hyperlink r:id="rId80" ref="H36"/>
    <hyperlink r:id="rId81" ref="I36"/>
    <hyperlink r:id="rId82" ref="C37"/>
    <hyperlink r:id="rId83" ref="H37"/>
    <hyperlink r:id="rId84" ref="I37"/>
    <hyperlink r:id="rId85" ref="C38"/>
    <hyperlink r:id="rId86" ref="H38"/>
    <hyperlink r:id="rId87" ref="I38"/>
    <hyperlink r:id="rId88" ref="H39"/>
    <hyperlink r:id="rId89" ref="I39"/>
    <hyperlink r:id="rId90" ref="H40"/>
    <hyperlink r:id="rId91" ref="C41"/>
    <hyperlink r:id="rId92" ref="H41"/>
    <hyperlink r:id="rId93" ref="I41"/>
    <hyperlink r:id="rId94" ref="C42"/>
    <hyperlink r:id="rId95" ref="G42"/>
    <hyperlink r:id="rId96" ref="H42"/>
    <hyperlink r:id="rId97" ref="I42"/>
    <hyperlink r:id="rId98" ref="H43"/>
    <hyperlink r:id="rId99" ref="I43"/>
    <hyperlink r:id="rId100" ref="H44"/>
    <hyperlink r:id="rId101" ref="H45"/>
    <hyperlink r:id="rId102" ref="I45"/>
    <hyperlink r:id="rId103" ref="H46"/>
    <hyperlink r:id="rId104" ref="I46"/>
    <hyperlink r:id="rId105" ref="H47"/>
    <hyperlink r:id="rId106" ref="I47"/>
    <hyperlink r:id="rId107" ref="C48"/>
    <hyperlink r:id="rId108" ref="H48"/>
    <hyperlink r:id="rId109" ref="I48"/>
    <hyperlink r:id="rId110" ref="H49"/>
    <hyperlink r:id="rId111" ref="I49"/>
    <hyperlink r:id="rId112" ref="H50"/>
    <hyperlink r:id="rId113" ref="G51"/>
    <hyperlink r:id="rId114" ref="H51"/>
    <hyperlink r:id="rId115" ref="I51"/>
    <hyperlink r:id="rId116" ref="C52"/>
    <hyperlink r:id="rId117" ref="H52"/>
    <hyperlink r:id="rId118" ref="H53"/>
    <hyperlink r:id="rId119" ref="H54"/>
    <hyperlink r:id="rId120" ref="I54"/>
    <hyperlink r:id="rId121" ref="H55"/>
    <hyperlink r:id="rId122" ref="H56"/>
    <hyperlink r:id="rId123" ref="G57"/>
    <hyperlink r:id="rId124" ref="H57"/>
    <hyperlink r:id="rId125" ref="I57"/>
    <hyperlink r:id="rId126" ref="C58"/>
    <hyperlink r:id="rId127" ref="H58"/>
    <hyperlink r:id="rId128" ref="I58"/>
    <hyperlink r:id="rId129" ref="H59"/>
    <hyperlink r:id="rId130" ref="I59"/>
    <hyperlink r:id="rId131" ref="C60"/>
    <hyperlink r:id="rId132" ref="H60"/>
    <hyperlink r:id="rId133" ref="I60"/>
    <hyperlink r:id="rId134" ref="H61"/>
    <hyperlink r:id="rId135" ref="I61"/>
    <hyperlink r:id="rId136" ref="G62"/>
    <hyperlink r:id="rId137" ref="H62"/>
    <hyperlink r:id="rId138" ref="I62"/>
    <hyperlink r:id="rId139" ref="C63"/>
    <hyperlink r:id="rId140" ref="G63"/>
    <hyperlink r:id="rId141" ref="H63"/>
    <hyperlink r:id="rId142" ref="I63"/>
    <hyperlink r:id="rId143" ref="C64"/>
    <hyperlink r:id="rId144" ref="H64"/>
    <hyperlink r:id="rId145" ref="I64"/>
    <hyperlink r:id="rId146" ref="H65"/>
    <hyperlink r:id="rId147" ref="I65"/>
    <hyperlink r:id="rId148" ref="C66"/>
    <hyperlink r:id="rId149" ref="G66"/>
    <hyperlink r:id="rId150" ref="H66"/>
    <hyperlink r:id="rId151" ref="I66"/>
    <hyperlink r:id="rId152" ref="C67"/>
    <hyperlink r:id="rId153" ref="H67"/>
    <hyperlink r:id="rId154" ref="I67"/>
    <hyperlink r:id="rId155" ref="H68"/>
    <hyperlink r:id="rId156" ref="I68"/>
    <hyperlink r:id="rId157" ref="C69"/>
    <hyperlink r:id="rId158" ref="H69"/>
    <hyperlink r:id="rId159" ref="I69"/>
    <hyperlink r:id="rId160" ref="C70"/>
    <hyperlink r:id="rId161" ref="H70"/>
    <hyperlink r:id="rId162" ref="I70"/>
    <hyperlink r:id="rId163" ref="H71"/>
    <hyperlink r:id="rId164" ref="H72"/>
    <hyperlink r:id="rId165" ref="I72"/>
    <hyperlink r:id="rId166" ref="C73"/>
    <hyperlink r:id="rId167" ref="H73"/>
    <hyperlink r:id="rId168" ref="I73"/>
    <hyperlink r:id="rId169" ref="C74"/>
    <hyperlink r:id="rId170" ref="H74"/>
    <hyperlink r:id="rId171" ref="I74"/>
    <hyperlink r:id="rId172" ref="H75"/>
    <hyperlink r:id="rId173" ref="I75"/>
    <hyperlink r:id="rId174" ref="H76"/>
    <hyperlink r:id="rId175" ref="I76"/>
    <hyperlink r:id="rId176" ref="H77"/>
    <hyperlink r:id="rId177" ref="H78"/>
    <hyperlink r:id="rId178" ref="I78"/>
    <hyperlink r:id="rId179" ref="H79"/>
    <hyperlink r:id="rId180" ref="C80"/>
    <hyperlink r:id="rId181" ref="H80"/>
    <hyperlink r:id="rId182" ref="I80"/>
    <hyperlink r:id="rId183" ref="C81"/>
    <hyperlink r:id="rId184" ref="G81"/>
    <hyperlink r:id="rId185" ref="H81"/>
    <hyperlink r:id="rId186" ref="I81"/>
    <hyperlink r:id="rId187" ref="H82"/>
    <hyperlink r:id="rId188" ref="C83"/>
    <hyperlink r:id="rId189" ref="H83"/>
    <hyperlink r:id="rId190" ref="I83"/>
    <hyperlink r:id="rId191" ref="C84"/>
    <hyperlink r:id="rId192" ref="G84"/>
    <hyperlink r:id="rId193" ref="H84"/>
    <hyperlink r:id="rId194" ref="I84"/>
    <hyperlink r:id="rId195" ref="H85"/>
    <hyperlink r:id="rId196" ref="I85"/>
    <hyperlink r:id="rId197" ref="C86"/>
    <hyperlink r:id="rId198" ref="G86"/>
    <hyperlink r:id="rId199" ref="H86"/>
    <hyperlink r:id="rId200" ref="I86"/>
    <hyperlink r:id="rId201" ref="G87"/>
    <hyperlink r:id="rId202" ref="H87"/>
    <hyperlink r:id="rId203" ref="G88"/>
    <hyperlink r:id="rId204" ref="H88"/>
    <hyperlink r:id="rId205" ref="I88"/>
    <hyperlink r:id="rId206" ref="C89"/>
    <hyperlink r:id="rId207" ref="H89"/>
    <hyperlink r:id="rId208" ref="I89"/>
    <hyperlink r:id="rId209" ref="C90"/>
    <hyperlink r:id="rId210" ref="H90"/>
    <hyperlink r:id="rId211" ref="I90"/>
    <hyperlink r:id="rId212" ref="C91"/>
    <hyperlink r:id="rId213" ref="G91"/>
    <hyperlink r:id="rId214" ref="H91"/>
    <hyperlink r:id="rId215" ref="I91"/>
    <hyperlink r:id="rId216" ref="H92"/>
    <hyperlink r:id="rId217" ref="H93"/>
    <hyperlink r:id="rId218" ref="I93"/>
    <hyperlink r:id="rId219" ref="H94"/>
    <hyperlink r:id="rId220" ref="I94"/>
    <hyperlink r:id="rId221" ref="C95"/>
    <hyperlink r:id="rId222" ref="H95"/>
    <hyperlink r:id="rId223" ref="I95"/>
    <hyperlink r:id="rId224" ref="C96"/>
    <hyperlink r:id="rId225" ref="H96"/>
    <hyperlink r:id="rId226" ref="I96"/>
    <hyperlink r:id="rId227" ref="H97"/>
    <hyperlink r:id="rId228" ref="I97"/>
    <hyperlink r:id="rId229" ref="H98"/>
    <hyperlink r:id="rId230" ref="I98"/>
    <hyperlink r:id="rId231" ref="H99"/>
    <hyperlink r:id="rId232" ref="H100"/>
    <hyperlink r:id="rId233" ref="C101"/>
    <hyperlink r:id="rId234" ref="H101"/>
    <hyperlink r:id="rId235" ref="I101"/>
    <hyperlink r:id="rId236" ref="C102"/>
    <hyperlink r:id="rId237" ref="G102"/>
    <hyperlink r:id="rId238" ref="H102"/>
    <hyperlink r:id="rId239" ref="I102"/>
    <hyperlink r:id="rId240" ref="H103"/>
    <hyperlink r:id="rId241" ref="I103"/>
    <hyperlink r:id="rId242" ref="H104"/>
    <hyperlink r:id="rId243" ref="H105"/>
    <hyperlink r:id="rId244" ref="I105"/>
    <hyperlink r:id="rId245" ref="H106"/>
    <hyperlink r:id="rId246" ref="H107"/>
    <hyperlink r:id="rId247" ref="I107"/>
    <hyperlink r:id="rId248" ref="H108"/>
    <hyperlink r:id="rId249" ref="I108"/>
    <hyperlink r:id="rId250" ref="C109"/>
    <hyperlink r:id="rId251" ref="H109"/>
    <hyperlink r:id="rId252" ref="I109"/>
    <hyperlink r:id="rId253" ref="C110"/>
    <hyperlink r:id="rId254" ref="H110"/>
    <hyperlink r:id="rId255" ref="I110"/>
    <hyperlink r:id="rId256" ref="H111"/>
    <hyperlink r:id="rId257" ref="I111"/>
    <hyperlink r:id="rId258" ref="C112"/>
    <hyperlink r:id="rId259" ref="H112"/>
    <hyperlink r:id="rId260" ref="I112"/>
    <hyperlink r:id="rId261" ref="H113"/>
    <hyperlink r:id="rId262" ref="I113"/>
    <hyperlink r:id="rId263" ref="H114"/>
    <hyperlink r:id="rId264" ref="C115"/>
    <hyperlink r:id="rId265" ref="H115"/>
    <hyperlink r:id="rId266" ref="I115"/>
    <hyperlink r:id="rId267" ref="G116"/>
    <hyperlink r:id="rId268" ref="H116"/>
    <hyperlink r:id="rId269" ref="C117"/>
    <hyperlink r:id="rId270" ref="H117"/>
    <hyperlink r:id="rId271" ref="I117"/>
    <hyperlink r:id="rId272" ref="G118"/>
    <hyperlink r:id="rId273" ref="H118"/>
    <hyperlink r:id="rId274" ref="G119"/>
    <hyperlink r:id="rId275" ref="H119"/>
    <hyperlink r:id="rId276" ref="I119"/>
    <hyperlink r:id="rId277" ref="C120"/>
    <hyperlink r:id="rId278" ref="G120"/>
    <hyperlink r:id="rId279" ref="H120"/>
    <hyperlink r:id="rId280" ref="I120"/>
    <hyperlink r:id="rId281" ref="C121"/>
    <hyperlink r:id="rId282" ref="H121"/>
    <hyperlink r:id="rId283" ref="I121"/>
    <hyperlink r:id="rId284" ref="C122"/>
    <hyperlink r:id="rId285" ref="G122"/>
    <hyperlink r:id="rId286" ref="H122"/>
    <hyperlink r:id="rId287" ref="I122"/>
    <hyperlink r:id="rId288" ref="C123"/>
    <hyperlink r:id="rId289" ref="G123"/>
    <hyperlink r:id="rId290" ref="H123"/>
    <hyperlink r:id="rId291" ref="I123"/>
    <hyperlink r:id="rId292" ref="H124"/>
    <hyperlink r:id="rId293" ref="C125"/>
    <hyperlink r:id="rId294" ref="G125"/>
    <hyperlink r:id="rId295" ref="H125"/>
    <hyperlink r:id="rId296" ref="I125"/>
    <hyperlink r:id="rId297" ref="H126"/>
    <hyperlink r:id="rId298" ref="I126"/>
    <hyperlink r:id="rId299" ref="G127"/>
    <hyperlink r:id="rId300" ref="H127"/>
    <hyperlink r:id="rId301" ref="C128"/>
    <hyperlink r:id="rId302" ref="G128"/>
    <hyperlink r:id="rId303" ref="H128"/>
    <hyperlink r:id="rId304" ref="I128"/>
    <hyperlink r:id="rId305" ref="C129"/>
    <hyperlink r:id="rId306" ref="G129"/>
    <hyperlink r:id="rId307" ref="H129"/>
    <hyperlink r:id="rId308" ref="I129"/>
    <hyperlink r:id="rId309" ref="H130"/>
    <hyperlink r:id="rId310" ref="I130"/>
    <hyperlink r:id="rId311" ref="C131"/>
    <hyperlink r:id="rId312" ref="G131"/>
    <hyperlink r:id="rId313" ref="H131"/>
    <hyperlink r:id="rId314" ref="I131"/>
    <hyperlink r:id="rId315" ref="C132"/>
    <hyperlink r:id="rId316" ref="H132"/>
    <hyperlink r:id="rId317" ref="I132"/>
    <hyperlink r:id="rId318" ref="H133"/>
    <hyperlink r:id="rId319" ref="I133"/>
    <hyperlink r:id="rId320" ref="C134"/>
    <hyperlink r:id="rId321" ref="H134"/>
    <hyperlink r:id="rId322" ref="I134"/>
    <hyperlink r:id="rId323" ref="H135"/>
    <hyperlink r:id="rId324" ref="I135"/>
    <hyperlink r:id="rId325" ref="C136"/>
    <hyperlink r:id="rId326" ref="H136"/>
    <hyperlink r:id="rId327" ref="I136"/>
    <hyperlink r:id="rId328" ref="H137"/>
    <hyperlink r:id="rId329" ref="I137"/>
    <hyperlink r:id="rId330" ref="H138"/>
    <hyperlink r:id="rId331" ref="I138"/>
    <hyperlink r:id="rId332" ref="H139"/>
    <hyperlink r:id="rId333" ref="I139"/>
    <hyperlink r:id="rId334" ref="H140"/>
    <hyperlink r:id="rId335" ref="I140"/>
    <hyperlink r:id="rId336" ref="H141"/>
    <hyperlink r:id="rId337" ref="I141"/>
    <hyperlink r:id="rId338" ref="C142"/>
    <hyperlink r:id="rId339" ref="H142"/>
    <hyperlink r:id="rId340" ref="I142"/>
    <hyperlink r:id="rId341" ref="H143"/>
    <hyperlink r:id="rId342" ref="I143"/>
    <hyperlink r:id="rId343" ref="H144"/>
    <hyperlink r:id="rId344" ref="I144"/>
    <hyperlink r:id="rId345" ref="C145"/>
    <hyperlink r:id="rId346" ref="H145"/>
    <hyperlink r:id="rId347" ref="I145"/>
    <hyperlink r:id="rId348" ref="H146"/>
    <hyperlink r:id="rId349" ref="I146"/>
    <hyperlink r:id="rId350" ref="H147"/>
    <hyperlink r:id="rId351" ref="C148"/>
    <hyperlink r:id="rId352" ref="H148"/>
    <hyperlink r:id="rId353" ref="I148"/>
    <hyperlink r:id="rId354" ref="C149"/>
    <hyperlink r:id="rId355" ref="H149"/>
    <hyperlink r:id="rId356" ref="I149"/>
    <hyperlink r:id="rId357" ref="H150"/>
    <hyperlink r:id="rId358" ref="I150"/>
    <hyperlink r:id="rId359" ref="C151"/>
    <hyperlink r:id="rId360" ref="H151"/>
    <hyperlink r:id="rId361" ref="I151"/>
    <hyperlink r:id="rId362" ref="H152"/>
    <hyperlink r:id="rId363" ref="H153"/>
    <hyperlink r:id="rId364" ref="I153"/>
    <hyperlink r:id="rId365" ref="C154"/>
    <hyperlink r:id="rId366" ref="H154"/>
    <hyperlink r:id="rId367" ref="I154"/>
    <hyperlink r:id="rId368" ref="H155"/>
    <hyperlink r:id="rId369" ref="I155"/>
    <hyperlink r:id="rId370" ref="C156"/>
    <hyperlink r:id="rId371" ref="H156"/>
    <hyperlink r:id="rId372" ref="I156"/>
    <hyperlink r:id="rId373" ref="H157"/>
    <hyperlink r:id="rId374" ref="I157"/>
    <hyperlink r:id="rId375" ref="C158"/>
    <hyperlink r:id="rId376" ref="H158"/>
    <hyperlink r:id="rId377" ref="I158"/>
    <hyperlink r:id="rId378" ref="H159"/>
    <hyperlink r:id="rId379" ref="H160"/>
    <hyperlink r:id="rId380" ref="H161"/>
    <hyperlink r:id="rId381" ref="I161"/>
    <hyperlink r:id="rId382" ref="C162"/>
    <hyperlink r:id="rId383" ref="H162"/>
    <hyperlink r:id="rId384" ref="I162"/>
    <hyperlink r:id="rId385" ref="H163"/>
    <hyperlink r:id="rId386" ref="I163"/>
    <hyperlink r:id="rId387" ref="C165"/>
    <hyperlink r:id="rId388" ref="H165"/>
    <hyperlink r:id="rId389" ref="I165"/>
    <hyperlink r:id="rId390" ref="H166"/>
    <hyperlink r:id="rId391" ref="H167"/>
    <hyperlink r:id="rId392" ref="I167"/>
    <hyperlink r:id="rId393" ref="H168"/>
    <hyperlink r:id="rId394" ref="H169"/>
    <hyperlink r:id="rId395" ref="H170"/>
    <hyperlink r:id="rId396" ref="I170"/>
    <hyperlink r:id="rId397" ref="H171"/>
    <hyperlink r:id="rId398" ref="I171"/>
    <hyperlink r:id="rId399" ref="H172"/>
    <hyperlink r:id="rId400" ref="I172"/>
    <hyperlink r:id="rId401" ref="C173"/>
    <hyperlink r:id="rId402" ref="H173"/>
    <hyperlink r:id="rId403" ref="I173"/>
    <hyperlink r:id="rId404" ref="H174"/>
    <hyperlink r:id="rId405" ref="I174"/>
    <hyperlink r:id="rId406" ref="C175"/>
    <hyperlink r:id="rId407" ref="H175"/>
    <hyperlink r:id="rId408" ref="I175"/>
    <hyperlink r:id="rId409" ref="H176"/>
    <hyperlink r:id="rId410" ref="C177"/>
    <hyperlink r:id="rId411" ref="H177"/>
    <hyperlink r:id="rId412" ref="I177"/>
    <hyperlink r:id="rId413" ref="H178"/>
    <hyperlink r:id="rId414" ref="I178"/>
    <hyperlink r:id="rId415" ref="H179"/>
    <hyperlink r:id="rId416" ref="I179"/>
    <hyperlink r:id="rId417" ref="C180"/>
    <hyperlink r:id="rId418" ref="H180"/>
    <hyperlink r:id="rId419" ref="I180"/>
    <hyperlink r:id="rId420" ref="H181"/>
    <hyperlink r:id="rId421" ref="I181"/>
    <hyperlink r:id="rId422" ref="C182"/>
    <hyperlink r:id="rId423" ref="H182"/>
    <hyperlink r:id="rId424" ref="I182"/>
    <hyperlink r:id="rId425" ref="C183"/>
    <hyperlink r:id="rId426" ref="H183"/>
    <hyperlink r:id="rId427" ref="I183"/>
    <hyperlink r:id="rId428" ref="C184"/>
    <hyperlink r:id="rId429" ref="H184"/>
    <hyperlink r:id="rId430" ref="I184"/>
    <hyperlink r:id="rId431" ref="C185"/>
    <hyperlink r:id="rId432" ref="H185"/>
    <hyperlink r:id="rId433" ref="I185"/>
    <hyperlink r:id="rId434" ref="H186"/>
    <hyperlink r:id="rId435" ref="I186"/>
    <hyperlink r:id="rId436" ref="C187"/>
    <hyperlink r:id="rId437" ref="H187"/>
    <hyperlink r:id="rId438" ref="I187"/>
    <hyperlink r:id="rId439" ref="H188"/>
    <hyperlink r:id="rId440" ref="I188"/>
    <hyperlink r:id="rId441" ref="C189"/>
    <hyperlink r:id="rId442" ref="G189"/>
    <hyperlink r:id="rId443" ref="H189"/>
    <hyperlink r:id="rId444" ref="I189"/>
    <hyperlink r:id="rId445" ref="H190"/>
    <hyperlink r:id="rId446" ref="I190"/>
    <hyperlink r:id="rId447" ref="H191"/>
    <hyperlink r:id="rId448" ref="H192"/>
    <hyperlink r:id="rId449" ref="I192"/>
    <hyperlink r:id="rId450" ref="H193"/>
    <hyperlink r:id="rId451" ref="G194"/>
    <hyperlink r:id="rId452" ref="H194"/>
    <hyperlink r:id="rId453" ref="C195"/>
    <hyperlink r:id="rId454" ref="G195"/>
    <hyperlink r:id="rId455" ref="H195"/>
    <hyperlink r:id="rId456" ref="I195"/>
    <hyperlink r:id="rId457" ref="C196"/>
    <hyperlink r:id="rId458" ref="G196"/>
    <hyperlink r:id="rId459" ref="H196"/>
    <hyperlink r:id="rId460" ref="I196"/>
    <hyperlink r:id="rId461" ref="H197"/>
    <hyperlink r:id="rId462" ref="I197"/>
    <hyperlink r:id="rId463" ref="G198"/>
    <hyperlink r:id="rId464" ref="H198"/>
    <hyperlink r:id="rId465" ref="I198"/>
    <hyperlink r:id="rId466" ref="C199"/>
    <hyperlink r:id="rId467" ref="H199"/>
    <hyperlink r:id="rId468" ref="I199"/>
    <hyperlink r:id="rId469" ref="C200"/>
    <hyperlink r:id="rId470" ref="H200"/>
    <hyperlink r:id="rId471" ref="I200"/>
    <hyperlink r:id="rId472" ref="H201"/>
    <hyperlink r:id="rId473" ref="I201"/>
    <hyperlink r:id="rId474" ref="C202"/>
    <hyperlink r:id="rId475" ref="H202"/>
    <hyperlink r:id="rId476" ref="C203"/>
    <hyperlink r:id="rId477" ref="H203"/>
    <hyperlink r:id="rId478" ref="I203"/>
    <hyperlink r:id="rId479" ref="C204"/>
    <hyperlink r:id="rId480" ref="H204"/>
    <hyperlink r:id="rId481" ref="I204"/>
    <hyperlink r:id="rId482" ref="C205"/>
    <hyperlink r:id="rId483" ref="G205"/>
    <hyperlink r:id="rId484" ref="H205"/>
    <hyperlink r:id="rId485" ref="I205"/>
    <hyperlink r:id="rId486" ref="C206"/>
    <hyperlink r:id="rId487" ref="H206"/>
    <hyperlink r:id="rId488" ref="I206"/>
    <hyperlink r:id="rId489" ref="C207"/>
    <hyperlink r:id="rId490" ref="H207"/>
    <hyperlink r:id="rId491" ref="I207"/>
    <hyperlink r:id="rId492" ref="C208"/>
    <hyperlink r:id="rId493" ref="H208"/>
    <hyperlink r:id="rId494" ref="I208"/>
    <hyperlink r:id="rId495" ref="H209"/>
    <hyperlink r:id="rId496" ref="I209"/>
    <hyperlink r:id="rId497" ref="C210"/>
    <hyperlink r:id="rId498" ref="H210"/>
    <hyperlink r:id="rId499" ref="I210"/>
    <hyperlink r:id="rId500" ref="C211"/>
    <hyperlink r:id="rId501" ref="G211"/>
    <hyperlink r:id="rId502" ref="H211"/>
    <hyperlink r:id="rId503" ref="I211"/>
    <hyperlink r:id="rId504" ref="C212"/>
    <hyperlink r:id="rId505" ref="G212"/>
    <hyperlink r:id="rId506" ref="H212"/>
    <hyperlink r:id="rId507" ref="I212"/>
    <hyperlink r:id="rId508" ref="H213"/>
    <hyperlink r:id="rId509" ref="H214"/>
    <hyperlink r:id="rId510" ref="I214"/>
    <hyperlink r:id="rId511" ref="C215"/>
    <hyperlink r:id="rId512" ref="H215"/>
    <hyperlink r:id="rId513" ref="I215"/>
    <hyperlink r:id="rId514" ref="H216"/>
    <hyperlink r:id="rId515" ref="H217"/>
    <hyperlink r:id="rId516" ref="I217"/>
    <hyperlink r:id="rId517" ref="C218"/>
    <hyperlink r:id="rId518" ref="G218"/>
    <hyperlink r:id="rId519" ref="H218"/>
    <hyperlink r:id="rId520" ref="I218"/>
    <hyperlink r:id="rId521" ref="G219"/>
    <hyperlink r:id="rId522" ref="H219"/>
    <hyperlink r:id="rId523" ref="I219"/>
    <hyperlink r:id="rId524" ref="H220"/>
    <hyperlink r:id="rId525" ref="I220"/>
    <hyperlink r:id="rId526" ref="H221"/>
    <hyperlink r:id="rId527" ref="I221"/>
    <hyperlink r:id="rId528" ref="C222"/>
    <hyperlink r:id="rId529" ref="H222"/>
    <hyperlink r:id="rId530" ref="I222"/>
    <hyperlink r:id="rId531" ref="H223"/>
    <hyperlink r:id="rId532" ref="G224"/>
    <hyperlink r:id="rId533" ref="H224"/>
    <hyperlink r:id="rId534" ref="I224"/>
    <hyperlink r:id="rId535" ref="H225"/>
    <hyperlink r:id="rId536" ref="I225"/>
    <hyperlink r:id="rId537" ref="H226"/>
    <hyperlink r:id="rId538" ref="I226"/>
    <hyperlink r:id="rId539" ref="G227"/>
    <hyperlink r:id="rId540" ref="H227"/>
    <hyperlink r:id="rId541" ref="I227"/>
    <hyperlink r:id="rId542" ref="C228"/>
    <hyperlink r:id="rId543" ref="H228"/>
    <hyperlink r:id="rId544" ref="I228"/>
    <hyperlink r:id="rId545" ref="H229"/>
    <hyperlink r:id="rId546" ref="I229"/>
    <hyperlink r:id="rId547" ref="C230"/>
    <hyperlink r:id="rId548" ref="G230"/>
    <hyperlink r:id="rId549" ref="H230"/>
    <hyperlink r:id="rId550" ref="I230"/>
    <hyperlink r:id="rId551" ref="H231"/>
    <hyperlink r:id="rId552" ref="I231"/>
    <hyperlink r:id="rId553" ref="C232"/>
    <hyperlink r:id="rId554" ref="G232"/>
    <hyperlink r:id="rId555" ref="H232"/>
    <hyperlink r:id="rId556" ref="I232"/>
    <hyperlink r:id="rId557" ref="C233"/>
    <hyperlink r:id="rId558" ref="H233"/>
    <hyperlink r:id="rId559" ref="I233"/>
    <hyperlink r:id="rId560" ref="H234"/>
    <hyperlink r:id="rId561" ref="I234"/>
    <hyperlink r:id="rId562" ref="C235"/>
    <hyperlink r:id="rId563" ref="G235"/>
    <hyperlink r:id="rId564" ref="H235"/>
    <hyperlink r:id="rId565" ref="I235"/>
    <hyperlink r:id="rId566" ref="H236"/>
    <hyperlink r:id="rId567" ref="I236"/>
    <hyperlink r:id="rId568" ref="C237"/>
    <hyperlink r:id="rId569" ref="H237"/>
    <hyperlink r:id="rId570" ref="I237"/>
    <hyperlink r:id="rId571" ref="H238"/>
    <hyperlink r:id="rId572" ref="C239"/>
    <hyperlink r:id="rId573" ref="H239"/>
    <hyperlink r:id="rId574" ref="I239"/>
    <hyperlink r:id="rId575" ref="H240"/>
    <hyperlink r:id="rId576" ref="I240"/>
    <hyperlink r:id="rId577" ref="H241"/>
    <hyperlink r:id="rId578" ref="H242"/>
    <hyperlink r:id="rId579" ref="C243"/>
    <hyperlink r:id="rId580" ref="H243"/>
    <hyperlink r:id="rId581" ref="I243"/>
    <hyperlink r:id="rId582" ref="H244"/>
    <hyperlink r:id="rId583" ref="C245"/>
    <hyperlink r:id="rId584" ref="G245"/>
    <hyperlink r:id="rId585" ref="H245"/>
    <hyperlink r:id="rId586" ref="I245"/>
    <hyperlink r:id="rId587" ref="C246"/>
    <hyperlink r:id="rId588" ref="G246"/>
    <hyperlink r:id="rId589" ref="H246"/>
    <hyperlink r:id="rId590" ref="I246"/>
    <hyperlink r:id="rId591" ref="C247"/>
    <hyperlink r:id="rId592" ref="G247"/>
    <hyperlink r:id="rId593" ref="H247"/>
    <hyperlink r:id="rId594" ref="I247"/>
    <hyperlink r:id="rId595" ref="H248"/>
    <hyperlink r:id="rId596" ref="H249"/>
    <hyperlink r:id="rId597" ref="I249"/>
    <hyperlink r:id="rId598" ref="H250"/>
    <hyperlink r:id="rId599" ref="I250"/>
    <hyperlink r:id="rId600" ref="H251"/>
    <hyperlink r:id="rId601" ref="C252"/>
    <hyperlink r:id="rId602" ref="H252"/>
    <hyperlink r:id="rId603" ref="I252"/>
    <hyperlink r:id="rId604" ref="C253"/>
    <hyperlink r:id="rId605" ref="H253"/>
    <hyperlink r:id="rId606" ref="G254"/>
    <hyperlink r:id="rId607" ref="H254"/>
    <hyperlink r:id="rId608" ref="I254"/>
    <hyperlink r:id="rId609" ref="H255"/>
    <hyperlink r:id="rId610" ref="I255"/>
    <hyperlink r:id="rId611" ref="H256"/>
    <hyperlink r:id="rId612" ref="I256"/>
    <hyperlink r:id="rId613" ref="H257"/>
    <hyperlink r:id="rId614" ref="I257"/>
    <hyperlink r:id="rId615" ref="H258"/>
    <hyperlink r:id="rId616" ref="I258"/>
    <hyperlink r:id="rId617" ref="H259"/>
    <hyperlink r:id="rId618" ref="C260"/>
    <hyperlink r:id="rId619" ref="H260"/>
    <hyperlink r:id="rId620" ref="I260"/>
    <hyperlink r:id="rId621" ref="C261"/>
    <hyperlink r:id="rId622" ref="H261"/>
    <hyperlink r:id="rId623" ref="I261"/>
    <hyperlink r:id="rId624" ref="H262"/>
    <hyperlink r:id="rId625" ref="C263"/>
    <hyperlink r:id="rId626" ref="H263"/>
    <hyperlink r:id="rId627" ref="I263"/>
    <hyperlink r:id="rId628" ref="C264"/>
    <hyperlink r:id="rId629" ref="G264"/>
    <hyperlink r:id="rId630" ref="H264"/>
    <hyperlink r:id="rId631" ref="I264"/>
    <hyperlink r:id="rId632" ref="H265"/>
    <hyperlink r:id="rId633" ref="I265"/>
    <hyperlink r:id="rId634" ref="H266"/>
    <hyperlink r:id="rId635" ref="I266"/>
    <hyperlink r:id="rId636" ref="C267"/>
    <hyperlink r:id="rId637" ref="H267"/>
    <hyperlink r:id="rId638" ref="I267"/>
    <hyperlink r:id="rId639" ref="C268"/>
    <hyperlink r:id="rId640" ref="H268"/>
    <hyperlink r:id="rId641" ref="I268"/>
    <hyperlink r:id="rId642" ref="H269"/>
    <hyperlink r:id="rId643" ref="I269"/>
    <hyperlink r:id="rId644" ref="H270"/>
    <hyperlink r:id="rId645" ref="H271"/>
    <hyperlink r:id="rId646" ref="I271"/>
    <hyperlink r:id="rId647" ref="H272"/>
    <hyperlink r:id="rId648" ref="I272"/>
    <hyperlink r:id="rId649" ref="H273"/>
    <hyperlink r:id="rId650" ref="I273"/>
    <hyperlink r:id="rId651" ref="H274"/>
    <hyperlink r:id="rId652" ref="I274"/>
    <hyperlink r:id="rId653" ref="H275"/>
    <hyperlink r:id="rId654" ref="I275"/>
    <hyperlink r:id="rId655" ref="C276"/>
    <hyperlink r:id="rId656" ref="G276"/>
    <hyperlink r:id="rId657" ref="H276"/>
    <hyperlink r:id="rId658" ref="I276"/>
    <hyperlink r:id="rId659" ref="H277"/>
    <hyperlink r:id="rId660" ref="I277"/>
    <hyperlink r:id="rId661" ref="C278"/>
    <hyperlink r:id="rId662" ref="H278"/>
    <hyperlink r:id="rId663" ref="I278"/>
    <hyperlink r:id="rId664" ref="C279"/>
    <hyperlink r:id="rId665" ref="G279"/>
    <hyperlink r:id="rId666" ref="H279"/>
    <hyperlink r:id="rId667" ref="I279"/>
    <hyperlink r:id="rId668" ref="C280"/>
    <hyperlink r:id="rId669" ref="H280"/>
    <hyperlink r:id="rId670" ref="I280"/>
    <hyperlink r:id="rId671" ref="H281"/>
    <hyperlink r:id="rId672" ref="H282"/>
    <hyperlink r:id="rId673" ref="C283"/>
    <hyperlink r:id="rId674" ref="H283"/>
    <hyperlink r:id="rId675" ref="I283"/>
    <hyperlink r:id="rId676" ref="C284"/>
    <hyperlink r:id="rId677" ref="H284"/>
    <hyperlink r:id="rId678" ref="I284"/>
    <hyperlink r:id="rId679" ref="H285"/>
    <hyperlink r:id="rId680" ref="I285"/>
    <hyperlink r:id="rId681" ref="H286"/>
    <hyperlink r:id="rId682" ref="I286"/>
    <hyperlink r:id="rId683" ref="H287"/>
    <hyperlink r:id="rId684" ref="H288"/>
    <hyperlink r:id="rId685" ref="I288"/>
    <hyperlink r:id="rId686" ref="C289"/>
    <hyperlink r:id="rId687" ref="H289"/>
    <hyperlink r:id="rId688" ref="I289"/>
    <hyperlink r:id="rId689" ref="C290"/>
    <hyperlink r:id="rId690" ref="H290"/>
    <hyperlink r:id="rId691" ref="I290"/>
    <hyperlink r:id="rId692" ref="H291"/>
    <hyperlink r:id="rId693" ref="I291"/>
    <hyperlink r:id="rId694" ref="C292"/>
    <hyperlink r:id="rId695" ref="H292"/>
    <hyperlink r:id="rId696" ref="I292"/>
    <hyperlink r:id="rId697" ref="C293"/>
    <hyperlink r:id="rId698" ref="H293"/>
    <hyperlink r:id="rId699" ref="I293"/>
    <hyperlink r:id="rId700" ref="C294"/>
    <hyperlink r:id="rId701" ref="H294"/>
    <hyperlink r:id="rId702" ref="I294"/>
    <hyperlink r:id="rId703" ref="G295"/>
    <hyperlink r:id="rId704" ref="H295"/>
    <hyperlink r:id="rId705" ref="I295"/>
    <hyperlink r:id="rId706" ref="C296"/>
    <hyperlink r:id="rId707" ref="G296"/>
    <hyperlink r:id="rId708" ref="H296"/>
    <hyperlink r:id="rId709" ref="I296"/>
    <hyperlink r:id="rId710" ref="C297"/>
    <hyperlink r:id="rId711" ref="H297"/>
    <hyperlink r:id="rId712" ref="I297"/>
    <hyperlink r:id="rId713" ref="H298"/>
    <hyperlink r:id="rId714" ref="I298"/>
    <hyperlink r:id="rId715" ref="C299"/>
    <hyperlink r:id="rId716" ref="H299"/>
    <hyperlink r:id="rId717" ref="I299"/>
    <hyperlink r:id="rId718" ref="G300"/>
    <hyperlink r:id="rId719" ref="H300"/>
    <hyperlink r:id="rId720" ref="I300"/>
    <hyperlink r:id="rId721" ref="C301"/>
    <hyperlink r:id="rId722" ref="H301"/>
    <hyperlink r:id="rId723" ref="I301"/>
    <hyperlink r:id="rId724" ref="H302"/>
    <hyperlink r:id="rId725" ref="I302"/>
    <hyperlink r:id="rId726" ref="H303"/>
    <hyperlink r:id="rId727" ref="I303"/>
    <hyperlink r:id="rId728" ref="H304"/>
    <hyperlink r:id="rId729" ref="I304"/>
    <hyperlink r:id="rId730" ref="H305"/>
    <hyperlink r:id="rId731" ref="C306"/>
    <hyperlink r:id="rId732" ref="H306"/>
    <hyperlink r:id="rId733" ref="I306"/>
    <hyperlink r:id="rId734" ref="C307"/>
    <hyperlink r:id="rId735" ref="H307"/>
    <hyperlink r:id="rId736" ref="I307"/>
    <hyperlink r:id="rId737" ref="C308"/>
    <hyperlink r:id="rId738" ref="H308"/>
    <hyperlink r:id="rId739" ref="I308"/>
    <hyperlink r:id="rId740" ref="H309"/>
    <hyperlink r:id="rId741" ref="I309"/>
    <hyperlink r:id="rId742" ref="H310"/>
    <hyperlink r:id="rId743" ref="C311"/>
    <hyperlink r:id="rId744" ref="H311"/>
    <hyperlink r:id="rId745" ref="I311"/>
    <hyperlink r:id="rId746" ref="C312"/>
    <hyperlink r:id="rId747" ref="H312"/>
    <hyperlink r:id="rId748" ref="I312"/>
    <hyperlink r:id="rId749" ref="G313"/>
    <hyperlink r:id="rId750" ref="H313"/>
    <hyperlink r:id="rId751" ref="I313"/>
    <hyperlink r:id="rId752" ref="H314"/>
    <hyperlink r:id="rId753" ref="I314"/>
    <hyperlink r:id="rId754" ref="C315"/>
    <hyperlink r:id="rId755" ref="H315"/>
    <hyperlink r:id="rId756" ref="I315"/>
    <hyperlink r:id="rId757" ref="H316"/>
    <hyperlink r:id="rId758" ref="C317"/>
    <hyperlink r:id="rId759" ref="H317"/>
    <hyperlink r:id="rId760" ref="I317"/>
    <hyperlink r:id="rId761" ref="H318"/>
    <hyperlink r:id="rId762" ref="I318"/>
    <hyperlink r:id="rId763" ref="H319"/>
    <hyperlink r:id="rId764" ref="I319"/>
    <hyperlink r:id="rId765" ref="C320"/>
    <hyperlink r:id="rId766" ref="H320"/>
    <hyperlink r:id="rId767" ref="I320"/>
    <hyperlink r:id="rId768" ref="H321"/>
    <hyperlink r:id="rId769" ref="G322"/>
    <hyperlink r:id="rId770" ref="H322"/>
    <hyperlink r:id="rId771" ref="I322"/>
    <hyperlink r:id="rId772" ref="H323"/>
    <hyperlink r:id="rId773" ref="I323"/>
    <hyperlink r:id="rId774" ref="G324"/>
    <hyperlink r:id="rId775" ref="H324"/>
    <hyperlink r:id="rId776" ref="I324"/>
    <hyperlink r:id="rId777" ref="C325"/>
    <hyperlink r:id="rId778" ref="H325"/>
    <hyperlink r:id="rId779" ref="I325"/>
    <hyperlink r:id="rId780" ref="C326"/>
    <hyperlink r:id="rId781" ref="H326"/>
    <hyperlink r:id="rId782" ref="I326"/>
    <hyperlink r:id="rId783" ref="H327"/>
    <hyperlink r:id="rId784" ref="I327"/>
    <hyperlink r:id="rId785" ref="H328"/>
    <hyperlink r:id="rId786" ref="C329"/>
    <hyperlink r:id="rId787" ref="H329"/>
    <hyperlink r:id="rId788" ref="I329"/>
    <hyperlink r:id="rId789" ref="H330"/>
    <hyperlink r:id="rId790" ref="I330"/>
    <hyperlink r:id="rId791" ref="H331"/>
    <hyperlink r:id="rId792" ref="I331"/>
    <hyperlink r:id="rId793" ref="C332"/>
    <hyperlink r:id="rId794" ref="G332"/>
    <hyperlink r:id="rId795" ref="H332"/>
    <hyperlink r:id="rId796" ref="I332"/>
    <hyperlink r:id="rId797" ref="H333"/>
    <hyperlink r:id="rId798" ref="I333"/>
    <hyperlink r:id="rId799" ref="C334"/>
    <hyperlink r:id="rId800" ref="H334"/>
    <hyperlink r:id="rId801" ref="I334"/>
    <hyperlink r:id="rId802" ref="G335"/>
    <hyperlink r:id="rId803" ref="H335"/>
    <hyperlink r:id="rId804" ref="I335"/>
    <hyperlink r:id="rId805" ref="C336"/>
    <hyperlink r:id="rId806" ref="H336"/>
    <hyperlink r:id="rId807" ref="I336"/>
    <hyperlink r:id="rId808" ref="C337"/>
    <hyperlink r:id="rId809" ref="H337"/>
    <hyperlink r:id="rId810" ref="I337"/>
    <hyperlink r:id="rId811" ref="H338"/>
    <hyperlink r:id="rId812" ref="C339"/>
    <hyperlink r:id="rId813" ref="H339"/>
    <hyperlink r:id="rId814" ref="I339"/>
    <hyperlink r:id="rId815" ref="C340"/>
    <hyperlink r:id="rId816" ref="G340"/>
    <hyperlink r:id="rId817" ref="H340"/>
    <hyperlink r:id="rId818" ref="I340"/>
    <hyperlink r:id="rId819" ref="H341"/>
    <hyperlink r:id="rId820" ref="C342"/>
    <hyperlink r:id="rId821" ref="H342"/>
    <hyperlink r:id="rId822" ref="I342"/>
    <hyperlink r:id="rId823" ref="G343"/>
    <hyperlink r:id="rId824" ref="H343"/>
    <hyperlink r:id="rId825" ref="C344"/>
    <hyperlink r:id="rId826" ref="H344"/>
    <hyperlink r:id="rId827" ref="I344"/>
    <hyperlink r:id="rId828" ref="C345"/>
    <hyperlink r:id="rId829" ref="H345"/>
    <hyperlink r:id="rId830" ref="I345"/>
    <hyperlink r:id="rId831" ref="C346"/>
    <hyperlink r:id="rId832" ref="H346"/>
    <hyperlink r:id="rId833" ref="I346"/>
    <hyperlink r:id="rId834" ref="H347"/>
    <hyperlink r:id="rId835" ref="H348"/>
    <hyperlink r:id="rId836" ref="I348"/>
    <hyperlink r:id="rId837" ref="C349"/>
    <hyperlink r:id="rId838" ref="H349"/>
    <hyperlink r:id="rId839" ref="I349"/>
    <hyperlink r:id="rId840" ref="H350"/>
    <hyperlink r:id="rId841" ref="H351"/>
    <hyperlink r:id="rId842" ref="C352"/>
    <hyperlink r:id="rId843" ref="G352"/>
    <hyperlink r:id="rId844" ref="H352"/>
    <hyperlink r:id="rId845" ref="I352"/>
    <hyperlink r:id="rId846" ref="C353"/>
    <hyperlink r:id="rId847" ref="H353"/>
    <hyperlink r:id="rId848" ref="I353"/>
    <hyperlink r:id="rId849" ref="C354"/>
    <hyperlink r:id="rId850" ref="G354"/>
    <hyperlink r:id="rId851" ref="H354"/>
    <hyperlink r:id="rId852" ref="I354"/>
    <hyperlink r:id="rId853" ref="H355"/>
    <hyperlink r:id="rId854" ref="H356"/>
    <hyperlink r:id="rId855" ref="I356"/>
    <hyperlink r:id="rId856" ref="C357"/>
    <hyperlink r:id="rId857" ref="H357"/>
    <hyperlink r:id="rId858" ref="I357"/>
    <hyperlink r:id="rId859" ref="H358"/>
    <hyperlink r:id="rId860" ref="I358"/>
    <hyperlink r:id="rId861" ref="C359"/>
    <hyperlink r:id="rId862" ref="H359"/>
    <hyperlink r:id="rId863" ref="I359"/>
    <hyperlink r:id="rId864" ref="H360"/>
    <hyperlink r:id="rId865" ref="I360"/>
    <hyperlink r:id="rId866" ref="C361"/>
    <hyperlink r:id="rId867" ref="H361"/>
    <hyperlink r:id="rId868" ref="I361"/>
    <hyperlink r:id="rId869" ref="C362"/>
    <hyperlink r:id="rId870" ref="G362"/>
    <hyperlink r:id="rId871" ref="H362"/>
    <hyperlink r:id="rId872" ref="I362"/>
    <hyperlink r:id="rId873" ref="C363"/>
    <hyperlink r:id="rId874" ref="H363"/>
    <hyperlink r:id="rId875" ref="I363"/>
    <hyperlink r:id="rId876" ref="C364"/>
    <hyperlink r:id="rId877" ref="G364"/>
    <hyperlink r:id="rId878" ref="H364"/>
    <hyperlink r:id="rId879" ref="I364"/>
    <hyperlink r:id="rId880" ref="C365"/>
    <hyperlink r:id="rId881" ref="H365"/>
    <hyperlink r:id="rId882" ref="I365"/>
    <hyperlink r:id="rId883" ref="C366"/>
    <hyperlink r:id="rId884" ref="H366"/>
    <hyperlink r:id="rId885" ref="I366"/>
    <hyperlink r:id="rId886" ref="H367"/>
    <hyperlink r:id="rId887" ref="I367"/>
    <hyperlink r:id="rId888" ref="C368"/>
    <hyperlink r:id="rId889" ref="G368"/>
    <hyperlink r:id="rId890" ref="H368"/>
    <hyperlink r:id="rId891" ref="I368"/>
    <hyperlink r:id="rId892" ref="H369"/>
    <hyperlink r:id="rId893" ref="H370"/>
    <hyperlink r:id="rId894" ref="I370"/>
    <hyperlink r:id="rId895" ref="H371"/>
    <hyperlink r:id="rId896" ref="H372"/>
    <hyperlink r:id="rId897" ref="I372"/>
    <hyperlink r:id="rId898" ref="G373"/>
    <hyperlink r:id="rId899" ref="H373"/>
    <hyperlink r:id="rId900" ref="I373"/>
    <hyperlink r:id="rId901" ref="H374"/>
    <hyperlink r:id="rId902" ref="I374"/>
    <hyperlink r:id="rId903" ref="H375"/>
    <hyperlink r:id="rId904" ref="H376"/>
    <hyperlink r:id="rId905" ref="I376"/>
    <hyperlink r:id="rId906" ref="C377"/>
    <hyperlink r:id="rId907" ref="H377"/>
    <hyperlink r:id="rId908" ref="I377"/>
    <hyperlink r:id="rId909" ref="H378"/>
    <hyperlink r:id="rId910" ref="C379"/>
    <hyperlink r:id="rId911" ref="H379"/>
    <hyperlink r:id="rId912" ref="I379"/>
    <hyperlink r:id="rId913" ref="C380"/>
    <hyperlink r:id="rId914" ref="H380"/>
    <hyperlink r:id="rId915" ref="I380"/>
    <hyperlink r:id="rId916" ref="G381"/>
    <hyperlink r:id="rId917" ref="H381"/>
    <hyperlink r:id="rId918" ref="I381"/>
    <hyperlink r:id="rId919" ref="C382"/>
    <hyperlink r:id="rId920" ref="H382"/>
    <hyperlink r:id="rId921" ref="I382"/>
    <hyperlink r:id="rId922" ref="C384"/>
    <hyperlink r:id="rId923" ref="G384"/>
    <hyperlink r:id="rId924" ref="H384"/>
    <hyperlink r:id="rId925" ref="I384"/>
    <hyperlink r:id="rId926" ref="C385"/>
    <hyperlink r:id="rId927" ref="H385"/>
    <hyperlink r:id="rId928" ref="I385"/>
    <hyperlink r:id="rId929" ref="C386"/>
    <hyperlink r:id="rId930" ref="H386"/>
    <hyperlink r:id="rId931" ref="I386"/>
    <hyperlink r:id="rId932" ref="G387"/>
    <hyperlink r:id="rId933" ref="H387"/>
    <hyperlink r:id="rId934" ref="I387"/>
    <hyperlink r:id="rId935" ref="C388"/>
    <hyperlink r:id="rId936" ref="H388"/>
    <hyperlink r:id="rId937" ref="I388"/>
    <hyperlink r:id="rId938" ref="C389"/>
    <hyperlink r:id="rId939" ref="H389"/>
    <hyperlink r:id="rId940" ref="I389"/>
    <hyperlink r:id="rId941" ref="C390"/>
    <hyperlink r:id="rId942" ref="H390"/>
    <hyperlink r:id="rId943" ref="I390"/>
    <hyperlink r:id="rId944" ref="C391"/>
    <hyperlink r:id="rId945" ref="H391"/>
    <hyperlink r:id="rId946" ref="I391"/>
    <hyperlink r:id="rId947" ref="C392"/>
    <hyperlink r:id="rId948" ref="H392"/>
    <hyperlink r:id="rId949" ref="I392"/>
    <hyperlink r:id="rId950" ref="C393"/>
    <hyperlink r:id="rId951" ref="H393"/>
    <hyperlink r:id="rId952" ref="I393"/>
    <hyperlink r:id="rId953" ref="H394"/>
    <hyperlink r:id="rId954" ref="I394"/>
    <hyperlink r:id="rId955" ref="C395"/>
    <hyperlink r:id="rId956" ref="H395"/>
    <hyperlink r:id="rId957" ref="I395"/>
    <hyperlink r:id="rId958" ref="C396"/>
    <hyperlink r:id="rId959" ref="H396"/>
    <hyperlink r:id="rId960" ref="I396"/>
    <hyperlink r:id="rId961" ref="H397"/>
    <hyperlink r:id="rId962" ref="C398"/>
    <hyperlink r:id="rId963" ref="H398"/>
    <hyperlink r:id="rId964" ref="I398"/>
    <hyperlink r:id="rId965" ref="C399"/>
    <hyperlink r:id="rId966" ref="G399"/>
    <hyperlink r:id="rId967" ref="H399"/>
    <hyperlink r:id="rId968" ref="I399"/>
    <hyperlink r:id="rId969" ref="H400"/>
    <hyperlink r:id="rId970" ref="I400"/>
    <hyperlink r:id="rId971" ref="C401"/>
    <hyperlink r:id="rId972" ref="H401"/>
    <hyperlink r:id="rId973" ref="I401"/>
    <hyperlink r:id="rId974" ref="C402"/>
    <hyperlink r:id="rId975" ref="H402"/>
    <hyperlink r:id="rId976" ref="I402"/>
    <hyperlink r:id="rId977" ref="H403"/>
    <hyperlink r:id="rId978" ref="C404"/>
    <hyperlink r:id="rId979" ref="H404"/>
    <hyperlink r:id="rId980" ref="I404"/>
    <hyperlink r:id="rId981" ref="H405"/>
    <hyperlink r:id="rId982" ref="I405"/>
    <hyperlink r:id="rId983" ref="H406"/>
    <hyperlink r:id="rId984" ref="I406"/>
    <hyperlink r:id="rId985" ref="C407"/>
    <hyperlink r:id="rId986" ref="H407"/>
    <hyperlink r:id="rId987" ref="I407"/>
    <hyperlink r:id="rId988" ref="C408"/>
    <hyperlink r:id="rId989" ref="G408"/>
    <hyperlink r:id="rId990" ref="H408"/>
    <hyperlink r:id="rId991" ref="I408"/>
    <hyperlink r:id="rId992" ref="C409"/>
    <hyperlink r:id="rId993" ref="H409"/>
    <hyperlink r:id="rId994" ref="I409"/>
    <hyperlink r:id="rId995" ref="H410"/>
    <hyperlink r:id="rId996" ref="I410"/>
    <hyperlink r:id="rId997" ref="H411"/>
    <hyperlink r:id="rId998" ref="H412"/>
    <hyperlink r:id="rId999" ref="I412"/>
    <hyperlink r:id="rId1000" ref="C413"/>
    <hyperlink r:id="rId1001" ref="H413"/>
    <hyperlink r:id="rId1002" ref="I413"/>
    <hyperlink r:id="rId1003" ref="H414"/>
    <hyperlink r:id="rId1004" ref="C415"/>
    <hyperlink r:id="rId1005" ref="H415"/>
    <hyperlink r:id="rId1006" ref="I415"/>
    <hyperlink r:id="rId1007" ref="C416"/>
    <hyperlink r:id="rId1008" ref="H416"/>
    <hyperlink r:id="rId1009" ref="I416"/>
    <hyperlink r:id="rId1010" ref="H417"/>
    <hyperlink r:id="rId1011" ref="I417"/>
    <hyperlink r:id="rId1012" ref="C418"/>
    <hyperlink r:id="rId1013" ref="G418"/>
    <hyperlink r:id="rId1014" ref="H418"/>
    <hyperlink r:id="rId1015" ref="I418"/>
    <hyperlink r:id="rId1016" ref="G419"/>
    <hyperlink r:id="rId1017" ref="H419"/>
    <hyperlink r:id="rId1018" ref="I419"/>
    <hyperlink r:id="rId1019" ref="H420"/>
    <hyperlink r:id="rId1020" ref="I420"/>
    <hyperlink r:id="rId1021" ref="H421"/>
    <hyperlink r:id="rId1022" ref="I421"/>
    <hyperlink r:id="rId1023" ref="C422"/>
    <hyperlink r:id="rId1024" ref="G422"/>
    <hyperlink r:id="rId1025" ref="H422"/>
    <hyperlink r:id="rId1026" ref="I422"/>
    <hyperlink r:id="rId1027" ref="C423"/>
    <hyperlink r:id="rId1028" ref="G423"/>
    <hyperlink r:id="rId1029" ref="H423"/>
    <hyperlink r:id="rId1030" ref="I423"/>
    <hyperlink r:id="rId1031" ref="C424"/>
    <hyperlink r:id="rId1032" ref="H424"/>
    <hyperlink r:id="rId1033" ref="I424"/>
    <hyperlink r:id="rId1034" ref="H425"/>
    <hyperlink r:id="rId1035" ref="I425"/>
    <hyperlink r:id="rId1036" ref="C426"/>
    <hyperlink r:id="rId1037" ref="H426"/>
    <hyperlink r:id="rId1038" ref="I426"/>
    <hyperlink r:id="rId1039" ref="C427"/>
    <hyperlink r:id="rId1040" ref="H427"/>
    <hyperlink r:id="rId1041" ref="I427"/>
    <hyperlink r:id="rId1042" ref="H428"/>
    <hyperlink r:id="rId1043" ref="I428"/>
    <hyperlink r:id="rId1044" ref="C429"/>
    <hyperlink r:id="rId1045" ref="H429"/>
    <hyperlink r:id="rId1046" ref="I429"/>
    <hyperlink r:id="rId1047" ref="C430"/>
    <hyperlink r:id="rId1048" ref="H430"/>
    <hyperlink r:id="rId1049" ref="I430"/>
    <hyperlink r:id="rId1050" ref="C431"/>
    <hyperlink r:id="rId1051" ref="H431"/>
    <hyperlink r:id="rId1052" ref="I431"/>
    <hyperlink r:id="rId1053" ref="C432"/>
    <hyperlink r:id="rId1054" ref="H432"/>
    <hyperlink r:id="rId1055" ref="I432"/>
    <hyperlink r:id="rId1056" ref="H433"/>
    <hyperlink r:id="rId1057" ref="C434"/>
    <hyperlink r:id="rId1058" ref="H434"/>
    <hyperlink r:id="rId1059" ref="I434"/>
    <hyperlink r:id="rId1060" ref="H435"/>
    <hyperlink r:id="rId1061" ref="C436"/>
    <hyperlink r:id="rId1062" ref="H436"/>
    <hyperlink r:id="rId1063" ref="I436"/>
    <hyperlink r:id="rId1064" ref="H437"/>
    <hyperlink r:id="rId1065" ref="G438"/>
    <hyperlink r:id="rId1066" ref="H438"/>
    <hyperlink r:id="rId1067" ref="I438"/>
    <hyperlink r:id="rId1068" ref="H439"/>
    <hyperlink r:id="rId1069" ref="C440"/>
    <hyperlink r:id="rId1070" ref="H440"/>
    <hyperlink r:id="rId1071" ref="I440"/>
    <hyperlink r:id="rId1072" ref="C441"/>
    <hyperlink r:id="rId1073" ref="H441"/>
    <hyperlink r:id="rId1074" ref="I441"/>
    <hyperlink r:id="rId1075" ref="C442"/>
    <hyperlink r:id="rId1076" ref="G442"/>
    <hyperlink r:id="rId1077" ref="H442"/>
    <hyperlink r:id="rId1078" ref="I442"/>
    <hyperlink r:id="rId1079" ref="C443"/>
    <hyperlink r:id="rId1080" ref="H443"/>
    <hyperlink r:id="rId1081" ref="I443"/>
    <hyperlink r:id="rId1082" ref="H444"/>
    <hyperlink r:id="rId1083" ref="I444"/>
    <hyperlink r:id="rId1084" ref="C445"/>
    <hyperlink r:id="rId1085" ref="H445"/>
    <hyperlink r:id="rId1086" ref="I445"/>
    <hyperlink r:id="rId1087" ref="C446"/>
    <hyperlink r:id="rId1088" ref="H446"/>
    <hyperlink r:id="rId1089" ref="I446"/>
    <hyperlink r:id="rId1090" ref="H447"/>
    <hyperlink r:id="rId1091" ref="I447"/>
    <hyperlink r:id="rId1092" ref="C448"/>
    <hyperlink r:id="rId1093" ref="G448"/>
    <hyperlink r:id="rId1094" ref="H448"/>
    <hyperlink r:id="rId1095" ref="I448"/>
    <hyperlink r:id="rId1096" ref="C449"/>
    <hyperlink r:id="rId1097" ref="H449"/>
    <hyperlink r:id="rId1098" ref="I449"/>
    <hyperlink r:id="rId1099" ref="C450"/>
    <hyperlink r:id="rId1100" ref="H450"/>
    <hyperlink r:id="rId1101" ref="I450"/>
    <hyperlink r:id="rId1102" ref="C451"/>
    <hyperlink r:id="rId1103" ref="H451"/>
    <hyperlink r:id="rId1104" ref="I451"/>
    <hyperlink r:id="rId1105" ref="C452"/>
    <hyperlink r:id="rId1106" ref="H452"/>
    <hyperlink r:id="rId1107" ref="I452"/>
    <hyperlink r:id="rId1108" ref="G453"/>
    <hyperlink r:id="rId1109" ref="H453"/>
    <hyperlink r:id="rId1110" ref="I453"/>
    <hyperlink r:id="rId1111" ref="C454"/>
    <hyperlink r:id="rId1112" ref="H454"/>
    <hyperlink r:id="rId1113" ref="I454"/>
    <hyperlink r:id="rId1114" ref="G455"/>
    <hyperlink r:id="rId1115" ref="H455"/>
    <hyperlink r:id="rId1116" ref="H456"/>
    <hyperlink r:id="rId1117" ref="C457"/>
    <hyperlink r:id="rId1118" ref="H457"/>
    <hyperlink r:id="rId1119" ref="I457"/>
    <hyperlink r:id="rId1120" ref="H458"/>
    <hyperlink r:id="rId1121" ref="G459"/>
    <hyperlink r:id="rId1122" ref="H459"/>
    <hyperlink r:id="rId1123" ref="I459"/>
    <hyperlink r:id="rId1124" ref="H460"/>
    <hyperlink r:id="rId1125" ref="H461"/>
    <hyperlink r:id="rId1126" ref="I461"/>
    <hyperlink r:id="rId1127" ref="C462"/>
    <hyperlink r:id="rId1128" ref="H462"/>
    <hyperlink r:id="rId1129" ref="I462"/>
    <hyperlink r:id="rId1130" ref="C463"/>
    <hyperlink r:id="rId1131" ref="G463"/>
    <hyperlink r:id="rId1132" ref="H463"/>
    <hyperlink r:id="rId1133" ref="I463"/>
    <hyperlink r:id="rId1134" ref="C464"/>
    <hyperlink r:id="rId1135" ref="G464"/>
    <hyperlink r:id="rId1136" ref="H464"/>
    <hyperlink r:id="rId1137" ref="I464"/>
    <hyperlink r:id="rId1138" ref="H465"/>
    <hyperlink r:id="rId1139" ref="I465"/>
    <hyperlink r:id="rId1140" ref="C466"/>
    <hyperlink r:id="rId1141" ref="H466"/>
    <hyperlink r:id="rId1142" ref="I466"/>
    <hyperlink r:id="rId1143" ref="C467"/>
    <hyperlink r:id="rId1144" ref="G467"/>
    <hyperlink r:id="rId1145" ref="H467"/>
    <hyperlink r:id="rId1146" ref="I467"/>
    <hyperlink r:id="rId1147" ref="C468"/>
    <hyperlink r:id="rId1148" ref="G468"/>
    <hyperlink r:id="rId1149" ref="H468"/>
    <hyperlink r:id="rId1150" ref="I468"/>
    <hyperlink r:id="rId1151" ref="H469"/>
    <hyperlink r:id="rId1152" ref="H470"/>
    <hyperlink r:id="rId1153" ref="I470"/>
    <hyperlink r:id="rId1154" ref="H471"/>
    <hyperlink r:id="rId1155" ref="I471"/>
    <hyperlink r:id="rId1156" ref="C472"/>
    <hyperlink r:id="rId1157" ref="H472"/>
    <hyperlink r:id="rId1158" ref="I472"/>
    <hyperlink r:id="rId1159" ref="C473"/>
    <hyperlink r:id="rId1160" ref="H473"/>
    <hyperlink r:id="rId1161" ref="I473"/>
    <hyperlink r:id="rId1162" ref="C474"/>
    <hyperlink r:id="rId1163" ref="H474"/>
    <hyperlink r:id="rId1164" ref="I474"/>
    <hyperlink r:id="rId1165" ref="H475"/>
    <hyperlink r:id="rId1166" ref="I475"/>
    <hyperlink r:id="rId1167" ref="H476"/>
    <hyperlink r:id="rId1168" ref="I476"/>
    <hyperlink r:id="rId1169" ref="C477"/>
    <hyperlink r:id="rId1170" ref="G477"/>
    <hyperlink r:id="rId1171" ref="H477"/>
    <hyperlink r:id="rId1172" ref="I477"/>
    <hyperlink r:id="rId1173" ref="H478"/>
    <hyperlink r:id="rId1174" ref="I478"/>
    <hyperlink r:id="rId1175" ref="C479"/>
    <hyperlink r:id="rId1176" ref="H479"/>
    <hyperlink r:id="rId1177" ref="I479"/>
    <hyperlink r:id="rId1178" ref="H480"/>
    <hyperlink r:id="rId1179" ref="I480"/>
    <hyperlink r:id="rId1180" ref="C481"/>
    <hyperlink r:id="rId1181" ref="H481"/>
    <hyperlink r:id="rId1182" ref="I481"/>
    <hyperlink r:id="rId1183" ref="C482"/>
    <hyperlink r:id="rId1184" ref="H482"/>
    <hyperlink r:id="rId1185" ref="I482"/>
    <hyperlink r:id="rId1186" ref="H483"/>
    <hyperlink r:id="rId1187" ref="H484"/>
    <hyperlink r:id="rId1188" ref="I484"/>
    <hyperlink r:id="rId1189" ref="H485"/>
    <hyperlink r:id="rId1190" ref="H486"/>
    <hyperlink r:id="rId1191" ref="H487"/>
    <hyperlink r:id="rId1192" ref="C488"/>
    <hyperlink r:id="rId1193" ref="H488"/>
    <hyperlink r:id="rId1194" ref="I488"/>
    <hyperlink r:id="rId1195" ref="H489"/>
    <hyperlink r:id="rId1196" ref="I489"/>
    <hyperlink r:id="rId1197" ref="H490"/>
    <hyperlink r:id="rId1198" ref="I490"/>
    <hyperlink r:id="rId1199" ref="H491"/>
    <hyperlink r:id="rId1200" ref="I491"/>
    <hyperlink r:id="rId1201" ref="H492"/>
    <hyperlink r:id="rId1202" ref="I492"/>
    <hyperlink r:id="rId1203" ref="H493"/>
    <hyperlink r:id="rId1204" ref="I493"/>
    <hyperlink r:id="rId1205" ref="H494"/>
    <hyperlink r:id="rId1206" ref="C495"/>
    <hyperlink r:id="rId1207" ref="H495"/>
    <hyperlink r:id="rId1208" ref="I495"/>
    <hyperlink r:id="rId1209" ref="H496"/>
    <hyperlink r:id="rId1210" ref="I496"/>
    <hyperlink r:id="rId1211" ref="H497"/>
    <hyperlink r:id="rId1212" ref="I497"/>
    <hyperlink r:id="rId1213" ref="H498"/>
    <hyperlink r:id="rId1214" ref="I498"/>
    <hyperlink r:id="rId1215" ref="H499"/>
    <hyperlink r:id="rId1216" ref="I499"/>
    <hyperlink r:id="rId1217" ref="H500"/>
    <hyperlink r:id="rId1218" ref="I500"/>
    <hyperlink r:id="rId1219" ref="C501"/>
    <hyperlink r:id="rId1220" ref="H501"/>
    <hyperlink r:id="rId1221" ref="I501"/>
    <hyperlink r:id="rId1222" ref="H502"/>
    <hyperlink r:id="rId1223" ref="I502"/>
    <hyperlink r:id="rId1224" ref="H503"/>
    <hyperlink r:id="rId1225" ref="I503"/>
    <hyperlink r:id="rId1226" ref="C504"/>
    <hyperlink r:id="rId1227" ref="H504"/>
    <hyperlink r:id="rId1228" ref="I504"/>
    <hyperlink r:id="rId1229" ref="C505"/>
    <hyperlink r:id="rId1230" ref="G505"/>
    <hyperlink r:id="rId1231" ref="H505"/>
    <hyperlink r:id="rId1232" ref="I505"/>
    <hyperlink r:id="rId1233" ref="G506"/>
    <hyperlink r:id="rId1234" ref="H506"/>
    <hyperlink r:id="rId1235" ref="I506"/>
    <hyperlink r:id="rId1236" ref="C507"/>
    <hyperlink r:id="rId1237" ref="H507"/>
    <hyperlink r:id="rId1238" ref="I507"/>
    <hyperlink r:id="rId1239" ref="C508"/>
    <hyperlink r:id="rId1240" ref="H508"/>
    <hyperlink r:id="rId1241" ref="I508"/>
    <hyperlink r:id="rId1242" ref="C509"/>
    <hyperlink r:id="rId1243" ref="H509"/>
    <hyperlink r:id="rId1244" ref="I509"/>
    <hyperlink r:id="rId1245" ref="H510"/>
    <hyperlink r:id="rId1246" ref="I510"/>
    <hyperlink r:id="rId1247" ref="G511"/>
    <hyperlink r:id="rId1248" ref="H511"/>
    <hyperlink r:id="rId1249" ref="I511"/>
    <hyperlink r:id="rId1250" ref="C512"/>
    <hyperlink r:id="rId1251" ref="H512"/>
    <hyperlink r:id="rId1252" ref="I512"/>
    <hyperlink r:id="rId1253" ref="H513"/>
    <hyperlink r:id="rId1254" ref="I513"/>
    <hyperlink r:id="rId1255" ref="C514"/>
    <hyperlink r:id="rId1256" ref="H514"/>
    <hyperlink r:id="rId1257" ref="I514"/>
    <hyperlink r:id="rId1258" ref="G515"/>
    <hyperlink r:id="rId1259" ref="H515"/>
    <hyperlink r:id="rId1260" ref="I515"/>
    <hyperlink r:id="rId1261" ref="C516"/>
    <hyperlink r:id="rId1262" ref="G516"/>
    <hyperlink r:id="rId1263" ref="H516"/>
    <hyperlink r:id="rId1264" ref="I516"/>
    <hyperlink r:id="rId1265" ref="C517"/>
    <hyperlink r:id="rId1266" ref="G517"/>
    <hyperlink r:id="rId1267" ref="H517"/>
    <hyperlink r:id="rId1268" ref="I517"/>
    <hyperlink r:id="rId1269" ref="H518"/>
    <hyperlink r:id="rId1270" ref="C519"/>
    <hyperlink r:id="rId1271" ref="H519"/>
    <hyperlink r:id="rId1272" ref="I519"/>
    <hyperlink r:id="rId1273" ref="H520"/>
    <hyperlink r:id="rId1274" ref="I520"/>
    <hyperlink r:id="rId1275" ref="C521"/>
    <hyperlink r:id="rId1276" ref="H521"/>
    <hyperlink r:id="rId1277" ref="I521"/>
    <hyperlink r:id="rId1278" ref="G522"/>
    <hyperlink r:id="rId1279" ref="H522"/>
    <hyperlink r:id="rId1280" ref="H523"/>
    <hyperlink r:id="rId1281" ref="C524"/>
    <hyperlink r:id="rId1282" ref="H524"/>
    <hyperlink r:id="rId1283" ref="I524"/>
    <hyperlink r:id="rId1284" ref="C525"/>
    <hyperlink r:id="rId1285" ref="H525"/>
    <hyperlink r:id="rId1286" ref="I525"/>
    <hyperlink r:id="rId1287" ref="C526"/>
    <hyperlink r:id="rId1288" ref="H526"/>
    <hyperlink r:id="rId1289" ref="I526"/>
    <hyperlink r:id="rId1290" ref="C527"/>
    <hyperlink r:id="rId1291" ref="H527"/>
    <hyperlink r:id="rId1292" ref="I527"/>
    <hyperlink r:id="rId1293" ref="C528"/>
    <hyperlink r:id="rId1294" ref="H528"/>
    <hyperlink r:id="rId1295" ref="I528"/>
    <hyperlink r:id="rId1296" ref="C529"/>
    <hyperlink r:id="rId1297" ref="H529"/>
    <hyperlink r:id="rId1298" ref="I529"/>
    <hyperlink r:id="rId1299" ref="H530"/>
    <hyperlink r:id="rId1300" ref="I530"/>
    <hyperlink r:id="rId1301" ref="H531"/>
    <hyperlink r:id="rId1302" ref="I531"/>
    <hyperlink r:id="rId1303" ref="C532"/>
    <hyperlink r:id="rId1304" ref="G532"/>
    <hyperlink r:id="rId1305" ref="H532"/>
    <hyperlink r:id="rId1306" ref="I532"/>
    <hyperlink r:id="rId1307" ref="G533"/>
    <hyperlink r:id="rId1308" ref="H533"/>
    <hyperlink r:id="rId1309" ref="C534"/>
    <hyperlink r:id="rId1310" ref="H534"/>
    <hyperlink r:id="rId1311" ref="I534"/>
    <hyperlink r:id="rId1312" ref="C535"/>
    <hyperlink r:id="rId1313" ref="G535"/>
    <hyperlink r:id="rId1314" ref="H535"/>
    <hyperlink r:id="rId1315" ref="I535"/>
    <hyperlink r:id="rId1316" ref="C536"/>
    <hyperlink r:id="rId1317" ref="H536"/>
    <hyperlink r:id="rId1318" ref="I536"/>
    <hyperlink r:id="rId1319" ref="C537"/>
    <hyperlink r:id="rId1320" ref="G537"/>
    <hyperlink r:id="rId1321" ref="H537"/>
    <hyperlink r:id="rId1322" ref="I537"/>
    <hyperlink r:id="rId1323" ref="C538"/>
    <hyperlink r:id="rId1324" ref="G538"/>
    <hyperlink r:id="rId1325" ref="H538"/>
    <hyperlink r:id="rId1326" ref="I538"/>
    <hyperlink r:id="rId1327" ref="C539"/>
    <hyperlink r:id="rId1328" ref="H539"/>
    <hyperlink r:id="rId1329" ref="I539"/>
    <hyperlink r:id="rId1330" ref="G540"/>
    <hyperlink r:id="rId1331" ref="H540"/>
    <hyperlink r:id="rId1332" ref="I540"/>
    <hyperlink r:id="rId1333" ref="C541"/>
    <hyperlink r:id="rId1334" ref="H541"/>
    <hyperlink r:id="rId1335" ref="I541"/>
    <hyperlink r:id="rId1336" ref="H542"/>
    <hyperlink r:id="rId1337" ref="I542"/>
    <hyperlink r:id="rId1338" ref="G543"/>
    <hyperlink r:id="rId1339" ref="H543"/>
    <hyperlink r:id="rId1340" ref="I543"/>
    <hyperlink r:id="rId1341" ref="C544"/>
    <hyperlink r:id="rId1342" ref="H544"/>
    <hyperlink r:id="rId1343" ref="I544"/>
    <hyperlink r:id="rId1344" ref="H545"/>
    <hyperlink r:id="rId1345" ref="I545"/>
    <hyperlink r:id="rId1346" ref="H546"/>
    <hyperlink r:id="rId1347" ref="I546"/>
    <hyperlink r:id="rId1348" ref="C547"/>
    <hyperlink r:id="rId1349" ref="H547"/>
    <hyperlink r:id="rId1350" ref="I547"/>
    <hyperlink r:id="rId1351" ref="C548"/>
    <hyperlink r:id="rId1352" ref="H548"/>
    <hyperlink r:id="rId1353" ref="I548"/>
    <hyperlink r:id="rId1354" ref="H549"/>
    <hyperlink r:id="rId1355" ref="I549"/>
    <hyperlink r:id="rId1356" ref="H550"/>
    <hyperlink r:id="rId1357" ref="C551"/>
    <hyperlink r:id="rId1358" ref="G551"/>
    <hyperlink r:id="rId1359" ref="H551"/>
    <hyperlink r:id="rId1360" ref="I551"/>
    <hyperlink r:id="rId1361" ref="C552"/>
    <hyperlink r:id="rId1362" ref="H552"/>
    <hyperlink r:id="rId1363" ref="I552"/>
    <hyperlink r:id="rId1364" ref="H553"/>
    <hyperlink r:id="rId1365" ref="I553"/>
    <hyperlink r:id="rId1366" ref="C555"/>
    <hyperlink r:id="rId1367" ref="H555"/>
    <hyperlink r:id="rId1368" ref="I555"/>
    <hyperlink r:id="rId1369" ref="H556"/>
    <hyperlink r:id="rId1370" ref="I556"/>
    <hyperlink r:id="rId1371" ref="G557"/>
    <hyperlink r:id="rId1372" ref="H557"/>
    <hyperlink r:id="rId1373" ref="I557"/>
    <hyperlink r:id="rId1374" ref="H558"/>
    <hyperlink r:id="rId1375" ref="I558"/>
    <hyperlink r:id="rId1376" ref="H559"/>
    <hyperlink r:id="rId1377" ref="I559"/>
    <hyperlink r:id="rId1378" ref="G560"/>
    <hyperlink r:id="rId1379" ref="H560"/>
    <hyperlink r:id="rId1380" ref="I560"/>
    <hyperlink r:id="rId1381" ref="C561"/>
    <hyperlink r:id="rId1382" ref="G561"/>
    <hyperlink r:id="rId1383" ref="H561"/>
    <hyperlink r:id="rId1384" ref="I561"/>
    <hyperlink r:id="rId1385" ref="H562"/>
    <hyperlink r:id="rId1386" ref="I562"/>
    <hyperlink r:id="rId1387" ref="H563"/>
    <hyperlink r:id="rId1388" ref="C564"/>
    <hyperlink r:id="rId1389" ref="H564"/>
    <hyperlink r:id="rId1390" ref="I564"/>
    <hyperlink r:id="rId1391" ref="H565"/>
    <hyperlink r:id="rId1392" ref="I565"/>
    <hyperlink r:id="rId1393" ref="C566"/>
    <hyperlink r:id="rId1394" ref="G566"/>
    <hyperlink r:id="rId1395" ref="H566"/>
    <hyperlink r:id="rId1396" ref="I566"/>
    <hyperlink r:id="rId1397" ref="C567"/>
    <hyperlink r:id="rId1398" ref="H567"/>
    <hyperlink r:id="rId1399" ref="I567"/>
    <hyperlink r:id="rId1400" ref="C568"/>
    <hyperlink r:id="rId1401" ref="H568"/>
    <hyperlink r:id="rId1402" ref="I568"/>
    <hyperlink r:id="rId1403" ref="H569"/>
    <hyperlink r:id="rId1404" ref="I569"/>
    <hyperlink r:id="rId1405" ref="C570"/>
    <hyperlink r:id="rId1406" ref="H570"/>
    <hyperlink r:id="rId1407" ref="I570"/>
    <hyperlink r:id="rId1408" ref="H571"/>
    <hyperlink r:id="rId1409" ref="I571"/>
    <hyperlink r:id="rId1410" ref="H572"/>
    <hyperlink r:id="rId1411" ref="I572"/>
    <hyperlink r:id="rId1412" ref="H573"/>
    <hyperlink r:id="rId1413" ref="H574"/>
    <hyperlink r:id="rId1414" ref="I574"/>
    <hyperlink r:id="rId1415" ref="H575"/>
    <hyperlink r:id="rId1416" ref="I575"/>
    <hyperlink r:id="rId1417" ref="H576"/>
    <hyperlink r:id="rId1418" ref="I576"/>
    <hyperlink r:id="rId1419" ref="H577"/>
    <hyperlink r:id="rId1420" ref="I577"/>
    <hyperlink r:id="rId1421" ref="H578"/>
    <hyperlink r:id="rId1422" ref="I578"/>
    <hyperlink r:id="rId1423" ref="C579"/>
    <hyperlink r:id="rId1424" location=".XBrEqRNKh-U" ref="H579"/>
    <hyperlink r:id="rId1425" ref="I579"/>
    <hyperlink r:id="rId1426" ref="C580"/>
    <hyperlink r:id="rId1427" ref="H580"/>
    <hyperlink r:id="rId1428" ref="I580"/>
    <hyperlink r:id="rId1429" ref="H581"/>
    <hyperlink r:id="rId1430" ref="I581"/>
    <hyperlink r:id="rId1431" ref="C582"/>
    <hyperlink r:id="rId1432" ref="H582"/>
    <hyperlink r:id="rId1433" ref="I582"/>
    <hyperlink r:id="rId1434" ref="H583"/>
    <hyperlink r:id="rId1435" ref="I583"/>
    <hyperlink r:id="rId1436" ref="G584"/>
    <hyperlink r:id="rId1437" ref="H584"/>
    <hyperlink r:id="rId1438" ref="I584"/>
    <hyperlink r:id="rId1439" ref="C585"/>
    <hyperlink r:id="rId1440" ref="H585"/>
    <hyperlink r:id="rId1441" ref="I585"/>
    <hyperlink r:id="rId1442" ref="H586"/>
    <hyperlink r:id="rId1443" ref="I586"/>
    <hyperlink r:id="rId1444" ref="C587"/>
    <hyperlink r:id="rId1445" ref="G587"/>
    <hyperlink r:id="rId1446" ref="H587"/>
    <hyperlink r:id="rId1447" ref="I587"/>
    <hyperlink r:id="rId1448" ref="H588"/>
    <hyperlink r:id="rId1449" ref="I588"/>
    <hyperlink r:id="rId1450" ref="C589"/>
    <hyperlink r:id="rId1451" ref="H589"/>
    <hyperlink r:id="rId1452" ref="I589"/>
    <hyperlink r:id="rId1453" ref="C590"/>
    <hyperlink r:id="rId1454" ref="G590"/>
    <hyperlink r:id="rId1455" ref="H590"/>
    <hyperlink r:id="rId1456" ref="I590"/>
    <hyperlink r:id="rId1457" ref="H591"/>
    <hyperlink r:id="rId1458" ref="C592"/>
    <hyperlink r:id="rId1459" ref="H592"/>
    <hyperlink r:id="rId1460" ref="I592"/>
    <hyperlink r:id="rId1461" ref="H593"/>
    <hyperlink r:id="rId1462" ref="I593"/>
    <hyperlink r:id="rId1463" ref="C594"/>
    <hyperlink r:id="rId1464" ref="H594"/>
    <hyperlink r:id="rId1465" ref="I594"/>
    <hyperlink r:id="rId1466" ref="C595"/>
    <hyperlink r:id="rId1467" ref="G595"/>
    <hyperlink r:id="rId1468" ref="H595"/>
    <hyperlink r:id="rId1469" ref="I595"/>
    <hyperlink r:id="rId1470" ref="H596"/>
    <hyperlink r:id="rId1471" ref="I596"/>
    <hyperlink r:id="rId1472" ref="C597"/>
    <hyperlink r:id="rId1473" ref="H597"/>
    <hyperlink r:id="rId1474" ref="I597"/>
    <hyperlink r:id="rId1475" ref="G598"/>
    <hyperlink r:id="rId1476" ref="H598"/>
    <hyperlink r:id="rId1477" ref="C599"/>
    <hyperlink r:id="rId1478" ref="H599"/>
    <hyperlink r:id="rId1479" ref="I599"/>
    <hyperlink r:id="rId1480" ref="H600"/>
    <hyperlink r:id="rId1481" ref="H601"/>
    <hyperlink r:id="rId1482" ref="I601"/>
    <hyperlink r:id="rId1483" ref="C602"/>
    <hyperlink r:id="rId1484" ref="H602"/>
    <hyperlink r:id="rId1485" ref="I602"/>
    <hyperlink r:id="rId1486" ref="H603"/>
    <hyperlink r:id="rId1487" ref="I603"/>
    <hyperlink r:id="rId1488" ref="C604"/>
    <hyperlink r:id="rId1489" ref="G604"/>
    <hyperlink r:id="rId1490" ref="H604"/>
    <hyperlink r:id="rId1491" ref="I604"/>
    <hyperlink r:id="rId1492" ref="C605"/>
    <hyperlink r:id="rId1493" ref="H605"/>
    <hyperlink r:id="rId1494" ref="I605"/>
    <hyperlink r:id="rId1495" ref="C606"/>
    <hyperlink r:id="rId1496" ref="G606"/>
    <hyperlink r:id="rId1497" ref="H606"/>
    <hyperlink r:id="rId1498" ref="I606"/>
    <hyperlink r:id="rId1499" ref="H607"/>
    <hyperlink r:id="rId1500" ref="I607"/>
    <hyperlink r:id="rId1501" ref="C608"/>
    <hyperlink r:id="rId1502" ref="H608"/>
    <hyperlink r:id="rId1503" ref="I608"/>
    <hyperlink r:id="rId1504" ref="C609"/>
    <hyperlink r:id="rId1505" ref="G609"/>
    <hyperlink r:id="rId1506" ref="H609"/>
    <hyperlink r:id="rId1507" ref="I609"/>
    <hyperlink r:id="rId1508" ref="H610"/>
    <hyperlink r:id="rId1509" ref="I610"/>
    <hyperlink r:id="rId1510" ref="H611"/>
    <hyperlink r:id="rId1511" ref="C612"/>
    <hyperlink r:id="rId1512" ref="H612"/>
    <hyperlink r:id="rId1513" ref="I612"/>
    <hyperlink r:id="rId1514" ref="C613"/>
    <hyperlink r:id="rId1515" ref="G613"/>
    <hyperlink r:id="rId1516" ref="H613"/>
    <hyperlink r:id="rId1517" ref="I613"/>
    <hyperlink r:id="rId1518" ref="G614"/>
    <hyperlink r:id="rId1519" ref="H614"/>
    <hyperlink r:id="rId1520" ref="G615"/>
    <hyperlink r:id="rId1521" ref="H615"/>
    <hyperlink r:id="rId1522" ref="I615"/>
    <hyperlink r:id="rId1523" ref="C616"/>
    <hyperlink r:id="rId1524" ref="G616"/>
    <hyperlink r:id="rId1525" ref="H616"/>
    <hyperlink r:id="rId1526" ref="I616"/>
    <hyperlink r:id="rId1527" ref="G617"/>
    <hyperlink r:id="rId1528" ref="H617"/>
    <hyperlink r:id="rId1529" ref="H618"/>
    <hyperlink r:id="rId1530" ref="I618"/>
    <hyperlink r:id="rId1531" ref="H619"/>
    <hyperlink r:id="rId1532" ref="C620"/>
    <hyperlink r:id="rId1533" ref="H620"/>
    <hyperlink r:id="rId1534" ref="I620"/>
    <hyperlink r:id="rId1535" ref="C621"/>
    <hyperlink r:id="rId1536" ref="H621"/>
    <hyperlink r:id="rId1537" ref="I621"/>
    <hyperlink r:id="rId1538" ref="H622"/>
    <hyperlink r:id="rId1539" ref="I622"/>
    <hyperlink r:id="rId1540" ref="H623"/>
    <hyperlink r:id="rId1541" ref="I623"/>
    <hyperlink r:id="rId1542" ref="H624"/>
    <hyperlink r:id="rId1543" ref="I624"/>
    <hyperlink r:id="rId1544" ref="G625"/>
    <hyperlink r:id="rId1545" ref="H625"/>
    <hyperlink r:id="rId1546" ref="H626"/>
    <hyperlink r:id="rId1547" ref="H627"/>
    <hyperlink r:id="rId1548" ref="I627"/>
    <hyperlink r:id="rId1549" ref="C628"/>
    <hyperlink r:id="rId1550" ref="G628"/>
    <hyperlink r:id="rId1551" ref="H628"/>
    <hyperlink r:id="rId1552" ref="I628"/>
    <hyperlink r:id="rId1553" ref="H629"/>
    <hyperlink r:id="rId1554" ref="H630"/>
    <hyperlink r:id="rId1555" ref="I630"/>
    <hyperlink r:id="rId1556" ref="H631"/>
    <hyperlink r:id="rId1557" ref="I631"/>
    <hyperlink r:id="rId1558" ref="C632"/>
    <hyperlink r:id="rId1559" ref="H632"/>
    <hyperlink r:id="rId1560" ref="I632"/>
    <hyperlink r:id="rId1561" ref="H633"/>
    <hyperlink r:id="rId1562" ref="C634"/>
    <hyperlink r:id="rId1563" ref="H634"/>
    <hyperlink r:id="rId1564" ref="I634"/>
    <hyperlink r:id="rId1565" ref="H635"/>
    <hyperlink r:id="rId1566" ref="I635"/>
    <hyperlink r:id="rId1567" ref="H636"/>
    <hyperlink r:id="rId1568" ref="H637"/>
    <hyperlink r:id="rId1569" ref="I637"/>
    <hyperlink r:id="rId1570" ref="H638"/>
    <hyperlink r:id="rId1571" ref="I638"/>
    <hyperlink r:id="rId1572" ref="G639"/>
    <hyperlink r:id="rId1573" ref="H639"/>
    <hyperlink r:id="rId1574" ref="I639"/>
    <hyperlink r:id="rId1575" ref="H640"/>
    <hyperlink r:id="rId1576" ref="I640"/>
    <hyperlink r:id="rId1577" ref="H641"/>
    <hyperlink r:id="rId1578" ref="C642"/>
    <hyperlink r:id="rId1579" ref="H642"/>
    <hyperlink r:id="rId1580" ref="I642"/>
    <hyperlink r:id="rId1581" ref="H643"/>
    <hyperlink r:id="rId1582" ref="I643"/>
    <hyperlink r:id="rId1583" ref="C644"/>
    <hyperlink r:id="rId1584" ref="H644"/>
    <hyperlink r:id="rId1585" ref="I644"/>
    <hyperlink r:id="rId1586" ref="H645"/>
    <hyperlink r:id="rId1587" ref="I645"/>
    <hyperlink r:id="rId1588" ref="H646"/>
    <hyperlink r:id="rId1589" ref="I646"/>
    <hyperlink r:id="rId1590" ref="C647"/>
    <hyperlink r:id="rId1591" ref="H647"/>
    <hyperlink r:id="rId1592" ref="I647"/>
    <hyperlink r:id="rId1593" ref="C648"/>
    <hyperlink r:id="rId1594" ref="H648"/>
    <hyperlink r:id="rId1595" ref="I648"/>
    <hyperlink r:id="rId1596" ref="G649"/>
    <hyperlink r:id="rId1597" ref="H649"/>
    <hyperlink r:id="rId1598" ref="I649"/>
    <hyperlink r:id="rId1599" ref="H650"/>
    <hyperlink r:id="rId1600" ref="I650"/>
    <hyperlink r:id="rId1601" ref="H651"/>
    <hyperlink r:id="rId1602" ref="I651"/>
    <hyperlink r:id="rId1603" ref="C652"/>
    <hyperlink r:id="rId1604" ref="G652"/>
    <hyperlink r:id="rId1605" ref="H652"/>
    <hyperlink r:id="rId1606" ref="I652"/>
    <hyperlink r:id="rId1607" ref="C653"/>
    <hyperlink r:id="rId1608" ref="H653"/>
    <hyperlink r:id="rId1609" ref="I653"/>
    <hyperlink r:id="rId1610" ref="C654"/>
    <hyperlink r:id="rId1611" ref="G654"/>
    <hyperlink r:id="rId1612" ref="H654"/>
    <hyperlink r:id="rId1613" ref="I654"/>
    <hyperlink r:id="rId1614" ref="C655"/>
    <hyperlink r:id="rId1615" ref="H655"/>
    <hyperlink r:id="rId1616" ref="I655"/>
    <hyperlink r:id="rId1617" ref="H656"/>
    <hyperlink r:id="rId1618" ref="C657"/>
    <hyperlink r:id="rId1619" ref="H657"/>
    <hyperlink r:id="rId1620" ref="I657"/>
    <hyperlink r:id="rId1621" ref="C658"/>
    <hyperlink r:id="rId1622" ref="G658"/>
    <hyperlink r:id="rId1623" ref="H658"/>
    <hyperlink r:id="rId1624" ref="I658"/>
    <hyperlink r:id="rId1625" ref="H659"/>
    <hyperlink r:id="rId1626" ref="I659"/>
    <hyperlink r:id="rId1627" ref="C660"/>
    <hyperlink r:id="rId1628" ref="H660"/>
    <hyperlink r:id="rId1629" ref="I660"/>
    <hyperlink r:id="rId1630" ref="H661"/>
    <hyperlink r:id="rId1631" ref="I661"/>
    <hyperlink r:id="rId1632" ref="C662"/>
    <hyperlink r:id="rId1633" ref="H662"/>
    <hyperlink r:id="rId1634" ref="I662"/>
    <hyperlink r:id="rId1635" ref="H663"/>
    <hyperlink r:id="rId1636" ref="C664"/>
    <hyperlink r:id="rId1637" ref="H664"/>
    <hyperlink r:id="rId1638" ref="I664"/>
    <hyperlink r:id="rId1639" ref="H665"/>
    <hyperlink r:id="rId1640" ref="I665"/>
    <hyperlink r:id="rId1641" ref="C666"/>
    <hyperlink r:id="rId1642" ref="H666"/>
    <hyperlink r:id="rId1643" ref="I666"/>
    <hyperlink r:id="rId1644" ref="H667"/>
    <hyperlink r:id="rId1645" ref="I667"/>
    <hyperlink r:id="rId1646" ref="C668"/>
    <hyperlink r:id="rId1647" ref="G668"/>
    <hyperlink r:id="rId1648" ref="H668"/>
    <hyperlink r:id="rId1649" ref="I668"/>
    <hyperlink r:id="rId1650" ref="H669"/>
    <hyperlink r:id="rId1651" ref="C670"/>
    <hyperlink r:id="rId1652" ref="H670"/>
    <hyperlink r:id="rId1653" ref="I670"/>
    <hyperlink r:id="rId1654" ref="H671"/>
    <hyperlink r:id="rId1655" ref="I671"/>
    <hyperlink r:id="rId1656" ref="H672"/>
    <hyperlink r:id="rId1657" ref="I672"/>
    <hyperlink r:id="rId1658" ref="C673"/>
    <hyperlink r:id="rId1659" ref="H673"/>
    <hyperlink r:id="rId1660" ref="I673"/>
    <hyperlink r:id="rId1661" ref="C674"/>
    <hyperlink r:id="rId1662" ref="G674"/>
    <hyperlink r:id="rId1663" ref="H674"/>
    <hyperlink r:id="rId1664" ref="I674"/>
    <hyperlink r:id="rId1665" ref="H675"/>
    <hyperlink r:id="rId1666" ref="I675"/>
    <hyperlink r:id="rId1667" ref="C676"/>
    <hyperlink r:id="rId1668" ref="H676"/>
    <hyperlink r:id="rId1669" ref="I676"/>
    <hyperlink r:id="rId1670" ref="G677"/>
    <hyperlink r:id="rId1671" ref="H677"/>
    <hyperlink r:id="rId1672" ref="I677"/>
    <hyperlink r:id="rId1673" ref="H678"/>
    <hyperlink r:id="rId1674" ref="H679"/>
    <hyperlink r:id="rId1675" ref="I679"/>
    <hyperlink r:id="rId1676" ref="C680"/>
    <hyperlink r:id="rId1677" ref="H680"/>
    <hyperlink r:id="rId1678" ref="I680"/>
    <hyperlink r:id="rId1679" ref="C681"/>
    <hyperlink r:id="rId1680" ref="H681"/>
    <hyperlink r:id="rId1681" ref="I681"/>
    <hyperlink r:id="rId1682" ref="H682"/>
    <hyperlink r:id="rId1683" ref="H683"/>
    <hyperlink r:id="rId1684" ref="I683"/>
    <hyperlink r:id="rId1685" ref="C684"/>
    <hyperlink r:id="rId1686" ref="H684"/>
    <hyperlink r:id="rId1687" ref="I684"/>
    <hyperlink r:id="rId1688" ref="C685"/>
    <hyperlink r:id="rId1689" ref="H685"/>
    <hyperlink r:id="rId1690" ref="I685"/>
    <hyperlink r:id="rId1691" ref="C686"/>
    <hyperlink r:id="rId1692" ref="G686"/>
    <hyperlink r:id="rId1693" ref="H686"/>
    <hyperlink r:id="rId1694" ref="I686"/>
    <hyperlink r:id="rId1695" ref="C687"/>
    <hyperlink r:id="rId1696" ref="H687"/>
    <hyperlink r:id="rId1697" ref="I687"/>
    <hyperlink r:id="rId1698" ref="C688"/>
    <hyperlink r:id="rId1699" ref="H688"/>
    <hyperlink r:id="rId1700" ref="I688"/>
    <hyperlink r:id="rId1701" ref="C689"/>
    <hyperlink r:id="rId1702" ref="H689"/>
    <hyperlink r:id="rId1703" ref="I689"/>
    <hyperlink r:id="rId1704" ref="C690"/>
    <hyperlink r:id="rId1705" ref="H690"/>
    <hyperlink r:id="rId1706" ref="I690"/>
    <hyperlink r:id="rId1707" ref="C691"/>
    <hyperlink r:id="rId1708" ref="H691"/>
    <hyperlink r:id="rId1709" ref="I691"/>
    <hyperlink r:id="rId1710" ref="H692"/>
    <hyperlink r:id="rId1711" ref="C693"/>
    <hyperlink r:id="rId1712" ref="H693"/>
    <hyperlink r:id="rId1713" ref="I693"/>
    <hyperlink r:id="rId1714" ref="H694"/>
    <hyperlink r:id="rId1715" ref="I694"/>
    <hyperlink r:id="rId1716" ref="C695"/>
    <hyperlink r:id="rId1717" ref="H695"/>
    <hyperlink r:id="rId1718" ref="I695"/>
    <hyperlink r:id="rId1719" ref="H696"/>
    <hyperlink r:id="rId1720" ref="I696"/>
    <hyperlink r:id="rId1721" ref="H697"/>
    <hyperlink r:id="rId1722" ref="C698"/>
    <hyperlink r:id="rId1723" ref="G698"/>
    <hyperlink r:id="rId1724" ref="H698"/>
    <hyperlink r:id="rId1725" ref="I698"/>
    <hyperlink r:id="rId1726" ref="C699"/>
    <hyperlink r:id="rId1727" ref="H699"/>
    <hyperlink r:id="rId1728" ref="I699"/>
    <hyperlink r:id="rId1729" ref="G700"/>
    <hyperlink r:id="rId1730" ref="H700"/>
    <hyperlink r:id="rId1731" ref="I700"/>
    <hyperlink r:id="rId1732" ref="C701"/>
    <hyperlink r:id="rId1733" ref="H701"/>
    <hyperlink r:id="rId1734" ref="I701"/>
    <hyperlink r:id="rId1735" ref="C702"/>
    <hyperlink r:id="rId1736" ref="H702"/>
    <hyperlink r:id="rId1737" ref="I702"/>
    <hyperlink r:id="rId1738" ref="C703"/>
    <hyperlink r:id="rId1739" ref="G703"/>
    <hyperlink r:id="rId1740" ref="H703"/>
    <hyperlink r:id="rId1741" ref="I703"/>
    <hyperlink r:id="rId1742" ref="G704"/>
    <hyperlink r:id="rId1743" ref="H704"/>
    <hyperlink r:id="rId1744" ref="I704"/>
    <hyperlink r:id="rId1745" ref="C705"/>
    <hyperlink r:id="rId1746" ref="H705"/>
    <hyperlink r:id="rId1747" ref="I705"/>
    <hyperlink r:id="rId1748" ref="H706"/>
    <hyperlink r:id="rId1749" ref="H707"/>
    <hyperlink r:id="rId1750" ref="I707"/>
    <hyperlink r:id="rId1751" ref="G708"/>
    <hyperlink r:id="rId1752" ref="H708"/>
    <hyperlink r:id="rId1753" ref="I708"/>
    <hyperlink r:id="rId1754" ref="H709"/>
    <hyperlink r:id="rId1755" ref="I709"/>
    <hyperlink r:id="rId1756" ref="G710"/>
    <hyperlink r:id="rId1757" ref="H710"/>
    <hyperlink r:id="rId1758" ref="I710"/>
    <hyperlink r:id="rId1759" ref="C711"/>
    <hyperlink r:id="rId1760" ref="G711"/>
    <hyperlink r:id="rId1761" ref="H711"/>
    <hyperlink r:id="rId1762" ref="I711"/>
    <hyperlink r:id="rId1763" ref="C712"/>
    <hyperlink r:id="rId1764" ref="H712"/>
    <hyperlink r:id="rId1765" ref="I712"/>
    <hyperlink r:id="rId1766" ref="H713"/>
    <hyperlink r:id="rId1767" ref="I713"/>
    <hyperlink r:id="rId1768" ref="C714"/>
    <hyperlink r:id="rId1769" ref="G714"/>
    <hyperlink r:id="rId1770" ref="H714"/>
    <hyperlink r:id="rId1771" ref="I714"/>
    <hyperlink r:id="rId1772" ref="C715"/>
    <hyperlink r:id="rId1773" ref="H715"/>
    <hyperlink r:id="rId1774" ref="I715"/>
    <hyperlink r:id="rId1775" ref="H716"/>
    <hyperlink r:id="rId1776" ref="I716"/>
    <hyperlink r:id="rId1777" ref="C717"/>
    <hyperlink r:id="rId1778" ref="H717"/>
    <hyperlink r:id="rId1779" ref="I717"/>
    <hyperlink r:id="rId1780" ref="C718"/>
    <hyperlink r:id="rId1781" ref="H718"/>
    <hyperlink r:id="rId1782" ref="I718"/>
    <hyperlink r:id="rId1783" ref="C719"/>
    <hyperlink r:id="rId1784" ref="H719"/>
    <hyperlink r:id="rId1785" ref="I719"/>
    <hyperlink r:id="rId1786" ref="H720"/>
    <hyperlink r:id="rId1787" ref="C721"/>
    <hyperlink r:id="rId1788" ref="H721"/>
    <hyperlink r:id="rId1789" ref="I721"/>
    <hyperlink r:id="rId1790" ref="H722"/>
    <hyperlink r:id="rId1791" ref="I722"/>
    <hyperlink r:id="rId1792" ref="H723"/>
    <hyperlink r:id="rId1793" ref="I723"/>
    <hyperlink r:id="rId1794" ref="C724"/>
    <hyperlink r:id="rId1795" ref="G724"/>
    <hyperlink r:id="rId1796" ref="H724"/>
    <hyperlink r:id="rId1797" ref="I724"/>
    <hyperlink r:id="rId1798" ref="H725"/>
    <hyperlink r:id="rId1799" ref="I725"/>
    <hyperlink r:id="rId1800" ref="H726"/>
    <hyperlink r:id="rId1801" ref="I726"/>
    <hyperlink r:id="rId1802" ref="H727"/>
    <hyperlink r:id="rId1803" ref="C728"/>
    <hyperlink r:id="rId1804" ref="H728"/>
    <hyperlink r:id="rId1805" ref="I728"/>
    <hyperlink r:id="rId1806" ref="H729"/>
    <hyperlink r:id="rId1807" ref="I729"/>
    <hyperlink r:id="rId1808" ref="G730"/>
    <hyperlink r:id="rId1809" ref="H730"/>
    <hyperlink r:id="rId1810" ref="I730"/>
    <hyperlink r:id="rId1811" ref="C731"/>
    <hyperlink r:id="rId1812" ref="H731"/>
    <hyperlink r:id="rId1813" ref="I731"/>
    <hyperlink r:id="rId1814" ref="H732"/>
    <hyperlink r:id="rId1815" ref="C733"/>
    <hyperlink r:id="rId1816" ref="H733"/>
    <hyperlink r:id="rId1817" ref="I733"/>
    <hyperlink r:id="rId1818" ref="C734"/>
    <hyperlink r:id="rId1819" ref="H734"/>
    <hyperlink r:id="rId1820" ref="I734"/>
    <hyperlink r:id="rId1821" ref="C735"/>
    <hyperlink r:id="rId1822" ref="H735"/>
    <hyperlink r:id="rId1823" ref="I735"/>
    <hyperlink r:id="rId1824" ref="C736"/>
    <hyperlink r:id="rId1825" ref="G736"/>
    <hyperlink r:id="rId1826" ref="H736"/>
    <hyperlink r:id="rId1827" ref="I736"/>
    <hyperlink r:id="rId1828" ref="H737"/>
    <hyperlink r:id="rId1829" ref="I737"/>
    <hyperlink r:id="rId1830" ref="C738"/>
    <hyperlink r:id="rId1831" ref="H738"/>
    <hyperlink r:id="rId1832" ref="I738"/>
    <hyperlink r:id="rId1833" ref="H739"/>
    <hyperlink r:id="rId1834" ref="I739"/>
    <hyperlink r:id="rId1835" ref="H740"/>
    <hyperlink r:id="rId1836" ref="I740"/>
    <hyperlink r:id="rId1837" ref="H741"/>
    <hyperlink r:id="rId1838" ref="C742"/>
    <hyperlink r:id="rId1839" ref="H742"/>
    <hyperlink r:id="rId1840" ref="I742"/>
    <hyperlink r:id="rId1841" ref="G743"/>
    <hyperlink r:id="rId1842" ref="H743"/>
    <hyperlink r:id="rId1843" ref="I743"/>
    <hyperlink r:id="rId1844" ref="H744"/>
    <hyperlink r:id="rId1845" ref="I744"/>
    <hyperlink r:id="rId1846" ref="C745"/>
    <hyperlink r:id="rId1847" ref="H745"/>
    <hyperlink r:id="rId1848" ref="I745"/>
    <hyperlink r:id="rId1849" ref="H746"/>
    <hyperlink r:id="rId1850" ref="I746"/>
    <hyperlink r:id="rId1851" ref="C747"/>
    <hyperlink r:id="rId1852" ref="H747"/>
    <hyperlink r:id="rId1853" ref="I747"/>
    <hyperlink r:id="rId1854" ref="H748"/>
    <hyperlink r:id="rId1855" ref="I748"/>
    <hyperlink r:id="rId1856" ref="H749"/>
    <hyperlink r:id="rId1857" ref="H750"/>
    <hyperlink r:id="rId1858" ref="I750"/>
    <hyperlink r:id="rId1859" ref="C751"/>
    <hyperlink r:id="rId1860" ref="H751"/>
    <hyperlink r:id="rId1861" ref="I751"/>
    <hyperlink r:id="rId1862" ref="C752"/>
    <hyperlink r:id="rId1863" ref="H752"/>
    <hyperlink r:id="rId1864" ref="I752"/>
    <hyperlink r:id="rId1865" ref="H753"/>
    <hyperlink r:id="rId1866" ref="H754"/>
    <hyperlink r:id="rId1867" ref="C755"/>
    <hyperlink r:id="rId1868" ref="H755"/>
    <hyperlink r:id="rId1869" ref="I755"/>
    <hyperlink r:id="rId1870" ref="G756"/>
    <hyperlink r:id="rId1871" ref="H756"/>
    <hyperlink r:id="rId1872" ref="I756"/>
    <hyperlink r:id="rId1873" ref="C757"/>
    <hyperlink r:id="rId1874" ref="G757"/>
    <hyperlink r:id="rId1875" ref="H757"/>
    <hyperlink r:id="rId1876" ref="I757"/>
    <hyperlink r:id="rId1877" ref="C758"/>
    <hyperlink r:id="rId1878" ref="H758"/>
    <hyperlink r:id="rId1879" ref="I758"/>
    <hyperlink r:id="rId1880" ref="C759"/>
    <hyperlink r:id="rId1881" ref="H759"/>
    <hyperlink r:id="rId1882" ref="I759"/>
    <hyperlink r:id="rId1883" ref="H760"/>
    <hyperlink r:id="rId1884" ref="C761"/>
    <hyperlink r:id="rId1885" ref="H761"/>
    <hyperlink r:id="rId1886" ref="I761"/>
    <hyperlink r:id="rId1887" ref="C762"/>
    <hyperlink r:id="rId1888" ref="H762"/>
    <hyperlink r:id="rId1889" ref="I762"/>
    <hyperlink r:id="rId1890" ref="H763"/>
    <hyperlink r:id="rId1891" ref="C764"/>
    <hyperlink r:id="rId1892" ref="G764"/>
    <hyperlink r:id="rId1893" ref="H764"/>
    <hyperlink r:id="rId1894" ref="I764"/>
    <hyperlink r:id="rId1895" ref="C765"/>
    <hyperlink r:id="rId1896" ref="H765"/>
    <hyperlink r:id="rId1897" ref="I765"/>
    <hyperlink r:id="rId1898" ref="C766"/>
    <hyperlink r:id="rId1899" ref="G766"/>
    <hyperlink r:id="rId1900" ref="H766"/>
    <hyperlink r:id="rId1901" ref="I766"/>
    <hyperlink r:id="rId1902" ref="C767"/>
    <hyperlink r:id="rId1903" ref="H767"/>
    <hyperlink r:id="rId1904" ref="I767"/>
    <hyperlink r:id="rId1905" ref="G768"/>
    <hyperlink r:id="rId1906" ref="H768"/>
    <hyperlink r:id="rId1907" ref="I768"/>
    <hyperlink r:id="rId1908" ref="H769"/>
    <hyperlink r:id="rId1909" ref="C770"/>
    <hyperlink r:id="rId1910" ref="H770"/>
    <hyperlink r:id="rId1911" ref="I770"/>
    <hyperlink r:id="rId1912" ref="C771"/>
    <hyperlink r:id="rId1913" ref="H771"/>
    <hyperlink r:id="rId1914" ref="I771"/>
    <hyperlink r:id="rId1915" ref="H772"/>
    <hyperlink r:id="rId1916" ref="H773"/>
    <hyperlink r:id="rId1917" ref="C774"/>
    <hyperlink r:id="rId1918" ref="G774"/>
    <hyperlink r:id="rId1919" ref="H774"/>
    <hyperlink r:id="rId1920" ref="I774"/>
    <hyperlink r:id="rId1921" ref="C775"/>
    <hyperlink r:id="rId1922" ref="H775"/>
    <hyperlink r:id="rId1923" ref="I775"/>
    <hyperlink r:id="rId1924" ref="H776"/>
    <hyperlink r:id="rId1925" ref="I776"/>
    <hyperlink r:id="rId1926" ref="C777"/>
    <hyperlink r:id="rId1927" ref="H777"/>
    <hyperlink r:id="rId1928" ref="I777"/>
    <hyperlink r:id="rId1929" ref="H778"/>
    <hyperlink r:id="rId1930" ref="I778"/>
    <hyperlink r:id="rId1931" ref="C779"/>
    <hyperlink r:id="rId1932" ref="H779"/>
    <hyperlink r:id="rId1933" ref="I779"/>
    <hyperlink r:id="rId1934" ref="H780"/>
    <hyperlink r:id="rId1935" ref="I780"/>
    <hyperlink r:id="rId1936" ref="H781"/>
    <hyperlink r:id="rId1937" ref="I781"/>
    <hyperlink r:id="rId1938" ref="C782"/>
    <hyperlink r:id="rId1939" ref="G782"/>
    <hyperlink r:id="rId1940" ref="H782"/>
    <hyperlink r:id="rId1941" ref="I782"/>
    <hyperlink r:id="rId1942" ref="C783"/>
    <hyperlink r:id="rId1943" ref="G783"/>
    <hyperlink r:id="rId1944" ref="H783"/>
    <hyperlink r:id="rId1945" ref="I783"/>
    <hyperlink r:id="rId1946" ref="H784"/>
    <hyperlink r:id="rId1947" ref="H785"/>
    <hyperlink r:id="rId1948" ref="I785"/>
    <hyperlink r:id="rId1949" ref="C786"/>
    <hyperlink r:id="rId1950" ref="G786"/>
    <hyperlink r:id="rId1951" ref="H786"/>
    <hyperlink r:id="rId1952" ref="I786"/>
    <hyperlink r:id="rId1953" ref="H787"/>
    <hyperlink r:id="rId1954" ref="H788"/>
    <hyperlink r:id="rId1955" ref="C789"/>
    <hyperlink r:id="rId1956" ref="G789"/>
    <hyperlink r:id="rId1957" ref="H789"/>
    <hyperlink r:id="rId1958" ref="I789"/>
    <hyperlink r:id="rId1959" ref="C790"/>
    <hyperlink r:id="rId1960" ref="G790"/>
    <hyperlink r:id="rId1961" ref="H790"/>
    <hyperlink r:id="rId1962" ref="I790"/>
    <hyperlink r:id="rId1963" ref="H791"/>
    <hyperlink r:id="rId1964" ref="I791"/>
    <hyperlink r:id="rId1965" ref="C792"/>
    <hyperlink r:id="rId1966" ref="H792"/>
    <hyperlink r:id="rId1967" ref="I792"/>
    <hyperlink r:id="rId1968" ref="H793"/>
    <hyperlink r:id="rId1969" ref="I793"/>
    <hyperlink r:id="rId1970" ref="G794"/>
    <hyperlink r:id="rId1971" ref="H794"/>
    <hyperlink r:id="rId1972" ref="I794"/>
    <hyperlink r:id="rId1973" ref="C795"/>
    <hyperlink r:id="rId1974" ref="H795"/>
    <hyperlink r:id="rId1975" ref="I795"/>
    <hyperlink r:id="rId1976" ref="H796"/>
    <hyperlink r:id="rId1977" ref="I796"/>
    <hyperlink r:id="rId1978" ref="C797"/>
    <hyperlink r:id="rId1979" ref="G797"/>
    <hyperlink r:id="rId1980" ref="H797"/>
    <hyperlink r:id="rId1981" ref="I797"/>
    <hyperlink r:id="rId1982" ref="C798"/>
    <hyperlink r:id="rId1983" ref="G798"/>
    <hyperlink r:id="rId1984" ref="H798"/>
    <hyperlink r:id="rId1985" ref="I798"/>
    <hyperlink r:id="rId1986" ref="C799"/>
    <hyperlink r:id="rId1987" ref="H799"/>
    <hyperlink r:id="rId1988" ref="I799"/>
    <hyperlink r:id="rId1989" ref="H800"/>
    <hyperlink r:id="rId1990" ref="I800"/>
    <hyperlink r:id="rId1991" ref="H801"/>
    <hyperlink r:id="rId1992" ref="C802"/>
    <hyperlink r:id="rId1993" ref="G802"/>
    <hyperlink r:id="rId1994" ref="H802"/>
    <hyperlink r:id="rId1995" ref="I802"/>
    <hyperlink r:id="rId1996" ref="C803"/>
    <hyperlink r:id="rId1997" ref="H803"/>
    <hyperlink r:id="rId1998" ref="I803"/>
    <hyperlink r:id="rId1999" ref="C804"/>
    <hyperlink r:id="rId2000" ref="G804"/>
    <hyperlink r:id="rId2001" ref="H804"/>
    <hyperlink r:id="rId2002" ref="I804"/>
    <hyperlink r:id="rId2003" ref="C805"/>
    <hyperlink r:id="rId2004" ref="H805"/>
    <hyperlink r:id="rId2005" ref="I805"/>
    <hyperlink r:id="rId2006" ref="H806"/>
    <hyperlink r:id="rId2007" ref="G807"/>
    <hyperlink r:id="rId2008" ref="H807"/>
    <hyperlink r:id="rId2009" ref="I807"/>
    <hyperlink r:id="rId2010" ref="H808"/>
    <hyperlink r:id="rId2011" ref="G809"/>
    <hyperlink r:id="rId2012" ref="H809"/>
    <hyperlink r:id="rId2013" ref="I809"/>
    <hyperlink r:id="rId2014" ref="H810"/>
    <hyperlink r:id="rId2015" ref="I810"/>
    <hyperlink r:id="rId2016" ref="C811"/>
    <hyperlink r:id="rId2017" ref="H811"/>
    <hyperlink r:id="rId2018" ref="I811"/>
    <hyperlink r:id="rId2019" ref="G812"/>
    <hyperlink r:id="rId2020" ref="H812"/>
    <hyperlink r:id="rId2021" ref="I812"/>
    <hyperlink r:id="rId2022" ref="C813"/>
    <hyperlink r:id="rId2023" ref="G813"/>
    <hyperlink r:id="rId2024" ref="H813"/>
    <hyperlink r:id="rId2025" ref="I813"/>
    <hyperlink r:id="rId2026" ref="C814"/>
    <hyperlink r:id="rId2027" ref="G814"/>
    <hyperlink r:id="rId2028" ref="H814"/>
    <hyperlink r:id="rId2029" ref="I814"/>
    <hyperlink r:id="rId2030" ref="H815"/>
    <hyperlink r:id="rId2031" ref="I815"/>
    <hyperlink r:id="rId2032" ref="H816"/>
    <hyperlink r:id="rId2033" ref="I816"/>
    <hyperlink r:id="rId2034" ref="H817"/>
    <hyperlink r:id="rId2035" ref="I817"/>
    <hyperlink r:id="rId2036" ref="H818"/>
    <hyperlink r:id="rId2037" ref="C819"/>
    <hyperlink r:id="rId2038" ref="H819"/>
    <hyperlink r:id="rId2039" ref="I819"/>
    <hyperlink r:id="rId2040" ref="H820"/>
    <hyperlink r:id="rId2041" ref="I820"/>
    <hyperlink r:id="rId2042" ref="H821"/>
    <hyperlink r:id="rId2043" ref="C822"/>
    <hyperlink r:id="rId2044" ref="G822"/>
    <hyperlink r:id="rId2045" ref="H822"/>
    <hyperlink r:id="rId2046" ref="I822"/>
    <hyperlink r:id="rId2047" ref="C823"/>
    <hyperlink r:id="rId2048" ref="H823"/>
    <hyperlink r:id="rId2049" ref="I823"/>
    <hyperlink r:id="rId2050" ref="C824"/>
    <hyperlink r:id="rId2051" ref="G824"/>
    <hyperlink r:id="rId2052" ref="H824"/>
    <hyperlink r:id="rId2053" ref="I824"/>
    <hyperlink r:id="rId2054" ref="C825"/>
    <hyperlink r:id="rId2055" ref="G825"/>
    <hyperlink r:id="rId2056" ref="H825"/>
    <hyperlink r:id="rId2057" ref="I825"/>
    <hyperlink r:id="rId2058" ref="C826"/>
    <hyperlink r:id="rId2059" ref="H826"/>
    <hyperlink r:id="rId2060" ref="I826"/>
    <hyperlink r:id="rId2061" ref="H827"/>
    <hyperlink r:id="rId2062" ref="I827"/>
    <hyperlink r:id="rId2063" ref="C828"/>
    <hyperlink r:id="rId2064" ref="H828"/>
    <hyperlink r:id="rId2065" ref="I828"/>
    <hyperlink r:id="rId2066" ref="C829"/>
    <hyperlink r:id="rId2067" ref="G829"/>
    <hyperlink r:id="rId2068" ref="H829"/>
    <hyperlink r:id="rId2069" ref="I829"/>
    <hyperlink r:id="rId2070" ref="G830"/>
    <hyperlink r:id="rId2071" ref="H830"/>
    <hyperlink r:id="rId2072" ref="I830"/>
    <hyperlink r:id="rId2073" ref="C831"/>
    <hyperlink r:id="rId2074" ref="H831"/>
    <hyperlink r:id="rId2075" ref="I831"/>
    <hyperlink r:id="rId2076" ref="C832"/>
    <hyperlink r:id="rId2077" ref="H832"/>
    <hyperlink r:id="rId2078" ref="I832"/>
    <hyperlink r:id="rId2079" ref="C833"/>
    <hyperlink r:id="rId2080" ref="H833"/>
    <hyperlink r:id="rId2081" ref="I833"/>
    <hyperlink r:id="rId2082" ref="H834"/>
    <hyperlink r:id="rId2083" ref="C835"/>
    <hyperlink r:id="rId2084" ref="G835"/>
    <hyperlink r:id="rId2085" ref="H835"/>
    <hyperlink r:id="rId2086" ref="I835"/>
    <hyperlink r:id="rId2087" ref="H836"/>
    <hyperlink r:id="rId2088" ref="I836"/>
    <hyperlink r:id="rId2089" ref="H837"/>
    <hyperlink r:id="rId2090" ref="I837"/>
    <hyperlink r:id="rId2091" ref="H838"/>
    <hyperlink r:id="rId2092" ref="I838"/>
    <hyperlink r:id="rId2093" ref="C839"/>
    <hyperlink r:id="rId2094" ref="H839"/>
    <hyperlink r:id="rId2095" ref="I839"/>
    <hyperlink r:id="rId2096" ref="C840"/>
    <hyperlink r:id="rId2097" ref="G840"/>
    <hyperlink r:id="rId2098" ref="H840"/>
    <hyperlink r:id="rId2099" ref="I840"/>
    <hyperlink r:id="rId2100" ref="H841"/>
    <hyperlink r:id="rId2101" ref="I841"/>
    <hyperlink r:id="rId2102" ref="H842"/>
    <hyperlink r:id="rId2103" ref="I842"/>
    <hyperlink r:id="rId2104" ref="H843"/>
    <hyperlink r:id="rId2105" ref="H844"/>
    <hyperlink r:id="rId2106" ref="I844"/>
    <hyperlink r:id="rId2107" ref="C845"/>
    <hyperlink r:id="rId2108" ref="H845"/>
    <hyperlink r:id="rId2109" ref="I845"/>
    <hyperlink r:id="rId2110" ref="C846"/>
    <hyperlink r:id="rId2111" ref="H846"/>
    <hyperlink r:id="rId2112" ref="I846"/>
    <hyperlink r:id="rId2113" ref="C847"/>
    <hyperlink r:id="rId2114" ref="H847"/>
    <hyperlink r:id="rId2115" ref="I847"/>
    <hyperlink r:id="rId2116" ref="C848"/>
    <hyperlink r:id="rId2117" ref="H848"/>
    <hyperlink r:id="rId2118" ref="I848"/>
    <hyperlink r:id="rId2119" ref="C849"/>
    <hyperlink r:id="rId2120" ref="G849"/>
    <hyperlink r:id="rId2121" ref="H849"/>
    <hyperlink r:id="rId2122" ref="I849"/>
    <hyperlink r:id="rId2123" ref="C850"/>
    <hyperlink r:id="rId2124" ref="H850"/>
    <hyperlink r:id="rId2125" ref="I850"/>
    <hyperlink r:id="rId2126" ref="C851"/>
    <hyperlink r:id="rId2127" ref="H851"/>
    <hyperlink r:id="rId2128" ref="I851"/>
    <hyperlink r:id="rId2129" ref="C852"/>
    <hyperlink r:id="rId2130" ref="H852"/>
    <hyperlink r:id="rId2131" ref="I852"/>
    <hyperlink r:id="rId2132" ref="C853"/>
    <hyperlink r:id="rId2133" ref="H853"/>
    <hyperlink r:id="rId2134" ref="I853"/>
    <hyperlink r:id="rId2135" ref="H854"/>
    <hyperlink r:id="rId2136" ref="I854"/>
    <hyperlink r:id="rId2137" ref="C855"/>
    <hyperlink r:id="rId2138" ref="H855"/>
    <hyperlink r:id="rId2139" ref="I855"/>
    <hyperlink r:id="rId2140" ref="H856"/>
    <hyperlink r:id="rId2141" ref="I856"/>
    <hyperlink r:id="rId2142" ref="H857"/>
    <hyperlink r:id="rId2143" ref="I857"/>
    <hyperlink r:id="rId2144" ref="H858"/>
    <hyperlink r:id="rId2145" ref="I858"/>
    <hyperlink r:id="rId2146" ref="C859"/>
    <hyperlink r:id="rId2147" ref="G859"/>
    <hyperlink r:id="rId2148" ref="H859"/>
    <hyperlink r:id="rId2149" ref="I859"/>
    <hyperlink r:id="rId2150" ref="C860"/>
    <hyperlink r:id="rId2151" ref="H860"/>
    <hyperlink r:id="rId2152" ref="I860"/>
    <hyperlink r:id="rId2153" ref="C861"/>
    <hyperlink r:id="rId2154" ref="H861"/>
    <hyperlink r:id="rId2155" ref="I861"/>
    <hyperlink r:id="rId2156" ref="H862"/>
    <hyperlink r:id="rId2157" ref="I862"/>
    <hyperlink r:id="rId2158" ref="C863"/>
    <hyperlink r:id="rId2159" ref="H863"/>
    <hyperlink r:id="rId2160" ref="I863"/>
    <hyperlink r:id="rId2161" ref="H864"/>
    <hyperlink r:id="rId2162" ref="C865"/>
    <hyperlink r:id="rId2163" ref="H865"/>
    <hyperlink r:id="rId2164" ref="I865"/>
    <hyperlink r:id="rId2165" ref="H866"/>
    <hyperlink r:id="rId2166" ref="I866"/>
    <hyperlink r:id="rId2167" ref="H867"/>
    <hyperlink r:id="rId2168" ref="H868"/>
    <hyperlink r:id="rId2169" ref="I868"/>
    <hyperlink r:id="rId2170" ref="H869"/>
    <hyperlink r:id="rId2171" ref="I869"/>
    <hyperlink r:id="rId2172" ref="C870"/>
    <hyperlink r:id="rId2173" ref="H870"/>
    <hyperlink r:id="rId2174" ref="I870"/>
    <hyperlink r:id="rId2175" ref="H871"/>
    <hyperlink r:id="rId2176" ref="I871"/>
    <hyperlink r:id="rId2177" ref="C872"/>
    <hyperlink r:id="rId2178" ref="H872"/>
    <hyperlink r:id="rId2179" ref="I872"/>
    <hyperlink r:id="rId2180" ref="H873"/>
    <hyperlink r:id="rId2181" ref="H874"/>
    <hyperlink r:id="rId2182" ref="I874"/>
    <hyperlink r:id="rId2183" ref="H875"/>
    <hyperlink r:id="rId2184" ref="I875"/>
    <hyperlink r:id="rId2185" ref="H876"/>
    <hyperlink r:id="rId2186" ref="I876"/>
    <hyperlink r:id="rId2187" ref="C877"/>
    <hyperlink r:id="rId2188" ref="G877"/>
    <hyperlink r:id="rId2189" ref="H877"/>
    <hyperlink r:id="rId2190" ref="I877"/>
    <hyperlink r:id="rId2191" ref="G878"/>
    <hyperlink r:id="rId2192" ref="H878"/>
    <hyperlink r:id="rId2193" ref="C879"/>
    <hyperlink r:id="rId2194" ref="H879"/>
    <hyperlink r:id="rId2195" ref="I879"/>
    <hyperlink r:id="rId2196" ref="C880"/>
    <hyperlink r:id="rId2197" ref="H880"/>
    <hyperlink r:id="rId2198" ref="I880"/>
    <hyperlink r:id="rId2199" ref="C881"/>
    <hyperlink r:id="rId2200" ref="H881"/>
    <hyperlink r:id="rId2201" ref="I881"/>
    <hyperlink r:id="rId2202" ref="H882"/>
    <hyperlink r:id="rId2203" ref="H884"/>
    <hyperlink r:id="rId2204" ref="I884"/>
    <hyperlink r:id="rId2205" ref="H885"/>
    <hyperlink r:id="rId2206" ref="I885"/>
    <hyperlink r:id="rId2207" ref="C886"/>
    <hyperlink r:id="rId2208" ref="H886"/>
    <hyperlink r:id="rId2209" ref="I886"/>
    <hyperlink r:id="rId2210" ref="C887"/>
    <hyperlink r:id="rId2211" ref="H887"/>
    <hyperlink r:id="rId2212" ref="I887"/>
    <hyperlink r:id="rId2213" ref="H888"/>
    <hyperlink r:id="rId2214" ref="I888"/>
    <hyperlink r:id="rId2215" ref="C889"/>
    <hyperlink r:id="rId2216" ref="H889"/>
    <hyperlink r:id="rId2217" ref="I889"/>
    <hyperlink r:id="rId2218" ref="C890"/>
    <hyperlink r:id="rId2219" ref="H890"/>
    <hyperlink r:id="rId2220" ref="I890"/>
    <hyperlink r:id="rId2221" ref="C891"/>
    <hyperlink r:id="rId2222" ref="H891"/>
    <hyperlink r:id="rId2223" ref="I891"/>
    <hyperlink r:id="rId2224" ref="H892"/>
    <hyperlink r:id="rId2225" ref="I892"/>
    <hyperlink r:id="rId2226" ref="H893"/>
    <hyperlink r:id="rId2227" ref="I893"/>
    <hyperlink r:id="rId2228" ref="H895"/>
    <hyperlink r:id="rId2229" ref="H896"/>
    <hyperlink r:id="rId2230" ref="H897"/>
    <hyperlink r:id="rId2231" ref="C898"/>
    <hyperlink r:id="rId2232" ref="H898"/>
    <hyperlink r:id="rId2233" ref="I898"/>
    <hyperlink r:id="rId2234" ref="G899"/>
    <hyperlink r:id="rId2235" ref="H899"/>
    <hyperlink r:id="rId2236" ref="I899"/>
    <hyperlink r:id="rId2237" ref="H900"/>
    <hyperlink r:id="rId2238" ref="I900"/>
    <hyperlink r:id="rId2239" ref="H901"/>
    <hyperlink r:id="rId2240" ref="G902"/>
    <hyperlink r:id="rId2241" ref="H902"/>
    <hyperlink r:id="rId2242" ref="I902"/>
    <hyperlink r:id="rId2243" ref="C903"/>
    <hyperlink r:id="rId2244" ref="H903"/>
    <hyperlink r:id="rId2245" ref="I903"/>
    <hyperlink r:id="rId2246" ref="C904"/>
    <hyperlink r:id="rId2247" ref="H904"/>
    <hyperlink r:id="rId2248" ref="I904"/>
    <hyperlink r:id="rId2249" ref="C905"/>
    <hyperlink r:id="rId2250" ref="H905"/>
    <hyperlink r:id="rId2251" ref="I905"/>
    <hyperlink r:id="rId2252" ref="C906"/>
    <hyperlink r:id="rId2253" ref="H906"/>
    <hyperlink r:id="rId2254" ref="I906"/>
    <hyperlink r:id="rId2255" ref="C907"/>
    <hyperlink r:id="rId2256" ref="H907"/>
    <hyperlink r:id="rId2257" ref="I907"/>
    <hyperlink r:id="rId2258" ref="C908"/>
    <hyperlink r:id="rId2259" ref="H908"/>
    <hyperlink r:id="rId2260" ref="G909"/>
    <hyperlink r:id="rId2261" ref="H909"/>
    <hyperlink r:id="rId2262" ref="G910"/>
    <hyperlink r:id="rId2263" ref="H910"/>
    <hyperlink r:id="rId2264" ref="I910"/>
    <hyperlink r:id="rId2265" ref="H911"/>
    <hyperlink r:id="rId2266" ref="I911"/>
    <hyperlink r:id="rId2267" ref="G912"/>
    <hyperlink r:id="rId2268" ref="H912"/>
    <hyperlink r:id="rId2269" ref="I912"/>
    <hyperlink r:id="rId2270" location="/" ref="H913"/>
    <hyperlink r:id="rId2271" ref="I913"/>
    <hyperlink r:id="rId2272" ref="H914"/>
    <hyperlink r:id="rId2273" ref="I914"/>
    <hyperlink r:id="rId2274" ref="H915"/>
    <hyperlink r:id="rId2275" ref="I915"/>
    <hyperlink r:id="rId2276" ref="C916"/>
    <hyperlink r:id="rId2277" ref="H916"/>
    <hyperlink r:id="rId2278" ref="I916"/>
    <hyperlink r:id="rId2279" ref="C917"/>
    <hyperlink r:id="rId2280" ref="H917"/>
    <hyperlink r:id="rId2281" ref="I917"/>
    <hyperlink r:id="rId2282" ref="H918"/>
    <hyperlink r:id="rId2283" ref="I918"/>
    <hyperlink r:id="rId2284" ref="C919"/>
    <hyperlink r:id="rId2285" ref="H919"/>
    <hyperlink r:id="rId2286" ref="I919"/>
    <hyperlink r:id="rId2287" ref="H920"/>
    <hyperlink r:id="rId2288" ref="C921"/>
    <hyperlink r:id="rId2289" ref="G921"/>
    <hyperlink r:id="rId2290" ref="H921"/>
    <hyperlink r:id="rId2291" ref="I921"/>
    <hyperlink r:id="rId2292" ref="G922"/>
    <hyperlink r:id="rId2293" ref="H922"/>
    <hyperlink r:id="rId2294" ref="C923"/>
    <hyperlink r:id="rId2295" ref="H923"/>
    <hyperlink r:id="rId2296" ref="I923"/>
    <hyperlink r:id="rId2297" ref="C924"/>
    <hyperlink r:id="rId2298" ref="G924"/>
    <hyperlink r:id="rId2299" ref="H924"/>
    <hyperlink r:id="rId2300" ref="I924"/>
    <hyperlink r:id="rId2301" ref="H925"/>
    <hyperlink r:id="rId2302" ref="I925"/>
    <hyperlink r:id="rId2303" ref="H926"/>
    <hyperlink r:id="rId2304" ref="I926"/>
    <hyperlink r:id="rId2305" ref="G927"/>
    <hyperlink r:id="rId2306" ref="H927"/>
    <hyperlink r:id="rId2307" ref="H928"/>
    <hyperlink r:id="rId2308" ref="I928"/>
    <hyperlink r:id="rId2309" ref="G929"/>
    <hyperlink r:id="rId2310" ref="H929"/>
    <hyperlink r:id="rId2311" ref="I929"/>
    <hyperlink r:id="rId2312" ref="C930"/>
    <hyperlink r:id="rId2313" ref="G930"/>
    <hyperlink r:id="rId2314" ref="H930"/>
    <hyperlink r:id="rId2315" ref="I930"/>
    <hyperlink r:id="rId2316" ref="H931"/>
    <hyperlink r:id="rId2317" ref="G932"/>
    <hyperlink r:id="rId2318" ref="H932"/>
    <hyperlink r:id="rId2319" ref="G933"/>
    <hyperlink r:id="rId2320" ref="H933"/>
    <hyperlink r:id="rId2321" ref="I933"/>
    <hyperlink r:id="rId2322" ref="C934"/>
    <hyperlink r:id="rId2323" ref="H934"/>
    <hyperlink r:id="rId2324" ref="I934"/>
    <hyperlink r:id="rId2325" ref="H935"/>
    <hyperlink r:id="rId2326" ref="H936"/>
    <hyperlink r:id="rId2327" ref="H937"/>
    <hyperlink r:id="rId2328" ref="I937"/>
    <hyperlink r:id="rId2329" ref="C938"/>
    <hyperlink r:id="rId2330" ref="H938"/>
    <hyperlink r:id="rId2331" ref="I938"/>
    <hyperlink r:id="rId2332" ref="H939"/>
    <hyperlink r:id="rId2333" ref="I939"/>
    <hyperlink r:id="rId2334" ref="H940"/>
    <hyperlink r:id="rId2335" ref="H941"/>
    <hyperlink r:id="rId2336" ref="H942"/>
    <hyperlink r:id="rId2337" ref="I942"/>
    <hyperlink r:id="rId2338" ref="C943"/>
    <hyperlink r:id="rId2339" ref="H943"/>
    <hyperlink r:id="rId2340" ref="I943"/>
    <hyperlink r:id="rId2341" ref="H944"/>
    <hyperlink r:id="rId2342" ref="I944"/>
    <hyperlink r:id="rId2343" ref="H945"/>
    <hyperlink r:id="rId2344" ref="I945"/>
    <hyperlink r:id="rId2345" ref="G946"/>
    <hyperlink r:id="rId2346" ref="H946"/>
    <hyperlink r:id="rId2347" ref="I946"/>
    <hyperlink r:id="rId2348" ref="H947"/>
    <hyperlink r:id="rId2349" ref="I947"/>
    <hyperlink r:id="rId2350" ref="C948"/>
    <hyperlink r:id="rId2351" ref="H948"/>
    <hyperlink r:id="rId2352" ref="I948"/>
    <hyperlink r:id="rId2353" ref="G949"/>
    <hyperlink r:id="rId2354" ref="H949"/>
    <hyperlink r:id="rId2355" ref="I949"/>
    <hyperlink r:id="rId2356" ref="C950"/>
    <hyperlink r:id="rId2357" ref="H950"/>
    <hyperlink r:id="rId2358" ref="I950"/>
    <hyperlink r:id="rId2359" ref="C951"/>
    <hyperlink r:id="rId2360" ref="H951"/>
    <hyperlink r:id="rId2361" ref="I951"/>
    <hyperlink r:id="rId2362" ref="H952"/>
    <hyperlink r:id="rId2363" ref="I952"/>
    <hyperlink r:id="rId2364" ref="H953"/>
    <hyperlink r:id="rId2365" ref="I953"/>
    <hyperlink r:id="rId2366" ref="H954"/>
    <hyperlink r:id="rId2367" ref="I954"/>
    <hyperlink r:id="rId2368" ref="H955"/>
    <hyperlink r:id="rId2369" ref="C956"/>
    <hyperlink r:id="rId2370" ref="H956"/>
    <hyperlink r:id="rId2371" ref="I956"/>
    <hyperlink r:id="rId2372" ref="H957"/>
    <hyperlink r:id="rId2373" ref="I957"/>
    <hyperlink r:id="rId2374" ref="C958"/>
    <hyperlink r:id="rId2375" ref="G958"/>
    <hyperlink r:id="rId2376" ref="H958"/>
    <hyperlink r:id="rId2377" ref="I958"/>
    <hyperlink r:id="rId2378" ref="C959"/>
    <hyperlink r:id="rId2379" ref="H959"/>
    <hyperlink r:id="rId2380" ref="I959"/>
    <hyperlink r:id="rId2381" ref="C960"/>
    <hyperlink r:id="rId2382" ref="H960"/>
    <hyperlink r:id="rId2383" ref="I960"/>
    <hyperlink r:id="rId2384" ref="C961"/>
    <hyperlink r:id="rId2385" ref="H961"/>
    <hyperlink r:id="rId2386" ref="I961"/>
    <hyperlink r:id="rId2387" ref="H962"/>
    <hyperlink r:id="rId2388" ref="I962"/>
    <hyperlink r:id="rId2389" ref="H963"/>
    <hyperlink r:id="rId2390" ref="I963"/>
    <hyperlink r:id="rId2391" ref="H964"/>
    <hyperlink r:id="rId2392" ref="I964"/>
    <hyperlink r:id="rId2393" ref="H965"/>
    <hyperlink r:id="rId2394" ref="I965"/>
    <hyperlink r:id="rId2395" ref="C966"/>
    <hyperlink r:id="rId2396" ref="H966"/>
    <hyperlink r:id="rId2397" ref="I966"/>
    <hyperlink r:id="rId2398" ref="G967"/>
    <hyperlink r:id="rId2399" ref="H967"/>
    <hyperlink r:id="rId2400" ref="I967"/>
    <hyperlink r:id="rId2401" ref="H968"/>
    <hyperlink r:id="rId2402" ref="H969"/>
    <hyperlink r:id="rId2403" ref="H970"/>
    <hyperlink r:id="rId2404" ref="C971"/>
    <hyperlink r:id="rId2405" ref="H971"/>
    <hyperlink r:id="rId2406" ref="I971"/>
    <hyperlink r:id="rId2407" ref="H972"/>
    <hyperlink r:id="rId2408" ref="I972"/>
    <hyperlink r:id="rId2409" ref="H973"/>
    <hyperlink r:id="rId2410" ref="I973"/>
    <hyperlink r:id="rId2411" ref="C974"/>
    <hyperlink r:id="rId2412" ref="H974"/>
    <hyperlink r:id="rId2413" ref="I974"/>
    <hyperlink r:id="rId2414" ref="H975"/>
    <hyperlink r:id="rId2415" ref="I975"/>
    <hyperlink r:id="rId2416" ref="C976"/>
    <hyperlink r:id="rId2417" ref="G976"/>
    <hyperlink r:id="rId2418" ref="H976"/>
    <hyperlink r:id="rId2419" ref="I976"/>
    <hyperlink r:id="rId2420" ref="C977"/>
    <hyperlink r:id="rId2421" ref="H977"/>
    <hyperlink r:id="rId2422" ref="I977"/>
    <hyperlink r:id="rId2423" ref="H978"/>
    <hyperlink r:id="rId2424" ref="I978"/>
    <hyperlink r:id="rId2425" ref="G979"/>
    <hyperlink r:id="rId2426" ref="H979"/>
    <hyperlink r:id="rId2427" ref="I979"/>
    <hyperlink r:id="rId2428" ref="C980"/>
    <hyperlink r:id="rId2429" ref="H980"/>
    <hyperlink r:id="rId2430" ref="I980"/>
    <hyperlink r:id="rId2431" ref="C981"/>
    <hyperlink r:id="rId2432" ref="H981"/>
    <hyperlink r:id="rId2433" ref="I981"/>
    <hyperlink r:id="rId2434" ref="H982"/>
    <hyperlink r:id="rId2435" ref="G983"/>
    <hyperlink r:id="rId2436" ref="H983"/>
    <hyperlink r:id="rId2437" ref="I983"/>
    <hyperlink r:id="rId2438" ref="C984"/>
    <hyperlink r:id="rId2439" ref="H984"/>
    <hyperlink r:id="rId2440" ref="I984"/>
    <hyperlink r:id="rId2441" ref="C985"/>
    <hyperlink r:id="rId2442" ref="H985"/>
    <hyperlink r:id="rId2443" ref="I985"/>
    <hyperlink r:id="rId2444" ref="C986"/>
    <hyperlink r:id="rId2445" ref="G986"/>
    <hyperlink r:id="rId2446" ref="H986"/>
    <hyperlink r:id="rId2447" ref="I986"/>
    <hyperlink r:id="rId2448" ref="C987"/>
    <hyperlink r:id="rId2449" ref="H987"/>
    <hyperlink r:id="rId2450" ref="I987"/>
    <hyperlink r:id="rId2451" ref="H988"/>
    <hyperlink r:id="rId2452" ref="H989"/>
    <hyperlink r:id="rId2453" ref="I989"/>
    <hyperlink r:id="rId2454" ref="H990"/>
    <hyperlink r:id="rId2455" ref="I990"/>
    <hyperlink r:id="rId2456" ref="H991"/>
    <hyperlink r:id="rId2457" ref="I991"/>
    <hyperlink r:id="rId2458" ref="H993"/>
    <hyperlink r:id="rId2459" ref="H994"/>
    <hyperlink r:id="rId2460" ref="H995"/>
    <hyperlink r:id="rId2461" ref="I995"/>
    <hyperlink r:id="rId2462" ref="H996"/>
    <hyperlink r:id="rId2463" ref="I996"/>
    <hyperlink r:id="rId2464" ref="H998"/>
    <hyperlink r:id="rId2465" ref="I998"/>
    <hyperlink r:id="rId2466" ref="C999"/>
    <hyperlink r:id="rId2467" ref="H999"/>
    <hyperlink r:id="rId2468" ref="I999"/>
    <hyperlink r:id="rId2469" ref="C1000"/>
    <hyperlink r:id="rId2470" ref="H1000"/>
    <hyperlink r:id="rId2471" ref="I1000"/>
    <hyperlink r:id="rId2472" ref="H1001"/>
    <hyperlink r:id="rId2473" ref="I1001"/>
    <hyperlink r:id="rId2474" ref="H1002"/>
    <hyperlink r:id="rId2475" ref="I1002"/>
    <hyperlink r:id="rId2476" ref="G1003"/>
    <hyperlink r:id="rId2477" ref="H1003"/>
    <hyperlink r:id="rId2478" ref="I1003"/>
    <hyperlink r:id="rId2479" ref="G1004"/>
    <hyperlink r:id="rId2480" ref="H1004"/>
    <hyperlink r:id="rId2481" ref="H1005"/>
    <hyperlink r:id="rId2482" ref="I1005"/>
    <hyperlink r:id="rId2483" ref="I1006"/>
    <hyperlink r:id="rId2484" ref="C1007"/>
    <hyperlink r:id="rId2485" ref="G1007"/>
    <hyperlink r:id="rId2486" ref="H1007"/>
    <hyperlink r:id="rId2487" ref="I1007"/>
    <hyperlink r:id="rId2488" ref="H1008"/>
    <hyperlink r:id="rId2489" ref="H1009"/>
    <hyperlink r:id="rId2490" ref="H1010"/>
    <hyperlink r:id="rId2491" ref="C1011"/>
    <hyperlink r:id="rId2492" ref="H1011"/>
    <hyperlink r:id="rId2493" ref="I1011"/>
    <hyperlink r:id="rId2494" ref="G1012"/>
    <hyperlink r:id="rId2495" ref="H1012"/>
    <hyperlink r:id="rId2496" ref="I1012"/>
    <hyperlink r:id="rId2497" ref="C1013"/>
    <hyperlink r:id="rId2498" ref="G1013"/>
    <hyperlink r:id="rId2499" ref="H1013"/>
    <hyperlink r:id="rId2500" ref="I1013"/>
    <hyperlink r:id="rId2501" ref="G1014"/>
    <hyperlink r:id="rId2502" ref="H1014"/>
    <hyperlink r:id="rId2503" ref="I1014"/>
    <hyperlink r:id="rId2504" ref="C1015"/>
    <hyperlink r:id="rId2505" ref="H1015"/>
    <hyperlink r:id="rId2506" ref="I1015"/>
    <hyperlink r:id="rId2507" ref="H1016"/>
    <hyperlink r:id="rId2508" ref="I1016"/>
    <hyperlink r:id="rId2509" ref="H1017"/>
    <hyperlink r:id="rId2510" ref="I1017"/>
    <hyperlink r:id="rId2511" ref="C1018"/>
    <hyperlink r:id="rId2512" ref="H1018"/>
    <hyperlink r:id="rId2513" ref="I1018"/>
    <hyperlink r:id="rId2514" ref="H1019"/>
    <hyperlink r:id="rId2515" ref="C1020"/>
    <hyperlink r:id="rId2516" ref="H1020"/>
    <hyperlink r:id="rId2517" ref="I1020"/>
    <hyperlink r:id="rId2518" ref="H1021"/>
    <hyperlink r:id="rId2519" ref="I1021"/>
    <hyperlink r:id="rId2520" ref="C1022"/>
    <hyperlink r:id="rId2521" ref="H1022"/>
    <hyperlink r:id="rId2522" ref="I1022"/>
    <hyperlink r:id="rId2523" ref="C1023"/>
    <hyperlink r:id="rId2524" ref="H1023"/>
    <hyperlink r:id="rId2525" ref="I1023"/>
  </hyperlinks>
  <drawing r:id="rId252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O3" s="129" t="str">
        <f>hyperlink("https://www.outfest.org//", "Outfest Fusion LGBTQ People of Color Film Festival")</f>
        <v>Outfest Fusion LGBTQ People of Color Film Festival</v>
      </c>
      <c r="BT3" s="43" t="s">
        <v>50</v>
      </c>
      <c r="CD3" s="129" t="str">
        <f>hyperlink("http://www.qflixphilly.com/", "qFLIX Philadelphia")</f>
        <v>qFLIX Philadelphia</v>
      </c>
      <c r="CL3" s="43" t="s">
        <v>50</v>
      </c>
      <c r="CO3" s="129" t="str">
        <f>hyperlink("http://www.bos...filmfest.net/", "Wicked Queer: The Boston LGBT Film Festival")</f>
        <v>Wicked Queer: The Boston LGBT Film Festival</v>
      </c>
      <c r="CZ3" s="43" t="s">
        <v>50</v>
      </c>
      <c r="DA3" s="45"/>
      <c r="DB3" s="45"/>
      <c r="DC3" s="230" t="str">
        <f>hyperlink("https://mifofilm.com/", "OUTshine LGBTQ+ Film Festival - Miami")</f>
        <v>OUTshine LGBTQ+ Film Festival - Miami</v>
      </c>
      <c r="DN3" s="43" t="s">
        <v>50</v>
      </c>
      <c r="DO3" s="45"/>
      <c r="DP3" s="45"/>
      <c r="DQ3" s="230" t="str">
        <f>hyperlink("http://www.filmoutsandiego.com", "FilmOut San Diego LGBTQ+ Film Festival")</f>
        <v>FilmOut San Diego LGBTQ+ Film Festival</v>
      </c>
      <c r="DU3" s="43" t="s">
        <v>50</v>
      </c>
      <c r="DV3" s="45"/>
      <c r="DW3" s="45"/>
      <c r="DX3" s="45"/>
      <c r="DY3" s="45"/>
      <c r="DZ3" s="230" t="str">
        <f>hyperlink("https://charlottepride.org/reelout", "Reel Out Charlotte Film Festival")</f>
        <v>Reel Out Charlotte Film Festival</v>
      </c>
      <c r="EI3" s="43" t="s">
        <v>50</v>
      </c>
      <c r="EL3" s="129" t="str">
        <f>hyperlink("https://www.cinemasysters.com/", "Cinema Systers Film Festival")</f>
        <v>Cinema Systers Film Festival</v>
      </c>
      <c r="EP3" s="43" t="s">
        <v>50</v>
      </c>
      <c r="ET3" s="129" t="str">
        <f>hyperlink("https://outfilmct.org/", "Connecticut LGBT Film Festival")</f>
        <v>Connecticut LGBT Film Festival</v>
      </c>
      <c r="FC3" s="43" t="s">
        <v>50</v>
      </c>
      <c r="FN3" s="129" t="str">
        <f>hyperlink("https://www.frameline.org/", "San Francisco International LGBTQ+ Film Festival")</f>
        <v>San Francisco International LGBTQ+ Film Festival</v>
      </c>
      <c r="FY3" s="43" t="s">
        <v>50</v>
      </c>
      <c r="GJ3" s="129" t="str">
        <f>hyperlink("https://www.utahfilmcenter.org/", "Damn These Heels LGBTQ Film Festival")</f>
        <v>Damn These Heels LGBTQ Film Festival</v>
      </c>
      <c r="GM3" s="43" t="s">
        <v>50</v>
      </c>
      <c r="GP3" s="129" t="str">
        <f>hyperlink("https://www.outfest.org//", "Outfest Los Angeles LGBTQ Film Festival")</f>
        <v>Outfest Los Angeles LGBTQ Film Festival</v>
      </c>
      <c r="HA3" s="43" t="s">
        <v>50</v>
      </c>
      <c r="HK3" s="129" t="str">
        <f>hyperlink("https://www.agliff.org/", "All Genders, Lifestyles, and Identities Film Festival ")</f>
        <v>All Genders, Lifestyles, and Identities Film Festival </v>
      </c>
      <c r="HO3" s="43" t="s">
        <v>50</v>
      </c>
      <c r="HR3" s="129" t="str">
        <f>hyperlink("https://www.facebook.com/hrfilmfest", "Honolulu Rainbow Film Festival")</f>
        <v>Honolulu Rainbow Film Festival</v>
      </c>
      <c r="HV3" s="43" t="s">
        <v>50</v>
      </c>
      <c r="IA3" s="45"/>
      <c r="IB3" s="45"/>
      <c r="IO3" s="45"/>
      <c r="IP3" s="45"/>
      <c r="IQ3" s="45"/>
      <c r="IR3" s="45"/>
      <c r="IS3" s="45"/>
      <c r="IT3" s="230" t="str">
        <f>hyperlink("http://qfilmslongbeach.com/", "Long Beach QFilm Festival")</f>
        <v>Long Beach QFilm Festival</v>
      </c>
      <c r="IX3" s="43" t="s">
        <v>50</v>
      </c>
      <c r="IY3" s="45"/>
      <c r="IZ3" s="45"/>
      <c r="JA3" s="230" t="str">
        <f>hyperlink("https://palmspringsculturalcenter.org/programs/the-palm-springs-cinema-diverse-lgbtq-film-festival/", "Cinema Diverse: The Palm Springs LGBTQ Film Festival")</f>
        <v>Cinema Diverse: The Palm Springs LGBTQ Film Festival</v>
      </c>
      <c r="JE3" s="43" t="s">
        <v>50</v>
      </c>
      <c r="JF3" s="45"/>
      <c r="JH3" s="129" t="str">
        <f>hyperlink("http://reelingfilmfestival.org/2018/", "Reeling: The Chicago LGBTQ+ International Film Festival")</f>
        <v>Reeling: The Chicago LGBTQ+ International Film Festival</v>
      </c>
      <c r="JS3" s="43" t="s">
        <v>50</v>
      </c>
      <c r="JV3" s="129" t="str">
        <f>hyperlink("http://www.imageout.org/index.php", "ImageOut: The Rochester LGBT Film and Video Festival")</f>
        <v>ImageOut: The Rochester LGBT Film and Video Festival</v>
      </c>
      <c r="KG3" s="43" t="s">
        <v>50</v>
      </c>
      <c r="KI3" s="129" t="str">
        <f>hyperlink("https://newfest.org/", "NewFest: New York's LGBTQ Film Festival")</f>
        <v>NewFest: New York's LGBTQ Film Festival</v>
      </c>
      <c r="KP3" s="43" t="s">
        <v>50</v>
      </c>
      <c r="KT3" s="45"/>
      <c r="KU3" s="45"/>
      <c r="KV3" s="45"/>
      <c r="KW3" s="45"/>
      <c r="LF3" s="129" t="str">
        <f>hyperlink("http://sftff.org/", "San Francisco Transgender Film Festival")</f>
        <v>San Francisco Transgender Film Festival</v>
      </c>
      <c r="LJ3" s="43" t="s">
        <v>50</v>
      </c>
      <c r="LQ3" s="45"/>
      <c r="LR3" s="45"/>
      <c r="LS3" s="45"/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230" t="str">
        <f>hyperlink("http://www.clexacon.com", "ClexaCon Film Festival")</f>
        <v>ClexaCon Film Festival</v>
      </c>
      <c r="DG4" s="43" t="s">
        <v>50</v>
      </c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129" t="str">
        <f>hyperlink("https://threedollarbillcinema.org/translations/", "Translations: Seattle Transgender Film Festival")</f>
        <v>Translations: Seattle Transgender Film Festival</v>
      </c>
      <c r="EB4" s="43" t="s">
        <v>50</v>
      </c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R4" s="129" t="str">
        <f>hyperlink("http://www.carolinatheatre.org/films/festivals/ncglff", "North Carolina Gay &amp; Lesbian Film Festival")</f>
        <v>North Carolina Gay &amp; Lesbian Film Festival</v>
      </c>
      <c r="HV4" s="43" t="s">
        <v>50</v>
      </c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E4" s="45"/>
      <c r="JV4" s="129" t="str">
        <f>hyperlink("https://mifofilm.com/", "OUTshine LGBTQ+ Film Festival - Fort Lauderdale")</f>
        <v>OUTshine LGBTQ+ Film Festival - Fort Lauderdale</v>
      </c>
      <c r="KG4" s="43" t="s">
        <v>50</v>
      </c>
      <c r="KZ4" s="45"/>
      <c r="LC4" s="45"/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O5" s="230" t="str">
        <f>hyperlink("https://reelq.org/festival/", "Pittsburgh LGBT Film Festival")</f>
        <v>Pittsburgh LGBT Film Festival</v>
      </c>
      <c r="JY5" s="43" t="s">
        <v>50</v>
      </c>
      <c r="KA5" s="45"/>
      <c r="KC5" s="129" t="str">
        <f>hyperlink("http://thedccenter.org/reelaffirmations", "Reel Affirmations: Washington DC's International LGBTQ Film Festival")</f>
        <v>Reel Affirmations: Washington DC's International LGBTQ Film Festival</v>
      </c>
      <c r="KG5" s="43" t="s">
        <v>50</v>
      </c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230" t="str">
        <f>hyperlink("https://www.wayoutwestfilmfest.com/", "Way OUT West Film Fest")</f>
        <v>Way OUT West Film Fest</v>
      </c>
      <c r="KG6" s="43" t="s">
        <v>50</v>
      </c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39"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ET3:FB3"/>
    <mergeCell ref="FN3:FX3"/>
    <mergeCell ref="GJ3:GL3"/>
    <mergeCell ref="GP3:GZ3"/>
    <mergeCell ref="HK3:HN3"/>
    <mergeCell ref="HR3:HU3"/>
    <mergeCell ref="IT3:IW3"/>
    <mergeCell ref="HR4:HU4"/>
    <mergeCell ref="DZ3:EH3"/>
    <mergeCell ref="DX4:EA4"/>
    <mergeCell ref="BO3:BS3"/>
    <mergeCell ref="CD3:CK3"/>
    <mergeCell ref="CO3:CY3"/>
    <mergeCell ref="DC3:DM3"/>
    <mergeCell ref="DQ3:DT3"/>
    <mergeCell ref="EL3:EO3"/>
    <mergeCell ref="DC4:DF4"/>
    <mergeCell ref="KC5:KF5"/>
    <mergeCell ref="JW6:KF6"/>
    <mergeCell ref="JA3:JD3"/>
    <mergeCell ref="JH3:JR3"/>
    <mergeCell ref="JV3:KF3"/>
    <mergeCell ref="KI3:KO3"/>
    <mergeCell ref="LF3:LI3"/>
    <mergeCell ref="JV4:KF4"/>
    <mergeCell ref="JO5:JX5"/>
  </mergeCell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C3" s="41" t="str">
        <f>hyperlink("http://www.jccslo.com/slojff.html", "San Luis Obispo Jewish Film Festival")</f>
        <v>San Luis Obispo Jewish Film Festival</v>
      </c>
      <c r="G3" s="43" t="s">
        <v>50</v>
      </c>
      <c r="P3" s="41" t="str">
        <f>hyperlink("https://www.filmlinc.org/festivals/new-york-jewish-film-festival/", "New York Jewish Film Festival")</f>
        <v>New York Jewish Film Festival</v>
      </c>
      <c r="AD3" s="43" t="s">
        <v>50</v>
      </c>
      <c r="AE3" s="45"/>
      <c r="AF3" s="45"/>
      <c r="AG3" s="45"/>
      <c r="AH3" s="45"/>
      <c r="AI3" s="45"/>
      <c r="AJ3" s="45"/>
      <c r="AK3" s="45"/>
      <c r="AL3" s="45"/>
      <c r="AM3" s="45"/>
      <c r="AN3" s="80" t="str">
        <f>hyperlink("https://jewishlouisville.org/the-j/j-arts-ideas/film-festival/", "Louisville Jewish Film Festival")</f>
        <v>Louisville Jewish Film Festival</v>
      </c>
      <c r="BM3" s="43" t="s">
        <v>50</v>
      </c>
      <c r="BN3" s="41" t="str">
        <f>hyperlink("https://hjff2019.eventive.org/welcome", "Hartford Jewish Film Festival")</f>
        <v>Hartford Jewish Film Festival</v>
      </c>
      <c r="BX3" s="43" t="s">
        <v>50</v>
      </c>
      <c r="CK3" s="41" t="str">
        <f>hyperlink("https://jccrockland.org/film-festival/", "Rockland Jewish Film Festival")</f>
        <v>Rockland Jewish Film Festival</v>
      </c>
      <c r="DR3" s="43" t="s">
        <v>50</v>
      </c>
      <c r="DS3" s="45"/>
      <c r="DT3" s="45"/>
      <c r="DU3" s="45"/>
      <c r="DV3" s="45"/>
      <c r="DW3" s="45"/>
      <c r="DX3" s="80" t="str">
        <f>hyperlink("https://www.wjff.org/", "Washington Jewish Film Festival")</f>
        <v>Washington Jewish Film Festival</v>
      </c>
      <c r="EP3" s="43" t="s">
        <v>50</v>
      </c>
      <c r="FE3" s="41" t="str">
        <f>hyperlink("https://jewishdayton.org/program/dayton-jewish-film-festival/", "Dayton Jewish Film Festival")</f>
        <v>Dayton Jewish Film Festival</v>
      </c>
      <c r="GA3" s="43" t="s">
        <v>50</v>
      </c>
      <c r="GP3" s="41" t="str">
        <f>hyperlink("https://jfi.org/film-festival", "San Francisco Jewish Film Festival")</f>
        <v>San Francisco Jewish Film Festival</v>
      </c>
      <c r="HH3" s="43" t="s">
        <v>50</v>
      </c>
      <c r="IA3" s="45"/>
      <c r="IB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N3" s="45"/>
      <c r="KA3" s="41" t="str">
        <f>hyperlink("http://nashvillejff.net/", "Nashville Jewish Film Festival")</f>
        <v>Nashville Jewish Film Festival</v>
      </c>
      <c r="KZ3" s="43" t="s">
        <v>50</v>
      </c>
      <c r="LA3" s="41" t="str">
        <f>hyperlink("https://pjff.org/", "Philadelphia Jewish Film Festival")</f>
        <v>Philadelphia Jewish Film Festival</v>
      </c>
      <c r="LP3" s="43" t="s">
        <v>50</v>
      </c>
      <c r="LQ3" s="45"/>
      <c r="LR3" s="45"/>
      <c r="LS3" s="45"/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80" t="str">
        <f>hyperlink("https://miamijewishfilmfestival.org/", "Miami Jewish Film Festival ")</f>
        <v>Miami Jewish Film Festival </v>
      </c>
      <c r="V4" s="43" t="s">
        <v>50</v>
      </c>
      <c r="W4" s="45"/>
      <c r="X4" s="45"/>
      <c r="Y4" s="45"/>
      <c r="Z4" s="45"/>
      <c r="AA4" s="45"/>
      <c r="AB4" s="45"/>
      <c r="AC4" s="45"/>
      <c r="AD4" s="45"/>
      <c r="AE4" s="45"/>
      <c r="AF4" s="45"/>
      <c r="AG4" s="80" t="str">
        <f>hyperlink("https://charlottejewishfilm.com/", "Charlotte Jewish Film Festival")</f>
        <v>Charlotte Jewish Film Festival</v>
      </c>
      <c r="BD4" s="43" t="s">
        <v>50</v>
      </c>
      <c r="BE4" s="45"/>
      <c r="BF4" s="45"/>
      <c r="BG4" s="45"/>
      <c r="BH4" s="80" t="str">
        <f>hyperlink("https://jccfilmfest.jccchicago.org/", "Chicago Jewish Film Festival")</f>
        <v>Chicago Jewish Film Festival</v>
      </c>
      <c r="BX4" s="43" t="s">
        <v>50</v>
      </c>
      <c r="BY4" s="45"/>
      <c r="BZ4" s="45"/>
      <c r="CA4" s="45"/>
      <c r="CB4" s="45"/>
      <c r="CC4" s="80" t="str">
        <f>hyperlink("http://www.seattlejewishfilmfestival.org/", "Seattle Jewish Film Festival")</f>
        <v>Seattle Jewish Film Festival</v>
      </c>
      <c r="CS4" s="43" t="s">
        <v>50</v>
      </c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80" t="str">
        <f>hyperlink("https://filmpittsburgh.org/pages/jfilm", "JFilm Festival")</f>
        <v>JFilm Festival</v>
      </c>
      <c r="DU4" s="43" t="s">
        <v>50</v>
      </c>
      <c r="DV4" s="45"/>
      <c r="DW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80" t="str">
        <f>hyperlink("https://nwfilm.org/festival-family/pjff/", "Portland Jewish Film Festival")</f>
        <v>Portland Jewish Film Festival</v>
      </c>
      <c r="GA4" s="43" t="s">
        <v>50</v>
      </c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E4" s="45"/>
      <c r="JY4" s="45"/>
      <c r="KE4" s="41" t="str">
        <f>hyperlink("http://tcjfilmfest.org/", "Twin Cities Jewish Film Festival")</f>
        <v>Twin Cities Jewish Film Festival</v>
      </c>
      <c r="KU4" s="43" t="s">
        <v>50</v>
      </c>
      <c r="KY4" s="41" t="str">
        <f>hyperlink("https://www.jccnv.org/film-festival/northern-virginia-jewish-film-festival/", "Northern Virginia Jewish Film Festival")</f>
        <v>Northern Virginia Jewish Film Festival</v>
      </c>
      <c r="LJ4" s="43" t="s">
        <v>50</v>
      </c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80" t="str">
        <f>hyperlink("https://tucsonjcc.org/arts/tijff/", "Tucson International Jewish Film Festival")</f>
        <v>Tucson International Jewish Film Festival</v>
      </c>
      <c r="U5" s="43" t="s">
        <v>50</v>
      </c>
      <c r="V5" s="45"/>
      <c r="W5" s="45"/>
      <c r="X5" s="45"/>
      <c r="Y5" s="45"/>
      <c r="Z5" s="45"/>
      <c r="AA5" s="80" t="str">
        <f>hyperlink("http://palmbeachjewishfilm.org/index.html", "Palm Beach Jewish Film Festival")</f>
        <v>Palm Beach Jewish Film Festival</v>
      </c>
      <c r="AW5" s="43" t="s">
        <v>50</v>
      </c>
      <c r="AX5" s="80" t="str">
        <f>hyperlink("http://nysephardifilmfestival.org/", "New York Sephardic Jewish Film Festival")</f>
        <v>New York Sephardic Jewish Film Festival</v>
      </c>
      <c r="BH5" s="43" t="s">
        <v>50</v>
      </c>
      <c r="BI5" s="45"/>
      <c r="BJ5" s="45"/>
      <c r="BK5" s="45"/>
      <c r="BS5" s="41" t="str">
        <f>hyperlink("https://www.sbjewishfilmfestival.org/", "Santa Barbara Jewish Film Festival")</f>
        <v>Santa Barbara Jewish Film Festival</v>
      </c>
      <c r="BX5" s="43" t="s">
        <v>50</v>
      </c>
      <c r="CB5" s="45"/>
      <c r="CC5" s="80" t="str">
        <f>hyperlink("https://www.erjcchouston.org/arts/houston-jewish-film-festival/", "Houston Jewish Film Festival")</f>
        <v>Houston Jewish Film Festival</v>
      </c>
      <c r="CO5" s="43" t="s">
        <v>50</v>
      </c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80" t="str">
        <f>hyperlink("https://detroitjewishfilmfestival.com/", "Detroit Jewish Film Festival")</f>
        <v>Detroit Jewish Film Festival</v>
      </c>
      <c r="EE5" s="43" t="s">
        <v>50</v>
      </c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O5" s="45"/>
      <c r="JS5" s="45"/>
      <c r="JT5" s="45"/>
      <c r="KA5" s="45"/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80" t="str">
        <f>hyperlink("https://brjff.com/", "Baton Rouge Jewish Film Festival")</f>
        <v>Baton Rouge Jewish Film Festival</v>
      </c>
      <c r="V6" s="43" t="s">
        <v>50</v>
      </c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80" t="str">
        <f>hyperlink("https://www.ajff.org/", "Atlanta Jewish Film Festival")</f>
        <v>Atlanta Jewish Film Festival</v>
      </c>
      <c r="BF6" s="43" t="s">
        <v>50</v>
      </c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80" t="str">
        <f>hyperlink("http://pvjff.org/contact", "Pioneer Valley Jewish Film Festival")</f>
        <v>Pioneer Valley Jewish Film Festival</v>
      </c>
      <c r="CS6" s="43" t="s">
        <v>50</v>
      </c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80" t="str">
        <f>hyperlink("http://lajfilmfest.org/", "Los Angeles Jewish Film Festival")</f>
        <v>Los Angeles Jewish Film Festival</v>
      </c>
      <c r="DY6" s="43" t="s">
        <v>50</v>
      </c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80" t="str">
        <f>hyperlink("https://www.gpjff.org/", "Phoenix Jewish Film Festival")</f>
        <v>Phoenix Jewish Film Festival</v>
      </c>
      <c r="BD7" s="43" t="s">
        <v>50</v>
      </c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80" t="str">
        <f>hyperlink("http://www.nhjewishfilmfestival.org/", "New Hampshire Jewish Film Festival")</f>
        <v>New Hampshire Jewish Film Festival</v>
      </c>
      <c r="CL7" s="43" t="s">
        <v>50</v>
      </c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80" t="str">
        <f>hyperlink("https://www.jccdenver.org/arts-culture/denver-jewish-film-festival/", "Denver Jewish Film Festival")</f>
        <v>Denver Jewish Film Festival</v>
      </c>
      <c r="AX8" s="43" t="s">
        <v>50</v>
      </c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80" t="str">
        <f>hyperlink("https://jccmetrowest.org/programs/njjff/", "New Jersey Jewish Film Festival")</f>
        <v>New Jersey Jewish Film Festival</v>
      </c>
      <c r="CL8" s="43" t="s">
        <v>50</v>
      </c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80" t="str">
        <f>hyperlink("https://www.sdcjc.org/sdjff/", "San Diego Jewish Film Festival")</f>
        <v>San Diego Jewish Film Festival</v>
      </c>
      <c r="BD9" s="43" t="s">
        <v>50</v>
      </c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46"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GP3:HG3"/>
    <mergeCell ref="KA3:KY3"/>
    <mergeCell ref="LA3:LO3"/>
    <mergeCell ref="C3:F3"/>
    <mergeCell ref="P3:AC3"/>
    <mergeCell ref="AN3:BL3"/>
    <mergeCell ref="BN3:BW3"/>
    <mergeCell ref="CK3:DQ3"/>
    <mergeCell ref="DX3:EO3"/>
    <mergeCell ref="FE3:FZ3"/>
    <mergeCell ref="AG4:BC4"/>
    <mergeCell ref="BH4:BW4"/>
    <mergeCell ref="CC4:CR4"/>
    <mergeCell ref="DJ4:DT4"/>
    <mergeCell ref="FL4:FZ4"/>
    <mergeCell ref="KE4:KT4"/>
    <mergeCell ref="KY4:LI4"/>
    <mergeCell ref="J4:U4"/>
    <mergeCell ref="O5:T5"/>
    <mergeCell ref="AA5:AV5"/>
    <mergeCell ref="AX5:BG5"/>
    <mergeCell ref="BS5:BW5"/>
    <mergeCell ref="CC5:CN5"/>
    <mergeCell ref="DT5:ED5"/>
    <mergeCell ref="AK8:AW8"/>
    <mergeCell ref="AR9:BC9"/>
    <mergeCell ref="P6:U6"/>
    <mergeCell ref="AK6:BE6"/>
    <mergeCell ref="CG6:CR6"/>
    <mergeCell ref="DQ6:DX6"/>
    <mergeCell ref="AO7:BC7"/>
    <mergeCell ref="CA7:CK7"/>
    <mergeCell ref="CA8:CK8"/>
  </mergeCell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R3" s="110" t="str">
        <f>hyperlink("http://www.deltasofcharlotte.org", "Legacy of Black Women Film Showcase")</f>
        <v>Legacy of Black Women Film Showcase</v>
      </c>
      <c r="U3" s="43" t="s">
        <v>50</v>
      </c>
      <c r="V3" s="45"/>
      <c r="W3" s="98" t="str">
        <f>hyperlink("http://dentonbff.com/", "Denton Black Film Festival ")</f>
        <v>Denton Black Film Festival </v>
      </c>
      <c r="AB3" s="43" t="s">
        <v>50</v>
      </c>
      <c r="AC3" s="45"/>
      <c r="AD3" s="45"/>
      <c r="AE3" s="45"/>
      <c r="AF3" s="98" t="str">
        <f>hyperlink("https://www.africanfilmfestival.org/", "Cascade Festival of African Films")</f>
        <v>Cascade Festival of African Films</v>
      </c>
      <c r="BJ3" s="43" t="s">
        <v>50</v>
      </c>
      <c r="BK3" s="45"/>
      <c r="BL3" s="45"/>
      <c r="CO3" s="110" t="str">
        <f>hyperlink("http://charlotteblackfilmfestival.com/", "Charlotte Black Film Festival")</f>
        <v>Charlotte Black Film Festival</v>
      </c>
      <c r="CS3" s="43" t="s">
        <v>50</v>
      </c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98" t="str">
        <f>hyperlink("http://www.lasvegasblackfilmfestival.com/", "Las Vegas Black Film Festival")</f>
        <v>Las Vegas Black Film Festival</v>
      </c>
      <c r="DN3" s="43" t="s">
        <v>50</v>
      </c>
      <c r="DO3" s="45"/>
      <c r="DP3" s="45"/>
      <c r="DQ3" s="45"/>
      <c r="DR3" s="45"/>
      <c r="DS3" s="98" t="str">
        <f>hyperlink("http://www.brooklynartscouncil.org/forum/4994 ", "Women of African Descent Film Festival")</f>
        <v>Women of African Descent Film Festival</v>
      </c>
      <c r="DT3" s="43" t="s">
        <v>50</v>
      </c>
      <c r="DU3" s="45"/>
      <c r="DV3" s="45"/>
      <c r="DW3" s="45"/>
      <c r="DX3" s="45"/>
      <c r="DY3" s="45"/>
      <c r="DZ3" s="45"/>
      <c r="EA3" s="45"/>
      <c r="EB3" s="45"/>
      <c r="EC3" s="45"/>
      <c r="ED3" s="45"/>
      <c r="EF3" s="110" t="str">
        <f>hyperlink("http://africanfilmny.org", "New York African Film Festival")</f>
        <v>New York African Film Festival</v>
      </c>
      <c r="EW3" s="43" t="s">
        <v>50</v>
      </c>
      <c r="FG3" s="110" t="str">
        <f>hyperlink("http://sfbff.org/wordpress/", "San Francisco Black Film Festival")</f>
        <v>San Francisco Black Film Festival</v>
      </c>
      <c r="FK3" s="43" t="s">
        <v>50</v>
      </c>
      <c r="FM3" s="110" t="str">
        <f>hyperlink("http://www.abff.com/", "American Black Film Festival")</f>
        <v>American Black Film Festival</v>
      </c>
      <c r="FR3" s="43" t="s">
        <v>50</v>
      </c>
      <c r="GI3" s="110" t="str">
        <f>hyperlink("https://www.newarkmuseum.org/nbff", "Newark Black Film Festival")</f>
        <v>Newark Black Film Festival</v>
      </c>
      <c r="GL3" s="43" t="s">
        <v>50</v>
      </c>
      <c r="HD3" s="110" t="str">
        <f>hyperlink("https://www.blackstarfest.org", "BlackStar Film Festival")</f>
        <v>BlackStar Film Festival</v>
      </c>
      <c r="HH3" s="43" t="s">
        <v>50</v>
      </c>
      <c r="HL3" s="110" t="str">
        <f>hyperlink("http://www.mvaaff.com/", "RSF Martha's Vinyard African American Film Festival, The")</f>
        <v>RSF Martha's Vinyard African American Film Festival, The</v>
      </c>
      <c r="HU3" s="43" t="s">
        <v>50</v>
      </c>
      <c r="IA3" s="45"/>
      <c r="IB3" s="45"/>
      <c r="IE3" s="110" t="str">
        <f>hyperlink("https://bronzelens.com/", "BronzeLens Film Festival")</f>
        <v>BronzeLens Film Festival</v>
      </c>
      <c r="IJ3" s="43" t="s">
        <v>50</v>
      </c>
      <c r="IN3" s="110" t="str">
        <f>hyperlink("http://urbanfilmfestivals.com/", "Urban Film Festival")</f>
        <v>Urban Film Festival</v>
      </c>
      <c r="IQ3" s="43" t="s">
        <v>50</v>
      </c>
      <c r="IR3" s="45"/>
      <c r="IS3" s="45"/>
      <c r="IT3" s="45"/>
      <c r="IU3" s="45"/>
      <c r="IV3" s="45"/>
      <c r="IW3" s="45"/>
      <c r="IX3" s="45"/>
      <c r="IY3" s="45"/>
      <c r="IZ3" s="45"/>
      <c r="JA3" s="98" t="str">
        <f>hyperlink("http://dcbff.org", "DC Black Film Festival")</f>
        <v>DC Black Film Festival</v>
      </c>
      <c r="JD3" s="43" t="s">
        <v>50</v>
      </c>
      <c r="JE3" s="45"/>
      <c r="JF3" s="45"/>
      <c r="JM3" s="110" t="str">
        <f>hyperlink("https://www.ibffevents.com/", "International Black Film Festival (Nashville)")</f>
        <v>International Black Film Festival (Nashville)</v>
      </c>
      <c r="JS3" s="43" t="s">
        <v>50</v>
      </c>
      <c r="JU3" s="110" t="str">
        <f>hyperlink("http://www.bibff.com/", "Baltimore International Black Film Festival")</f>
        <v>Baltimore International Black Film Festival</v>
      </c>
      <c r="KA3" s="43" t="s">
        <v>50</v>
      </c>
      <c r="KC3" s="110" t="str">
        <f>hyperlink("http://www.umff.com/", "Urban Mediamakers Festival")</f>
        <v>Urban Mediamakers Festival</v>
      </c>
      <c r="KG3" s="43" t="s">
        <v>50</v>
      </c>
      <c r="KI3" s="110" t="str">
        <f>hyperlink("http://www.tcbff.org/", "Twin Cities Black Film Festival")</f>
        <v>Twin Cities Black Film Festival</v>
      </c>
      <c r="KM3" s="43" t="s">
        <v>50</v>
      </c>
      <c r="KT3" s="45"/>
      <c r="KU3" s="45"/>
      <c r="KV3" s="45"/>
      <c r="KW3" s="45"/>
      <c r="LQ3" s="45"/>
      <c r="LR3" s="45"/>
      <c r="LS3" s="45"/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98" t="str">
        <f>hyperlink("http://www.sdbff.com/", "San Diego Black Film Festival")</f>
        <v>San Diego Black Film Festival</v>
      </c>
      <c r="AI4" s="43" t="s">
        <v>50</v>
      </c>
      <c r="AJ4" s="45"/>
      <c r="AK4" s="45"/>
      <c r="AL4" s="98" t="str">
        <f>hyperlink("http://www.paff.org/", "Pan African Film &amp; Arts Festival")</f>
        <v>Pan African Film &amp; Arts Festival</v>
      </c>
      <c r="AX4" s="43" t="s">
        <v>50</v>
      </c>
      <c r="AY4" s="45"/>
      <c r="AZ4" s="45"/>
      <c r="BA4" s="98" t="str">
        <f>hyperlink("http://glentheater.wixsite.com/billjohnsonfilm", "Bill Johnson Black Film Festival")</f>
        <v>Bill Johnson Black Film Festival</v>
      </c>
      <c r="BC4" s="43" t="s">
        <v>50</v>
      </c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98" t="str">
        <f>hyperlink("http://www.bherc.org", "Sistas Are Doing It For Themselves")</f>
        <v>Sistas Are Doing It For Themselves</v>
      </c>
      <c r="CO4" s="43" t="s">
        <v>50</v>
      </c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98" t="str">
        <f>hyperlink("https://www.langstonseattle.org/lhaaff/", "Seattle Black Film Festival")</f>
        <v>Seattle Black Film Festival</v>
      </c>
      <c r="DN4" s="43" t="s">
        <v>50</v>
      </c>
      <c r="DO4" s="45"/>
      <c r="DP4" s="45"/>
      <c r="DQ4" s="45"/>
      <c r="DR4" s="45"/>
      <c r="DS4" s="45"/>
      <c r="DT4" s="45"/>
      <c r="DU4" s="45"/>
      <c r="DV4" s="45"/>
      <c r="DW4" s="45"/>
      <c r="EE4" s="110" t="str">
        <f>hyperlink("http://blackartsalliance.org/", "North Carolina Black Film Festival")</f>
        <v>North Carolina Black Film Festival</v>
      </c>
      <c r="EI4" s="43" t="s">
        <v>50</v>
      </c>
      <c r="EP4" s="110" t="str">
        <f>hyperlink("http://www.orlandouff.com/", "Orlando Urban Film Festival")</f>
        <v>Orlando Urban Film Festival</v>
      </c>
      <c r="EQ4" s="43" t="s">
        <v>50</v>
      </c>
      <c r="EW4" s="98" t="str">
        <f>hyperlink("http://www.theafricanfilmfestival.org/", "African Film Festival, The")</f>
        <v>African Film Festival, The</v>
      </c>
      <c r="FC4" s="43" t="s">
        <v>50</v>
      </c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E4" s="45"/>
      <c r="JY4" s="45"/>
      <c r="KZ4" s="45"/>
      <c r="LC4" s="45"/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98" t="str">
        <f>hyperlink("https://hayti.org/", "Hayti Heritage Film Festival")</f>
        <v>Hayti Heritage Film Festival</v>
      </c>
      <c r="AV5" s="43" t="s">
        <v>50</v>
      </c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O5" s="45"/>
      <c r="JS5" s="45"/>
      <c r="JT5" s="45"/>
      <c r="KA5" s="45"/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38"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JM3:JR3"/>
    <mergeCell ref="JU3:JZ3"/>
    <mergeCell ref="KC3:KF3"/>
    <mergeCell ref="KI3:KL3"/>
    <mergeCell ref="FM3:FQ3"/>
    <mergeCell ref="GI3:GK3"/>
    <mergeCell ref="HD3:HG3"/>
    <mergeCell ref="HL3:HT3"/>
    <mergeCell ref="IE3:II3"/>
    <mergeCell ref="IN3:IP3"/>
    <mergeCell ref="JA3:JC3"/>
    <mergeCell ref="AD4:AH4"/>
    <mergeCell ref="AL4:AW4"/>
    <mergeCell ref="BA4:BB4"/>
    <mergeCell ref="DJ4:DM4"/>
    <mergeCell ref="EE4:EH4"/>
    <mergeCell ref="EW4:FB4"/>
    <mergeCell ref="AS5:AU5"/>
    <mergeCell ref="R3:T3"/>
    <mergeCell ref="W3:AA3"/>
    <mergeCell ref="AF3:BI3"/>
    <mergeCell ref="CO3:CR3"/>
    <mergeCell ref="DJ3:DM3"/>
    <mergeCell ref="EF3:EV3"/>
    <mergeCell ref="FG3:FJ3"/>
  </mergeCell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V3" s="45"/>
      <c r="W3" s="45"/>
      <c r="X3" s="45"/>
      <c r="Y3" s="45"/>
      <c r="Z3" s="45"/>
      <c r="AA3" s="45"/>
      <c r="AB3" s="45"/>
      <c r="AC3" s="45"/>
      <c r="AD3" s="96" t="str">
        <f>hyperlink("https://www.facebook.com/groups/ncisaff/", "NC South Asian Film Festival")</f>
        <v>NC South Asian Film Festival</v>
      </c>
      <c r="AE3" s="43" t="s">
        <v>50</v>
      </c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96" t="str">
        <f>hyperlink("http://seattleaaff.org/2018/", "Seattle Asian American Film Festival ")</f>
        <v>Seattle Asian American Film Festival </v>
      </c>
      <c r="BD3" s="43" t="s">
        <v>50</v>
      </c>
      <c r="BE3" s="45"/>
      <c r="BF3" s="45"/>
      <c r="BG3" s="45"/>
      <c r="BH3" s="45"/>
      <c r="BI3" s="45"/>
      <c r="BJ3" s="45"/>
      <c r="BK3" s="45"/>
      <c r="BL3" s="45"/>
      <c r="BT3" s="136" t="str">
        <f>hyperlink("http://disorientfilm.org/", "DisOrient Asian American Film Festival of Oregon")</f>
        <v>DisOrient Asian American Film Festival of Oregon</v>
      </c>
      <c r="BX3" s="43" t="s">
        <v>50</v>
      </c>
      <c r="CP3" s="136" t="str">
        <f>hyperlink("http://www.faaim.org", "Asian American Showcase, The")</f>
        <v>Asian American Showcase, The</v>
      </c>
      <c r="DD3" s="43" t="s">
        <v>50</v>
      </c>
      <c r="DE3" s="45"/>
      <c r="DF3" s="45"/>
      <c r="DG3" s="45"/>
      <c r="DH3" s="45"/>
      <c r="DI3" s="45"/>
      <c r="DJ3" s="45"/>
      <c r="DK3" s="96" t="str">
        <f>hyperlink("https://www.apafilm.org/", "DC Asian Pacific American Film Festival")</f>
        <v>DC Asian Pacific American Film Festival</v>
      </c>
      <c r="DN3" s="43" t="s">
        <v>50</v>
      </c>
      <c r="DO3" s="45"/>
      <c r="DP3" s="45"/>
      <c r="DQ3" s="96" t="str">
        <f>hyperlink("http://festival.vconline.org/2018/", "Los Angeles Asian Pacific Film Festival")</f>
        <v>Los Angeles Asian Pacific Film Festival</v>
      </c>
      <c r="DZ3" s="43" t="s">
        <v>50</v>
      </c>
      <c r="EA3" s="45"/>
      <c r="EB3" s="45"/>
      <c r="EC3" s="45"/>
      <c r="ED3" s="45"/>
      <c r="EE3" s="136" t="str">
        <f>hyperlink("https://caamfest.com/", "CAAM Fest")</f>
        <v>CAAM Fest</v>
      </c>
      <c r="EP3" s="43" t="s">
        <v>50</v>
      </c>
      <c r="FG3" s="136" t="str">
        <f>hyperlink("https://www.aaafilmfest.org/", "Austin Asian American Film Festival")</f>
        <v>Austin Asian American Film Festival</v>
      </c>
      <c r="FK3" s="43" t="s">
        <v>50</v>
      </c>
      <c r="GP3" s="136" t="str">
        <f>hyperlink("http://asianfilmdallas.com/", "Asian Film Festival of Dallas")</f>
        <v>Asian Film Festival of Dallas</v>
      </c>
      <c r="GX3" s="43" t="s">
        <v>50</v>
      </c>
      <c r="IA3" s="45"/>
      <c r="IB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N3" s="45"/>
      <c r="JP3" s="136" t="str">
        <f>hyperlink("http://tsaff.tasveer.org", "Tasveer South Asian Film Festival")</f>
        <v>Tasveer South Asian Film Festival</v>
      </c>
      <c r="JZ3" s="43" t="s">
        <v>50</v>
      </c>
      <c r="KJ3" s="136" t="str">
        <f>hyperlink("http://www.kaffny.org", "KAFFNY Infinite Cinema")</f>
        <v>KAFFNY Infinite Cinema</v>
      </c>
      <c r="KN3" s="43" t="s">
        <v>50</v>
      </c>
      <c r="KT3" s="45"/>
      <c r="KU3" s="45"/>
      <c r="KV3" s="45"/>
      <c r="KW3" s="45"/>
      <c r="KY3" s="136" t="str">
        <f>hyperlink("http://www.paaff.org/", "Philadelphia Asian American Film Festival")</f>
        <v>Philadelphia Asian American Film Festival</v>
      </c>
      <c r="LJ3" s="43" t="s">
        <v>50</v>
      </c>
      <c r="LQ3" s="45"/>
      <c r="LR3" s="45"/>
      <c r="LS3" s="45"/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E4" s="45"/>
      <c r="JY4" s="45"/>
      <c r="KZ4" s="45"/>
      <c r="LA4" s="136" t="str">
        <f>hyperlink("https://sdaff.org", "San Diego Asian Film Festival")</f>
        <v>San Diego Asian Film Festival</v>
      </c>
      <c r="LB4" s="43" t="s">
        <v>50</v>
      </c>
      <c r="LC4" s="45"/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O5" s="45"/>
      <c r="JS5" s="45"/>
      <c r="JT5" s="45"/>
      <c r="KA5" s="45"/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24"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GP3:GW3"/>
    <mergeCell ref="JP3:JY3"/>
    <mergeCell ref="KJ3:KM3"/>
    <mergeCell ref="KY3:LI3"/>
    <mergeCell ref="AZ3:BC3"/>
    <mergeCell ref="BT3:BW3"/>
    <mergeCell ref="CP3:DC3"/>
    <mergeCell ref="DK3:DM3"/>
    <mergeCell ref="DQ3:DY3"/>
    <mergeCell ref="EE3:EO3"/>
    <mergeCell ref="FG3:FJ3"/>
  </mergeCell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O3" s="125" t="str">
        <f>hyperlink("http://historiccapitolhill.com/okcine-latino", "Oklahoma Cine Latino Film Festival")</f>
        <v>Oklahoma Cine Latino Film Festival</v>
      </c>
      <c r="BQ3" s="43" t="s">
        <v>50</v>
      </c>
      <c r="BT3" s="125" t="str">
        <f>hyperlink("http://sdlatinofilm.com/", "San Diego Latino Film Festival")</f>
        <v>San Diego Latino Film Festival</v>
      </c>
      <c r="CE3" s="43" t="s">
        <v>50</v>
      </c>
      <c r="CZ3" s="45"/>
      <c r="DA3" s="45"/>
      <c r="DB3" s="45"/>
      <c r="DC3" s="53" t="str">
        <f>hyperlink("https://chicagolatinofilmfestival.org/", "Chicago Latino Film Festival")</f>
        <v>Chicago Latino Film Festival</v>
      </c>
      <c r="DR3" s="43" t="s">
        <v>50</v>
      </c>
      <c r="DS3" s="45"/>
      <c r="DT3" s="45"/>
      <c r="DU3" s="45"/>
      <c r="DV3" s="45"/>
      <c r="DW3" s="53" t="str">
        <f>hyperlink("http://www.cinelasamericas.org", "Cine Las Americas International Film Festival")</f>
        <v>Cine Las Americas International Film Festival</v>
      </c>
      <c r="EB3" s="43" t="s">
        <v>50</v>
      </c>
      <c r="EC3" s="45"/>
      <c r="ED3" s="45"/>
      <c r="EY3" s="125" t="str">
        <f>hyperlink("https://latinofilm.org", "Los Angeles Latino International Film Festival")</f>
        <v>Los Angeles Latino International Film Festival</v>
      </c>
      <c r="FD3" s="43" t="s">
        <v>50</v>
      </c>
      <c r="HQ3" s="125" t="str">
        <f>hyperlink("http://nylatinofilmfestival.com", "New York Latino Film Festival")</f>
        <v>New York Latino Film Festival</v>
      </c>
      <c r="HV3" s="43" t="s">
        <v>50</v>
      </c>
      <c r="IA3" s="45"/>
      <c r="IB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I3" s="125" t="str">
        <f>hyperlink("http://www.plaff.org/", "Providence Latin American Film Festival")</f>
        <v>Providence Latin American Film Festival</v>
      </c>
      <c r="JR3" s="43" t="s">
        <v>50</v>
      </c>
      <c r="JW3" s="125" t="str">
        <f>hyperlink("https://www.slatinoff.org/", "Seattle Latino Film Festival")</f>
        <v>Seattle Latino Film Festival</v>
      </c>
      <c r="KF3" s="43" t="s">
        <v>50</v>
      </c>
      <c r="KT3" s="45"/>
      <c r="KU3" s="45"/>
      <c r="KV3" s="45"/>
      <c r="KW3" s="45"/>
      <c r="LQ3" s="45"/>
      <c r="LR3" s="45"/>
      <c r="LS3" s="45"/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53" t="str">
        <f>hyperlink("https://houstonlatinofilmfestival.org/", "Houston Latino Film Festival")</f>
        <v>Houston Latino Film Festival</v>
      </c>
      <c r="CE4" s="43" t="s">
        <v>50</v>
      </c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EW4" s="45"/>
      <c r="EX4" s="45"/>
      <c r="EY4" s="45"/>
      <c r="EZ4" s="53" t="str">
        <f>hyperlink("https://www.phlaff.org/", "Philadelphia Latino Film Festival")</f>
        <v>Philadelphia Latino Film Festival</v>
      </c>
      <c r="FD4" s="43" t="s">
        <v>50</v>
      </c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R4" s="125" t="str">
        <f>hyperlink("http://www.unitedlatinofilm.com/", "United Latino International Film Festival")</f>
        <v>United Latino International Film Festival</v>
      </c>
      <c r="HV4" s="43" t="s">
        <v>50</v>
      </c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E4" s="45"/>
      <c r="JG4" s="125" t="str">
        <f>hyperlink("http://www.bliff.org/", "Boston Latino International Film Festival")</f>
        <v>Boston Latino International Film Festival</v>
      </c>
      <c r="JL4" s="43" t="s">
        <v>50</v>
      </c>
      <c r="JY4" s="45"/>
      <c r="KZ4" s="45"/>
      <c r="LC4" s="45"/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O5" s="45"/>
      <c r="JS5" s="45"/>
      <c r="JT5" s="45"/>
      <c r="KA5" s="45"/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25"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BT3:CD3"/>
    <mergeCell ref="CA4:CD4"/>
    <mergeCell ref="EZ4:FC4"/>
    <mergeCell ref="HR4:HU4"/>
    <mergeCell ref="JG4:JK4"/>
    <mergeCell ref="BO3:BP3"/>
    <mergeCell ref="DC3:DQ3"/>
    <mergeCell ref="DW3:EA3"/>
    <mergeCell ref="EY3:FC3"/>
    <mergeCell ref="HQ3:HU3"/>
    <mergeCell ref="JI3:JQ3"/>
    <mergeCell ref="JW3:KE3"/>
  </mergeCells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56" t="str">
        <f>hyperlink("http://garifunafilmfestival.com/", "Garifuna International Indigenous Film Festival")</f>
        <v>Garifuna International Indigenous Film Festival</v>
      </c>
      <c r="EW3" s="43" t="s">
        <v>50</v>
      </c>
      <c r="IA3" s="45"/>
      <c r="IB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H3" s="160" t="str">
        <f>hyperlink("http://www.nativisions.com/", "NatiVisions Film Festival")</f>
        <v>NatiVisions Film Festival</v>
      </c>
      <c r="JK3" s="43" t="s">
        <v>50</v>
      </c>
      <c r="JN3" s="45"/>
      <c r="KT3" s="56" t="str">
        <f>hyperlink("https://www.rednationff.com/", "Red Nation International Film Festival")</f>
        <v>Red Nation International Film Festival</v>
      </c>
      <c r="LJ3" s="43" t="s">
        <v>50</v>
      </c>
      <c r="LQ3" s="45"/>
      <c r="LR3" s="45"/>
      <c r="LS3" s="45"/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56" t="str">
        <f>hyperlink("http://www.cinelasamericas.org", "Cine Las Americas International Film Festival")</f>
        <v>Cine Las Americas International Film Festival</v>
      </c>
      <c r="EB4" s="43" t="s">
        <v>50</v>
      </c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E4" s="45"/>
      <c r="JY4" s="45"/>
      <c r="KW4" s="160" t="str">
        <f>hyperlink("https://www.aifisf.com/", "American Indian Film Festival")</f>
        <v>American Indian Film Festival</v>
      </c>
      <c r="LB4" s="43" t="s">
        <v>50</v>
      </c>
      <c r="LC4" s="45"/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O5" s="45"/>
      <c r="JS5" s="45"/>
      <c r="JT5" s="45"/>
      <c r="KA5" s="45"/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18">
    <mergeCell ref="GA1:HE1"/>
    <mergeCell ref="HF1:IJ1"/>
    <mergeCell ref="IK1:JN1"/>
    <mergeCell ref="JO1:KS1"/>
    <mergeCell ref="KT1:LW1"/>
    <mergeCell ref="LX1:NB1"/>
    <mergeCell ref="DZ3:EV3"/>
    <mergeCell ref="JH3:JJ3"/>
    <mergeCell ref="KT3:LI3"/>
    <mergeCell ref="DW4:EA4"/>
    <mergeCell ref="KW4:LA4"/>
    <mergeCell ref="A1:A2"/>
    <mergeCell ref="B1:AF1"/>
    <mergeCell ref="AG1:BH1"/>
    <mergeCell ref="BI1:CM1"/>
    <mergeCell ref="CN1:DQ1"/>
    <mergeCell ref="DR1:EV1"/>
    <mergeCell ref="EW1:FZ1"/>
  </mergeCells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CI3" s="636" t="str">
        <f>hyperlink("http://sandiegoaff.org/", "San Diego Arab Film Festival")</f>
        <v>San Diego Arab Film Festival</v>
      </c>
      <c r="CR3" s="43" t="s">
        <v>50</v>
      </c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FA3" s="636" t="str">
        <f>hyperlink("http://www.arabamericanmuseum.org/", "Arab Film Festival @ Arab National Museum")</f>
        <v>Arab Film Festival @ Arab National Museum</v>
      </c>
      <c r="FK3" s="43" t="s">
        <v>50</v>
      </c>
      <c r="IA3" s="45"/>
      <c r="IB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N3" s="45"/>
      <c r="KD3" s="636" t="str">
        <f>hyperlink("http://www.bostonpalestinefilmfest.org", "Boston Palestine Film Festival")</f>
        <v>Boston Palestine Film Festival</v>
      </c>
      <c r="KN3" s="43" t="s">
        <v>50</v>
      </c>
      <c r="KT3" s="45"/>
      <c r="KU3" s="45"/>
      <c r="KV3" s="45"/>
      <c r="KW3" s="45"/>
      <c r="LQ3" s="45"/>
      <c r="LR3" s="45"/>
      <c r="LS3" s="45"/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E4" s="45"/>
      <c r="JY4" s="45"/>
      <c r="KZ4" s="45"/>
      <c r="LC4" s="45"/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O5" s="45"/>
      <c r="JS5" s="45"/>
      <c r="JT5" s="45"/>
      <c r="KA5" s="45"/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16">
    <mergeCell ref="GA1:HE1"/>
    <mergeCell ref="HF1:IJ1"/>
    <mergeCell ref="IK1:JN1"/>
    <mergeCell ref="JO1:KS1"/>
    <mergeCell ref="KT1:LW1"/>
    <mergeCell ref="LX1:NB1"/>
    <mergeCell ref="EW1:FZ1"/>
    <mergeCell ref="FA3:FJ3"/>
    <mergeCell ref="KD3:KM3"/>
    <mergeCell ref="A1:A2"/>
    <mergeCell ref="B1:AF1"/>
    <mergeCell ref="AG1:BH1"/>
    <mergeCell ref="BI1:CM1"/>
    <mergeCell ref="CN1:DQ1"/>
    <mergeCell ref="DR1:EV1"/>
    <mergeCell ref="CI3:CQ3"/>
  </mergeCells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102" t="str">
        <f>hyperlink("http://www.losangelesitalia.com/", "Los Angeles, Italia")</f>
        <v>Los Angeles, Italia</v>
      </c>
      <c r="AO3" s="43" t="s">
        <v>50</v>
      </c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102" t="str">
        <f>hyperlink("http://www.solasnua.org/ciff ", "Capital Irish Film Festival")</f>
        <v>Capital Irish Film Festival</v>
      </c>
      <c r="BK3" s="43" t="s">
        <v>50</v>
      </c>
      <c r="BL3" s="45"/>
      <c r="CA3" s="106" t="str">
        <f>hyperlink("http://www.irishfilmfestival.com/", "Irish Film Festival Boston")</f>
        <v>Irish Film Festival Boston</v>
      </c>
      <c r="CE3" s="43" t="s">
        <v>50</v>
      </c>
      <c r="CN3" s="106" t="str">
        <f>hyperlink("http://www.italianfilmfests.org", "Italian Film Festival USA")</f>
        <v>Italian Film Festival USA</v>
      </c>
      <c r="DR3" s="43" t="s">
        <v>50</v>
      </c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L3" s="106" t="str">
        <f>hyperlink("http://arteinstitute.org/nypsff/", "NY Portuguese Short Film Festival")</f>
        <v>NY Portuguese Short Film Festival</v>
      </c>
      <c r="EN3" s="43" t="s">
        <v>50</v>
      </c>
      <c r="ET3" s="106" t="str">
        <f>hyperlink("http://www.buddhistfilmfoundation.org", "International Buddhist Film Festival")</f>
        <v>International Buddhist Film Festival</v>
      </c>
      <c r="FY3" s="43" t="s">
        <v>50</v>
      </c>
      <c r="HT3" s="106" t="str">
        <f>hyperlink("http://www.haitiinternationalfilmfestival.org/", "Haiti International Film Festival")</f>
        <v>Haiti International Film Festival</v>
      </c>
      <c r="HU3" s="43" t="s">
        <v>50</v>
      </c>
      <c r="IA3" s="45"/>
      <c r="IB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102" t="str">
        <f>hyperlink("http://iranianfilmfestival.org/", "Iranian Film Festival - San Francisco")</f>
        <v>Iranian Film Festival - San Francisco</v>
      </c>
      <c r="JE3" s="43" t="s">
        <v>50</v>
      </c>
      <c r="JF3" s="45"/>
      <c r="JI3" s="106" t="str">
        <f>hyperlink("https://hiberniantransmedia.org/moviehooley/", "Irish American Movie Hooley")</f>
        <v>Irish American Movie Hooley</v>
      </c>
      <c r="JL3" s="43" t="s">
        <v>50</v>
      </c>
      <c r="JN3" s="45"/>
      <c r="KE3" s="106" t="str">
        <f>hyperlink("http://grfilm.com/", "San Francisco Greek Film Festival")</f>
        <v>San Francisco Greek Film Festival</v>
      </c>
      <c r="KM3" s="43" t="s">
        <v>50</v>
      </c>
      <c r="KT3" s="45"/>
      <c r="KU3" s="45"/>
      <c r="KV3" s="45"/>
      <c r="KW3" s="45"/>
      <c r="LE3" s="106" t="str">
        <f>hyperlink("http://iprhff.com/", "International Puerto Rican Heritage Film Festival")</f>
        <v>International Puerto Rican Heritage Film Festival</v>
      </c>
      <c r="LJ3" s="43" t="s">
        <v>50</v>
      </c>
      <c r="LQ3" s="45"/>
      <c r="LR3" s="45"/>
      <c r="LS3" s="45"/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102" t="str">
        <f>hyperlink("http://www.chicagoirishfilmfestival.com/", "Chicago Irish Film Festival")</f>
        <v>Chicago Irish Film Festival</v>
      </c>
      <c r="BK4" s="43" t="s">
        <v>50</v>
      </c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102" t="str">
        <f>hyperlink("http://www.indianfilmfestival.org/", "Indian Film Festival of Los Angeles")</f>
        <v>Indian Film Festival of Los Angeles</v>
      </c>
      <c r="CS4" s="43" t="s">
        <v>50</v>
      </c>
      <c r="CT4" s="45"/>
      <c r="CU4" s="102" t="str">
        <f>hyperlink("https://www.bhffnyc.org/", "Bosnian-Herzegovinian Film Festival")</f>
        <v>Bosnian-Herzegovinian Film Festival</v>
      </c>
      <c r="CY4" s="43" t="s">
        <v>50</v>
      </c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102" t="str">
        <f>hyperlink("http://www.hpff.org/", "Houston Palestine Film Festival")</f>
        <v>Houston Palestine Film Festival</v>
      </c>
      <c r="DV4" s="43" t="s">
        <v>50</v>
      </c>
      <c r="DW4" s="45"/>
      <c r="EW4" s="45"/>
      <c r="EX4" s="45"/>
      <c r="EY4" s="45"/>
      <c r="EZ4" s="45"/>
      <c r="FA4" s="45"/>
      <c r="FB4" s="45"/>
      <c r="FC4" s="102" t="str">
        <f>hyperlink("http://www.caribbeanlens.com/", "CarribeanLens International Film Festival")</f>
        <v>CarribeanLens International Film Festival</v>
      </c>
      <c r="FJ4" s="43" t="s">
        <v>50</v>
      </c>
      <c r="FK4" s="45"/>
      <c r="FL4" s="45"/>
      <c r="FM4" s="102" t="str">
        <f>hyperlink("https://www.roxburyinternationalfilmfestival.com/", "Roxbury International Film Festival, The ")</f>
        <v>Roxbury International Film Festival, The </v>
      </c>
      <c r="FX4" s="43" t="s">
        <v>50</v>
      </c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E4" s="45"/>
      <c r="JY4" s="45"/>
      <c r="KI4" s="106" t="str">
        <f>hyperlink("http://www.nordicfilmfest.org/", "Nordic International Film Festival")</f>
        <v>Nordic International Film Festival</v>
      </c>
      <c r="KN4" s="43" t="s">
        <v>50</v>
      </c>
      <c r="KZ4" s="45"/>
      <c r="LC4" s="45"/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102" t="str">
        <f>hyperlink("http://seefilmla.org/", "South East European Film Festival Los Angeles")</f>
        <v>South East European Film Festival Los Angeles</v>
      </c>
      <c r="DX5" s="43" t="s">
        <v>50</v>
      </c>
      <c r="EP5" s="45"/>
      <c r="FB5" s="106" t="str">
        <f>hyperlink("https://www.festalpagdiriwang.com/diwa-film-showcase", "Diwa Filipino Film Showcase of Seattle")</f>
        <v>Diwa Filipino Film Showcase of Seattle</v>
      </c>
      <c r="FD5" s="43" t="s">
        <v>50</v>
      </c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O5" s="45"/>
      <c r="JS5" s="45"/>
      <c r="JT5" s="45"/>
      <c r="KA5" s="45"/>
      <c r="KL5" s="106" t="str">
        <f>hyperlink("http://reelsisters.com/", "Reel Sisters of the Diaspora Film Festival &amp; Lecture Series")</f>
        <v>Reel Sisters of the Diaspora Film Festival &amp; Lecture Series</v>
      </c>
      <c r="KN5" s="43" t="s">
        <v>50</v>
      </c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102" t="str">
        <f>hyperlink("http://lagff.org/", "Los Angeles Greek Film Festival")</f>
        <v>Los Angeles Greek Film Festival</v>
      </c>
      <c r="DU6" s="43" t="s">
        <v>50</v>
      </c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N7" s="106" t="str">
        <f>hyperlink("http://www.iaac.us/", "New York Indian Film Festival")</f>
        <v>New York Indian Film Festival</v>
      </c>
      <c r="DU7" s="43" t="s">
        <v>50</v>
      </c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35"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JI3:JK3"/>
    <mergeCell ref="KE3:KL3"/>
    <mergeCell ref="LE3:LI3"/>
    <mergeCell ref="KI4:KM4"/>
    <mergeCell ref="KL5:KM5"/>
    <mergeCell ref="CN3:DQ3"/>
    <mergeCell ref="CN4:CR4"/>
    <mergeCell ref="CU4:CX4"/>
    <mergeCell ref="DP5:DW5"/>
    <mergeCell ref="DN6:DT6"/>
    <mergeCell ref="DN7:DT7"/>
    <mergeCell ref="ET3:FX3"/>
    <mergeCell ref="FC4:FI4"/>
    <mergeCell ref="FM4:FW4"/>
    <mergeCell ref="FB5:FC5"/>
    <mergeCell ref="AH3:AN3"/>
    <mergeCell ref="BG3:BJ3"/>
    <mergeCell ref="CA3:CD3"/>
    <mergeCell ref="EL3:EM3"/>
    <mergeCell ref="JC3:JD3"/>
    <mergeCell ref="BG4:BJ4"/>
    <mergeCell ref="DK4:DU4"/>
  </mergeCells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Q3" s="108" t="str">
        <f>hyperlink("http://www.macabrefairefilmfest.com/", "Macabre Faire Film Festival")</f>
        <v>Macabre Faire Film Festival</v>
      </c>
      <c r="R3" s="43" t="s">
        <v>50</v>
      </c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133" t="str">
        <f>hyperlink("http://www.bos...onsci-fi.com/", "Boston Sci-Fi Film Festival")</f>
        <v>Boston Sci-Fi Film Festival</v>
      </c>
      <c r="AX3" s="43" t="s">
        <v>50</v>
      </c>
      <c r="AY3" s="45"/>
      <c r="AZ3" s="45"/>
      <c r="BA3" s="133" t="str">
        <f>hyperlink("http://www.connooga.com", "Con Nooga Film Festival")</f>
        <v>Con Nooga Film Festival</v>
      </c>
      <c r="BD3" s="43" t="s">
        <v>50</v>
      </c>
      <c r="BE3" s="45"/>
      <c r="BF3" s="45"/>
      <c r="BG3" s="45"/>
      <c r="BH3" s="133" t="str">
        <f>hyperlink("http://mysticon-va.com/", "MystiCon Independent Film Festival")</f>
        <v>MystiCon Independent Film Festival</v>
      </c>
      <c r="BK3" s="43" t="s">
        <v>50</v>
      </c>
      <c r="BL3" s="45"/>
      <c r="BO3" s="108" t="str">
        <f>hyperlink("http://www.midwestweirdfest.com/", "Midwest WeirdFest")</f>
        <v>Midwest WeirdFest</v>
      </c>
      <c r="BR3" s="43" t="s">
        <v>50</v>
      </c>
      <c r="BT3" s="108" t="str">
        <f>hyperlink("http://www.thephilipkdickfilmfestival.com/", "Philip K. Dick Science Fiction &amp; Supernatural Festival, The")</f>
        <v>Philip K. Dick Science Fiction &amp; Supernatural Festival, The</v>
      </c>
      <c r="BX3" s="43" t="s">
        <v>50</v>
      </c>
      <c r="CH3" s="108" t="str">
        <f>hyperlink("http://www.horrorscifi.com/", "International Horror &amp; Sci-Fi Film Festival")</f>
        <v>International Horror &amp; Sci-Fi Film Festival</v>
      </c>
      <c r="CS3" s="43" t="s">
        <v>50</v>
      </c>
      <c r="CZ3" s="45"/>
      <c r="DA3" s="45"/>
      <c r="DB3" s="45"/>
      <c r="DC3" s="133" t="str">
        <f>hyperlink("http://www.twisteddreamsff.com", "Milwaukee Twisted Dreams Film Festival")</f>
        <v>Milwaukee Twisted Dreams Film Festival</v>
      </c>
      <c r="DG3" s="43" t="s">
        <v>50</v>
      </c>
      <c r="DH3" s="45"/>
      <c r="DI3" s="45"/>
      <c r="DJ3" s="45"/>
      <c r="DK3" s="133" t="str">
        <f>hyperlink("http://motorcitynightmares.com/", "Motor City Nightmares International Film Festival")</f>
        <v>Motor City Nightmares International Film Festival</v>
      </c>
      <c r="DN3" s="43" t="s">
        <v>50</v>
      </c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M3" s="108" t="str">
        <f>hyperlink("http://www.miscon.org/filmfestival/", "MisCon International Short Film Festival")</f>
        <v>MisCon International Short Film Festival</v>
      </c>
      <c r="EQ3" s="43" t="s">
        <v>50</v>
      </c>
      <c r="ET3" s="108" t="str">
        <f>hyperlink("http://www.concarolinas.org/events/concarolinas-short-film-festival/", "ConCarolinas Short Film Festival")</f>
        <v>ConCarolinas Short Film Festival</v>
      </c>
      <c r="EW3" s="43" t="s">
        <v>50</v>
      </c>
      <c r="FY3" s="108" t="str">
        <f>hyperlink("http://www.etheriafilmnight.com/", "Etheria Film Night ")</f>
        <v>Etheria Film Night </v>
      </c>
      <c r="FZ3" s="43" t="s">
        <v>50</v>
      </c>
      <c r="GC3" s="108" t="str">
        <f>hyperlink("http://www.roswellfilmcon.com/", "Roswell Sci-Fi Film Festival")</f>
        <v>Roswell Sci-Fi Film Festival</v>
      </c>
      <c r="GF3" s="43" t="s">
        <v>50</v>
      </c>
      <c r="GR3" s="108" t="str">
        <f>hyperlink("https://www.sachorrorfilmfest.com/", "Love Horror Short Film Festival")</f>
        <v>Love Horror Short Film Festival</v>
      </c>
      <c r="GS3" s="43" t="s">
        <v>50</v>
      </c>
      <c r="HL3" s="108" t="str">
        <f>hyperlink("http://blog.hollywoodhorrorfest.com/", "Hollywood Horrorfest")</f>
        <v>Hollywood Horrorfest</v>
      </c>
      <c r="HN3" s="43" t="s">
        <v>50</v>
      </c>
      <c r="HZ3" s="108" t="str">
        <f>hyperlink("https://www.facebook.com/TopekaSlashandBash", "Slash &amp; Bash Horror/Sci-Fi Film Festival")</f>
        <v>Slash &amp; Bash Horror/Sci-Fi Film Festival</v>
      </c>
      <c r="IB3" s="43" t="s">
        <v>50</v>
      </c>
      <c r="IG3" s="108" t="str">
        <f>hyperlink("http://www.hifilmfest.com/", "Horrible Imaginings Film Festival")</f>
        <v>Horrible Imaginings Film Festival</v>
      </c>
      <c r="IJ3" s="43" t="s">
        <v>50</v>
      </c>
      <c r="IN3" s="108" t="str">
        <f>hyperlink("http://www.filmquestfest.com/", "FilmQuest")</f>
        <v>FilmQuest</v>
      </c>
      <c r="IW3" s="43" t="s">
        <v>50</v>
      </c>
      <c r="IX3" s="45"/>
      <c r="IY3" s="45"/>
      <c r="IZ3" s="45"/>
      <c r="JA3" s="45"/>
      <c r="JB3" s="45"/>
      <c r="JC3" s="45"/>
      <c r="JD3" s="45"/>
      <c r="JE3" s="45"/>
      <c r="JF3" s="45"/>
      <c r="JN3" s="45"/>
      <c r="JO3" s="108" t="str">
        <f>hyperlink("http://www.shriekfest.com/", "Shriekfest Horror Film Festival")</f>
        <v>Shriekfest Horror Film Festival</v>
      </c>
      <c r="JS3" s="43" t="s">
        <v>50</v>
      </c>
      <c r="JW3" s="108" t="str">
        <f>hyperlink("http://www.alfilmfest.com/", "Apocalypse Later International Fantastic Film Festival")</f>
        <v>Apocalypse Later International Fantastic Film Festival</v>
      </c>
      <c r="JZ3" s="43" t="s">
        <v>50</v>
      </c>
      <c r="KA3" s="108" t="str">
        <f>hyperlink("https://www.thrillerchiller.com", "Thriller! Chiller!")</f>
        <v>Thriller! Chiller!</v>
      </c>
      <c r="KF3" s="43" t="s">
        <v>50</v>
      </c>
      <c r="KT3" s="45"/>
      <c r="KU3" s="45"/>
      <c r="KV3" s="45"/>
      <c r="KW3" s="45"/>
      <c r="KX3" s="108" t="str">
        <f>hyperlink("http://www.zedfest.org/", "ZedFest Film Festival")</f>
        <v>ZedFest Film Festival</v>
      </c>
      <c r="LF3" s="43" t="s">
        <v>50</v>
      </c>
      <c r="LQ3" s="45"/>
      <c r="LR3" s="45"/>
      <c r="LS3" s="45"/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133" t="str">
        <f>hyperlink("https://miscifi.com/", "Miami International Science Fiction Film Festival")</f>
        <v>Miami International Science Fiction Film Festival</v>
      </c>
      <c r="AW4" s="43" t="s">
        <v>50</v>
      </c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133" t="str">
        <f>hyperlink("http://www.carolinatheatre.org/films/festivals/nevermore", "Nevermore Film Festival")</f>
        <v>Nevermore Film Festival</v>
      </c>
      <c r="BK4" s="43" t="s">
        <v>50</v>
      </c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133" t="str">
        <f>hyperlink("https://www.mopop.org/sffsff ", "Science Fiction and Fantasy Short Film Festival")</f>
        <v>Science Fiction and Fantasy Short Film Festival</v>
      </c>
      <c r="CK4" s="43" t="s">
        <v>50</v>
      </c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EO4" s="108" t="str">
        <f>hyperlink("https://www.balticon.org/wp53/", "Balticon Short Film Festival")</f>
        <v>Balticon Short Film Festival</v>
      </c>
      <c r="EP4" s="43" t="s">
        <v>50</v>
      </c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M4" s="108" t="str">
        <f>hyperlink("http://filmfest.dragoncon.org/", "Dragon Con Independent Film Festival")</f>
        <v>Dragon Con Independent Film Festival</v>
      </c>
      <c r="IR4" s="43" t="s">
        <v>50</v>
      </c>
      <c r="IX4" s="45"/>
      <c r="JE4" s="45"/>
      <c r="JP4" s="108" t="str">
        <f>hyperlink("https://hplfilmfestival.com/", "H.P. Lovecraft Film Festival")</f>
        <v>H.P. Lovecraft Film Festival</v>
      </c>
      <c r="JS4" s="43" t="s">
        <v>50</v>
      </c>
      <c r="JY4" s="45"/>
      <c r="KD4" s="108" t="str">
        <f>hyperlink("https://www.telluridehorrorshow.com/", "Telluride Horror Show ")</f>
        <v>Telluride Horror Show </v>
      </c>
      <c r="KG4" s="43" t="s">
        <v>50</v>
      </c>
      <c r="KZ4" s="45"/>
      <c r="LC4" s="45"/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O5" s="45"/>
      <c r="JS5" s="45"/>
      <c r="JT5" s="45"/>
      <c r="KA5" s="45"/>
      <c r="KE5" s="108" t="str">
        <f>hyperlink("https://www.sickchickflicksfilmfestival.com/", "Sick Chick Flicks Film Festival")</f>
        <v>Sick Chick Flicks Film Festival</v>
      </c>
      <c r="KG5" s="43" t="s">
        <v>50</v>
      </c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38"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DK3:DM3"/>
    <mergeCell ref="EM3:EP3"/>
    <mergeCell ref="ET3:EV3"/>
    <mergeCell ref="GC3:GE3"/>
    <mergeCell ref="HL3:HM3"/>
    <mergeCell ref="HZ3:IA3"/>
    <mergeCell ref="IG3:II3"/>
    <mergeCell ref="BH3:BJ3"/>
    <mergeCell ref="BH4:BJ4"/>
    <mergeCell ref="AM3:AW3"/>
    <mergeCell ref="BA3:BC3"/>
    <mergeCell ref="BO3:BQ3"/>
    <mergeCell ref="BT3:BW3"/>
    <mergeCell ref="CH3:CR3"/>
    <mergeCell ref="DC3:DF3"/>
    <mergeCell ref="AT4:AV4"/>
    <mergeCell ref="KD4:KF4"/>
    <mergeCell ref="KE5:KF5"/>
    <mergeCell ref="IN3:IV3"/>
    <mergeCell ref="JO3:JR3"/>
    <mergeCell ref="JW3:JY3"/>
    <mergeCell ref="KA3:KE3"/>
    <mergeCell ref="KX3:LE3"/>
    <mergeCell ref="IM4:IQ4"/>
    <mergeCell ref="JP4:JR4"/>
  </mergeCells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L3" s="162" t="str">
        <f>hyperlink("http://www.americanhorrorfilmfestival.com/", "American Horror Film Festival")</f>
        <v>American Horror Film Festival</v>
      </c>
      <c r="M3" s="43" t="s">
        <v>50</v>
      </c>
      <c r="V3" s="45"/>
      <c r="W3" s="45"/>
      <c r="X3" s="45"/>
      <c r="Y3" s="180" t="str">
        <f>hyperlink("https://www.panicfilmfest.com/", "Panic Fest")</f>
        <v>Panic Fest</v>
      </c>
      <c r="AF3" s="43" t="s">
        <v>50</v>
      </c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CB3" s="162" t="str">
        <f>hyperlink("http://www.horrorhound.com/FilmFest", "HorrorHound Weekend Film Festival")</f>
        <v>HorrorHound Weekend Film Festival</v>
      </c>
      <c r="CE3" s="43" t="s">
        <v>50</v>
      </c>
      <c r="CX3" s="162" t="str">
        <f>hyperlink("http://www.bonehand.com/bonebatff.html", "Bonebat ""Comedy of Horrors"" Film Festival")</f>
        <v>Bonebat "Comedy of Horrors" Film Festival</v>
      </c>
      <c r="CY3" s="43" t="s">
        <v>50</v>
      </c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180" t="str">
        <f>hyperlink("https://www.crypticonseattle.com/", "Crypticon Seattle Horror Film Festival")</f>
        <v>Crypticon Seattle Horror Film Festival</v>
      </c>
      <c r="DU3" s="43" t="s">
        <v>50</v>
      </c>
      <c r="DV3" s="45"/>
      <c r="DW3" s="45"/>
      <c r="DX3" s="45"/>
      <c r="DY3" s="45"/>
      <c r="DZ3" s="45"/>
      <c r="EA3" s="45"/>
      <c r="EB3" s="45"/>
      <c r="EC3" s="45"/>
      <c r="ED3" s="45"/>
      <c r="EM3" s="162" t="str">
        <f>hyperlink("http://www.crimsonscreenfilmfest.org/", "Crimson Screen Horror Film Fest")</f>
        <v>Crimson Screen Horror Film Fest</v>
      </c>
      <c r="EP3" s="43" t="s">
        <v>50</v>
      </c>
      <c r="FF3" s="162" t="str">
        <f>hyperlink("https://portlandhorrorfilmfestival.com/", "Portland Horror Film Festival")</f>
        <v>Portland Horror Film Festival</v>
      </c>
      <c r="FJ3" s="43" t="s">
        <v>50</v>
      </c>
      <c r="FK3" s="162" t="str">
        <f>hyperlink("https://stainedglassandblo.wixsite.com/stainedglass ", "Happenstance Horror Fest")</f>
        <v>Happenstance Horror Fest</v>
      </c>
      <c r="FL3" s="43" t="s">
        <v>50</v>
      </c>
      <c r="HK3" s="162" t="str">
        <f>hyperlink("https://www.popcornfrights.com/", "Popcorn Frights Film Festival")</f>
        <v>Popcorn Frights Film Festival</v>
      </c>
      <c r="HT3" s="43" t="s">
        <v>50</v>
      </c>
      <c r="IA3" s="45"/>
      <c r="IB3" s="45"/>
      <c r="IO3" s="180" t="str">
        <f>hyperlink("http://www.indiehorrorfest.com/", "Indie Horror Film Festival")</f>
        <v>Indie Horror Film Festival</v>
      </c>
      <c r="IP3" s="43" t="s">
        <v>50</v>
      </c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180" t="str">
        <f>hyperlink("http://atlantahorrorfilmfest.com/", "Atlanta Horror Film Fest")</f>
        <v>Atlanta Horror Film Fest</v>
      </c>
      <c r="JD3" s="43" t="s">
        <v>50</v>
      </c>
      <c r="JE3" s="45"/>
      <c r="JF3" s="45"/>
      <c r="JH3" s="162" t="str">
        <f>hyperlink("https://hotspringshorrorfilmfestival.com/", "Hot Springs International Horror Film Festival")</f>
        <v>Hot Springs International Horror Film Festival</v>
      </c>
      <c r="JL3" s="43" t="s">
        <v>50</v>
      </c>
      <c r="JN3" s="45"/>
      <c r="JT3" s="162" t="str">
        <f>hyperlink("https://screamfestla.com/", "Screamfest Horror Film Festival")</f>
        <v>Screamfest Horror Film Festival</v>
      </c>
      <c r="KD3" s="43" t="s">
        <v>50</v>
      </c>
      <c r="KJ3" s="162" t="str">
        <f>hyperlink("http://www.nightmaresfest.com/", "Nightmares Film Festival")</f>
        <v>Nightmares Film Festival</v>
      </c>
      <c r="KN3" s="43" t="s">
        <v>50</v>
      </c>
      <c r="KR3" s="162" t="str">
        <f>hyperlink("http://www.desmonddistrictdemons.com/", "Desmond District Demons Film Festival")</f>
        <v>Desmond District Demons Film Festival</v>
      </c>
      <c r="KT3" s="43" t="s">
        <v>50</v>
      </c>
      <c r="KU3" s="45"/>
      <c r="KV3" s="45"/>
      <c r="KW3" s="45"/>
      <c r="LF3" s="162" t="str">
        <f>hyperlink("http://buriedalivefilmfest.com/", "Buried Alive Film Festival")</f>
        <v>Buried Alive Film Festival</v>
      </c>
      <c r="LI3" s="43" t="s">
        <v>50</v>
      </c>
      <c r="LQ3" s="45"/>
      <c r="LR3" s="45"/>
      <c r="LS3" s="45"/>
      <c r="MA3" s="162" t="str">
        <f>hyperlink("https://nychorrorfest.com/", "New York City Horror Film Festival, The")</f>
        <v>New York City Horror Film Festival, The</v>
      </c>
      <c r="ME3" s="43" t="s">
        <v>50</v>
      </c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180" t="str">
        <f>hyperlink("http://www.horrorhotel.net/home.html", "International Horror Hotel, The")</f>
        <v>International Horror Hotel, The</v>
      </c>
      <c r="FK4" s="43" t="s">
        <v>50</v>
      </c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C4" s="162" t="str">
        <f>hyperlink("https://www.sachorrorfilmfest.com/", "Sacramento Horror Film Festival")</f>
        <v>Sacramento Horror Film Festival</v>
      </c>
      <c r="JD4" s="43" t="s">
        <v>50</v>
      </c>
      <c r="JE4" s="45"/>
      <c r="JH4" s="162" t="str">
        <f>hyperlink("https://nolahorrorfilmfest.com/", "Nola Horror Film Fest")</f>
        <v>Nola Horror Film Fest</v>
      </c>
      <c r="JL4" s="43" t="s">
        <v>50</v>
      </c>
      <c r="JV4" s="162" t="str">
        <f>hyperlink("http://www.spookyfest.com/", "Spooky Movie International Horror Film Festival")</f>
        <v>Spooky Movie International Horror Film Festival</v>
      </c>
      <c r="JZ4" s="43" t="s">
        <v>50</v>
      </c>
      <c r="KC4" s="162" t="str">
        <f>hyperlink("http://brooklynhorrorfest.com/", "Brooklyn Horror Fest")</f>
        <v>Brooklyn Horror Fest</v>
      </c>
      <c r="KK4" s="43" t="s">
        <v>50</v>
      </c>
      <c r="KM4" s="162" t="str">
        <f>hyperlink("http://fhffsd.com/", "FANtasic Horror Film Festival")</f>
        <v>FANtasic Horror Film Festival</v>
      </c>
      <c r="KP4" s="43" t="s">
        <v>50</v>
      </c>
      <c r="KZ4" s="45"/>
      <c r="LC4" s="45"/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H5" s="162" t="str">
        <f>hyperlink("https://nolahff.com", "NOLA Horror Film Fest")</f>
        <v>NOLA Horror Film Fest</v>
      </c>
      <c r="JL5" s="43" t="s">
        <v>50</v>
      </c>
      <c r="JO5" s="45"/>
      <c r="JS5" s="45"/>
      <c r="JT5" s="45"/>
      <c r="JW5" s="162" t="str">
        <f>hyperlink("https://www.newhorrorfest.com/", "Northeast Wisconsin Horror Film Festival")</f>
        <v>Northeast Wisconsin Horror Film Festival</v>
      </c>
      <c r="JZ5" s="43" t="s">
        <v>50</v>
      </c>
      <c r="KA5" s="45"/>
      <c r="KD5" s="162" t="str">
        <f>hyperlink("http://scareacon.com/", "Scare-A-Con Film Festival")</f>
        <v>Scare-A-Con Film Festival</v>
      </c>
      <c r="KG5" s="43" t="s">
        <v>50</v>
      </c>
      <c r="KK5" s="162" t="str">
        <f>hyperlink("http://www.freakshowfilmfest.com", "Freak Show Horror Film Festival")</f>
        <v>Freak Show Horror Film Festival</v>
      </c>
      <c r="KN5" s="43" t="s">
        <v>50</v>
      </c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J6" s="162" t="str">
        <f>hyperlink("http://www.chicagohorrorfest.com/", "Chicago Horror Film Festival")</f>
        <v>Chicago Horror Film Festival</v>
      </c>
      <c r="JL6" s="43" t="s">
        <v>50</v>
      </c>
      <c r="JS6" s="45"/>
      <c r="JT6" s="45"/>
      <c r="JU6" s="45"/>
      <c r="JV6" s="45"/>
      <c r="JW6" s="45"/>
      <c r="JX6" s="45"/>
      <c r="JY6" s="45"/>
      <c r="JZ6" s="45"/>
      <c r="KD6" s="162" t="str">
        <f>hyperlink("www.fearfete.com", "Fear Fete")</f>
        <v>Fear Fete</v>
      </c>
      <c r="KF6" s="43" t="s">
        <v>50</v>
      </c>
      <c r="KK6" s="162" t="str">
        <f>hyperlink("http://freakshowfilmfest.com/", "FREAKSHOW Horror Film Festival")</f>
        <v>FREAKSHOW Horror Film Festival</v>
      </c>
      <c r="KN6" s="43" t="s">
        <v>50</v>
      </c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K7" s="162" t="str">
        <f>hyperlink("http://horrorhausfilmfestival.com/", "Horror Haus")</f>
        <v>Horror Haus</v>
      </c>
      <c r="KN7" s="43" t="s">
        <v>50</v>
      </c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L8" s="162" t="str">
        <f>hyperlink("https://bleedingham.com/", "Bleedingham Film Festival")</f>
        <v>Bleedingham Film Festival</v>
      </c>
      <c r="KN8" s="43" t="s">
        <v>50</v>
      </c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40"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JH3:JK3"/>
    <mergeCell ref="JT3:KC3"/>
    <mergeCell ref="KJ3:KM3"/>
    <mergeCell ref="KR3:KS3"/>
    <mergeCell ref="LF3:LH3"/>
    <mergeCell ref="MA3:MD3"/>
    <mergeCell ref="Y3:AE3"/>
    <mergeCell ref="CB3:CD3"/>
    <mergeCell ref="DR3:DT3"/>
    <mergeCell ref="EM3:EO3"/>
    <mergeCell ref="FF3:FI3"/>
    <mergeCell ref="HK3:HS3"/>
    <mergeCell ref="FG4:FJ4"/>
    <mergeCell ref="KD5:KF5"/>
    <mergeCell ref="KK5:KM5"/>
    <mergeCell ref="KK7:KM7"/>
    <mergeCell ref="KL8:KM8"/>
    <mergeCell ref="JW5:JY5"/>
    <mergeCell ref="KD6:KE6"/>
    <mergeCell ref="JA3:JC3"/>
    <mergeCell ref="JH4:JK4"/>
    <mergeCell ref="JV4:JY4"/>
    <mergeCell ref="KC4:KJ4"/>
    <mergeCell ref="KM4:KO4"/>
    <mergeCell ref="JH5:JK5"/>
    <mergeCell ref="JJ6:JK6"/>
    <mergeCell ref="KK6:KM6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49.71"/>
    <col customWidth="1" min="3" max="3" width="9.43"/>
    <col customWidth="1" min="4" max="4" width="14.14"/>
    <col customWidth="1" min="5" max="5" width="39.0"/>
    <col customWidth="1" min="6" max="6" width="15.14"/>
    <col customWidth="1" min="7" max="7" width="14.43"/>
    <col customWidth="1" min="8" max="8" width="20.71"/>
    <col customWidth="1" min="9" max="9" width="8.29"/>
  </cols>
  <sheetData>
    <row r="1">
      <c r="A1" s="1" t="s">
        <v>0</v>
      </c>
      <c r="B1" s="2" t="s">
        <v>2</v>
      </c>
      <c r="C1" s="3" t="s">
        <v>3</v>
      </c>
      <c r="D1" s="4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7" t="s">
        <v>9</v>
      </c>
    </row>
    <row r="2">
      <c r="A2" s="9">
        <v>43921.0</v>
      </c>
      <c r="B2" s="10" t="s">
        <v>11</v>
      </c>
      <c r="C2" s="17" t="s">
        <v>12</v>
      </c>
      <c r="D2" s="19" t="s">
        <v>24</v>
      </c>
      <c r="E2" s="20" t="s">
        <v>26</v>
      </c>
      <c r="F2" s="22" t="s">
        <v>27</v>
      </c>
      <c r="G2" s="22" t="s">
        <v>27</v>
      </c>
      <c r="H2" s="24" t="s">
        <v>28</v>
      </c>
      <c r="I2" s="24" t="s">
        <v>29</v>
      </c>
    </row>
    <row r="3">
      <c r="A3" s="9">
        <v>43921.0</v>
      </c>
      <c r="B3" s="28" t="s">
        <v>30</v>
      </c>
      <c r="C3" s="32" t="s">
        <v>36</v>
      </c>
      <c r="D3" s="34" t="s">
        <v>39</v>
      </c>
      <c r="E3" s="20" t="s">
        <v>42</v>
      </c>
      <c r="F3" s="37">
        <v>43999.0</v>
      </c>
      <c r="G3" s="37">
        <v>44003.0</v>
      </c>
      <c r="H3" s="38" t="s">
        <v>44</v>
      </c>
      <c r="I3" s="38" t="s">
        <v>46</v>
      </c>
    </row>
    <row r="4">
      <c r="A4" s="9">
        <v>43921.0</v>
      </c>
      <c r="B4" s="40" t="s">
        <v>47</v>
      </c>
      <c r="C4" s="55" t="s">
        <v>49</v>
      </c>
      <c r="D4" s="69" t="s">
        <v>58</v>
      </c>
      <c r="E4" s="20" t="s">
        <v>67</v>
      </c>
      <c r="F4" s="37">
        <v>43971.0</v>
      </c>
      <c r="G4" s="37">
        <v>43975.0</v>
      </c>
      <c r="H4" s="73" t="s">
        <v>68</v>
      </c>
      <c r="I4" s="73" t="s">
        <v>72</v>
      </c>
    </row>
    <row r="5">
      <c r="A5" s="9">
        <v>43920.0</v>
      </c>
      <c r="B5" s="77" t="s">
        <v>73</v>
      </c>
      <c r="C5" s="81" t="s">
        <v>74</v>
      </c>
      <c r="D5" s="84" t="s">
        <v>76</v>
      </c>
      <c r="E5" s="20" t="s">
        <v>78</v>
      </c>
      <c r="F5" s="37">
        <v>44005.0</v>
      </c>
      <c r="G5" s="37">
        <v>44011.0</v>
      </c>
      <c r="H5" s="85" t="s">
        <v>79</v>
      </c>
      <c r="I5" s="85" t="s">
        <v>80</v>
      </c>
    </row>
    <row r="6">
      <c r="A6" s="9">
        <v>43920.0</v>
      </c>
      <c r="B6" s="77" t="s">
        <v>81</v>
      </c>
      <c r="C6" s="81" t="s">
        <v>82</v>
      </c>
      <c r="D6" s="84" t="s">
        <v>83</v>
      </c>
      <c r="E6" s="20" t="s">
        <v>84</v>
      </c>
      <c r="F6" s="37">
        <v>43999.0</v>
      </c>
      <c r="G6" s="37">
        <v>44003.0</v>
      </c>
      <c r="H6" s="85" t="s">
        <v>85</v>
      </c>
      <c r="I6" s="85" t="s">
        <v>80</v>
      </c>
    </row>
    <row r="7">
      <c r="A7" s="9">
        <v>43920.0</v>
      </c>
      <c r="B7" s="87" t="s">
        <v>86</v>
      </c>
      <c r="C7" s="89" t="s">
        <v>87</v>
      </c>
      <c r="D7" s="91" t="str">
        <f>HYPERLINK("https://filmfreeway.com/OrlandoInternationalFilmFestival","https://filmfreeway.com/OrlandoInternationalFilmFestival")</f>
        <v>https://filmfreeway.com/OrlandoInternationalFilmFestival</v>
      </c>
      <c r="E7" s="93" t="s">
        <v>26</v>
      </c>
      <c r="F7" s="145">
        <v>43974.0</v>
      </c>
      <c r="G7" s="145">
        <v>43977.0</v>
      </c>
      <c r="H7" s="130" t="s">
        <v>116</v>
      </c>
      <c r="I7" s="130" t="s">
        <v>46</v>
      </c>
    </row>
    <row r="8">
      <c r="A8" s="9">
        <v>43920.0</v>
      </c>
      <c r="B8" s="40" t="s">
        <v>117</v>
      </c>
      <c r="C8" s="55" t="s">
        <v>118</v>
      </c>
      <c r="D8" s="69" t="s">
        <v>120</v>
      </c>
      <c r="E8" s="20" t="s">
        <v>121</v>
      </c>
      <c r="F8" s="37">
        <v>43944.0</v>
      </c>
      <c r="G8" s="37">
        <v>43947.0</v>
      </c>
      <c r="H8" s="73" t="s">
        <v>122</v>
      </c>
      <c r="I8" s="73" t="s">
        <v>72</v>
      </c>
    </row>
    <row r="9">
      <c r="A9" s="9">
        <v>43920.0</v>
      </c>
      <c r="B9" s="77" t="s">
        <v>123</v>
      </c>
      <c r="C9" s="151" t="s">
        <v>124</v>
      </c>
      <c r="D9" s="84" t="s">
        <v>128</v>
      </c>
      <c r="E9" s="20" t="s">
        <v>129</v>
      </c>
      <c r="F9" s="37">
        <v>43958.0</v>
      </c>
      <c r="G9" s="152">
        <v>43975.0</v>
      </c>
      <c r="H9" s="85" t="s">
        <v>131</v>
      </c>
      <c r="I9" s="85" t="s">
        <v>132</v>
      </c>
    </row>
    <row r="10">
      <c r="A10" s="9">
        <v>43920.0</v>
      </c>
      <c r="B10" s="153" t="s">
        <v>133</v>
      </c>
      <c r="C10" s="81" t="s">
        <v>134</v>
      </c>
      <c r="D10" s="158" t="s">
        <v>135</v>
      </c>
      <c r="E10" s="20" t="s">
        <v>137</v>
      </c>
      <c r="F10" s="37">
        <v>43943.0</v>
      </c>
      <c r="G10" s="37">
        <v>43947.0</v>
      </c>
      <c r="H10" s="73" t="s">
        <v>138</v>
      </c>
      <c r="I10" s="73" t="s">
        <v>139</v>
      </c>
    </row>
    <row r="11">
      <c r="A11" s="9">
        <v>43920.0</v>
      </c>
      <c r="B11" s="159" t="s">
        <v>140</v>
      </c>
      <c r="C11" s="166" t="s">
        <v>141</v>
      </c>
      <c r="D11" s="167" t="s">
        <v>145</v>
      </c>
      <c r="E11" s="168" t="s">
        <v>149</v>
      </c>
      <c r="F11" s="169">
        <v>43943.0</v>
      </c>
      <c r="G11" s="169">
        <v>43947.0</v>
      </c>
      <c r="H11" s="170" t="s">
        <v>153</v>
      </c>
      <c r="I11" s="170" t="s">
        <v>155</v>
      </c>
    </row>
    <row r="12">
      <c r="A12" s="9">
        <v>43916.0</v>
      </c>
      <c r="B12" s="40" t="s">
        <v>156</v>
      </c>
      <c r="C12" s="55" t="s">
        <v>157</v>
      </c>
      <c r="D12" s="69" t="s">
        <v>160</v>
      </c>
      <c r="E12" s="20" t="s">
        <v>164</v>
      </c>
      <c r="F12" s="37">
        <v>43940.0</v>
      </c>
      <c r="G12" s="37">
        <v>43940.0</v>
      </c>
      <c r="H12" s="174" t="s">
        <v>165</v>
      </c>
      <c r="I12" s="73" t="s">
        <v>102</v>
      </c>
    </row>
    <row r="13">
      <c r="A13" s="9">
        <v>43916.0</v>
      </c>
      <c r="B13" s="40" t="s">
        <v>166</v>
      </c>
      <c r="C13" s="55" t="s">
        <v>167</v>
      </c>
      <c r="D13" s="69" t="s">
        <v>169</v>
      </c>
      <c r="E13" s="20" t="s">
        <v>171</v>
      </c>
      <c r="F13" s="37">
        <v>43939.0</v>
      </c>
      <c r="G13" s="37">
        <v>43939.0</v>
      </c>
      <c r="H13" s="174" t="s">
        <v>172</v>
      </c>
      <c r="I13" s="73" t="s">
        <v>102</v>
      </c>
    </row>
    <row r="14">
      <c r="A14" s="9">
        <v>43916.0</v>
      </c>
      <c r="B14" s="40" t="s">
        <v>173</v>
      </c>
      <c r="C14" s="55" t="s">
        <v>174</v>
      </c>
      <c r="D14" s="69" t="s">
        <v>176</v>
      </c>
      <c r="E14" s="20" t="s">
        <v>177</v>
      </c>
      <c r="F14" s="37">
        <v>43931.0</v>
      </c>
      <c r="G14" s="37">
        <v>43932.0</v>
      </c>
      <c r="H14" s="73" t="s">
        <v>178</v>
      </c>
      <c r="I14" s="179" t="s">
        <v>179</v>
      </c>
    </row>
    <row r="15">
      <c r="A15" s="9">
        <v>43916.0</v>
      </c>
      <c r="B15" s="40" t="s">
        <v>182</v>
      </c>
      <c r="C15" s="55" t="s">
        <v>183</v>
      </c>
      <c r="D15" s="69" t="s">
        <v>184</v>
      </c>
      <c r="E15" s="20" t="s">
        <v>186</v>
      </c>
      <c r="F15" s="37">
        <v>43923.0</v>
      </c>
      <c r="G15" s="37">
        <v>43926.0</v>
      </c>
      <c r="H15" s="73" t="s">
        <v>187</v>
      </c>
      <c r="I15" s="73" t="s">
        <v>159</v>
      </c>
    </row>
    <row r="16">
      <c r="A16" s="9">
        <v>43916.0</v>
      </c>
      <c r="B16" s="183" t="s">
        <v>188</v>
      </c>
      <c r="C16" s="81" t="s">
        <v>189</v>
      </c>
      <c r="D16" s="185" t="s">
        <v>24</v>
      </c>
      <c r="E16" s="20" t="s">
        <v>78</v>
      </c>
      <c r="F16" s="37">
        <v>43924.0</v>
      </c>
      <c r="G16" s="37">
        <v>43925.0</v>
      </c>
      <c r="H16" s="85" t="s">
        <v>190</v>
      </c>
      <c r="I16" s="85" t="s">
        <v>139</v>
      </c>
    </row>
    <row r="17">
      <c r="A17" s="9">
        <v>43916.0</v>
      </c>
      <c r="B17" s="40" t="s">
        <v>191</v>
      </c>
      <c r="C17" s="55" t="s">
        <v>192</v>
      </c>
      <c r="D17" s="69" t="s">
        <v>193</v>
      </c>
      <c r="E17" s="20" t="s">
        <v>194</v>
      </c>
      <c r="F17" s="37">
        <v>43912.0</v>
      </c>
      <c r="G17" s="37">
        <v>43912.0</v>
      </c>
      <c r="H17" s="156" t="s">
        <v>196</v>
      </c>
      <c r="I17" s="179" t="s">
        <v>29</v>
      </c>
    </row>
    <row r="18">
      <c r="A18" s="9">
        <v>43916.0</v>
      </c>
      <c r="B18" s="40" t="s">
        <v>197</v>
      </c>
      <c r="C18" s="55" t="s">
        <v>198</v>
      </c>
      <c r="D18" s="69" t="s">
        <v>200</v>
      </c>
      <c r="E18" s="20" t="s">
        <v>201</v>
      </c>
      <c r="F18" s="37">
        <v>43912.0</v>
      </c>
      <c r="G18" s="37">
        <v>43912.0</v>
      </c>
      <c r="H18" s="156" t="s">
        <v>196</v>
      </c>
      <c r="I18" s="179" t="s">
        <v>29</v>
      </c>
    </row>
    <row r="19">
      <c r="A19" s="9">
        <v>43916.0</v>
      </c>
      <c r="B19" s="40" t="s">
        <v>202</v>
      </c>
      <c r="C19" s="55" t="s">
        <v>203</v>
      </c>
      <c r="D19" s="69" t="s">
        <v>205</v>
      </c>
      <c r="E19" s="20" t="s">
        <v>206</v>
      </c>
      <c r="F19" s="37">
        <v>43948.0</v>
      </c>
      <c r="G19" s="37">
        <v>43954.0</v>
      </c>
      <c r="H19" s="73" t="s">
        <v>122</v>
      </c>
      <c r="I19" s="73" t="s">
        <v>72</v>
      </c>
    </row>
    <row r="20">
      <c r="A20" s="9">
        <v>43916.0</v>
      </c>
      <c r="B20" s="40" t="s">
        <v>207</v>
      </c>
      <c r="C20" s="55" t="s">
        <v>208</v>
      </c>
      <c r="D20" s="69" t="s">
        <v>210</v>
      </c>
      <c r="E20" s="20" t="s">
        <v>26</v>
      </c>
      <c r="F20" s="37">
        <v>43944.0</v>
      </c>
      <c r="G20" s="37">
        <v>43954.0</v>
      </c>
      <c r="H20" s="73" t="s">
        <v>211</v>
      </c>
      <c r="I20" s="73" t="s">
        <v>212</v>
      </c>
    </row>
    <row r="21">
      <c r="A21" s="9">
        <v>43916.0</v>
      </c>
      <c r="B21" s="196" t="s">
        <v>213</v>
      </c>
      <c r="C21" s="55" t="s">
        <v>214</v>
      </c>
      <c r="D21" s="69" t="s">
        <v>218</v>
      </c>
      <c r="E21" s="20" t="s">
        <v>220</v>
      </c>
      <c r="F21" s="199">
        <v>43924.0</v>
      </c>
      <c r="G21" s="37">
        <v>43925.0</v>
      </c>
      <c r="H21" s="73" t="s">
        <v>153</v>
      </c>
      <c r="I21" s="73" t="s">
        <v>155</v>
      </c>
    </row>
    <row r="22">
      <c r="A22" s="9">
        <v>43913.0</v>
      </c>
      <c r="B22" s="202" t="s">
        <v>223</v>
      </c>
      <c r="C22" s="81" t="s">
        <v>224</v>
      </c>
      <c r="D22" s="84" t="s">
        <v>225</v>
      </c>
      <c r="E22" s="20" t="s">
        <v>229</v>
      </c>
      <c r="F22" s="199">
        <v>43992.0</v>
      </c>
      <c r="G22" s="37">
        <v>43996.0</v>
      </c>
      <c r="H22" s="85" t="s">
        <v>230</v>
      </c>
      <c r="I22" s="85" t="s">
        <v>231</v>
      </c>
    </row>
    <row r="23">
      <c r="A23" s="9">
        <v>43913.0</v>
      </c>
      <c r="B23" s="77" t="s">
        <v>232</v>
      </c>
      <c r="C23" s="206" t="s">
        <v>233</v>
      </c>
      <c r="D23" s="209" t="s">
        <v>236</v>
      </c>
      <c r="E23" s="211" t="s">
        <v>237</v>
      </c>
      <c r="F23" s="37">
        <v>43973.0</v>
      </c>
      <c r="G23" s="37">
        <v>43976.0</v>
      </c>
      <c r="H23" s="85" t="s">
        <v>238</v>
      </c>
      <c r="I23" s="85" t="s">
        <v>110</v>
      </c>
    </row>
    <row r="24">
      <c r="A24" s="9">
        <v>43913.0</v>
      </c>
      <c r="B24" s="40" t="s">
        <v>239</v>
      </c>
      <c r="C24" s="55" t="s">
        <v>240</v>
      </c>
      <c r="D24" s="69" t="s">
        <v>241</v>
      </c>
      <c r="E24" s="20" t="s">
        <v>26</v>
      </c>
      <c r="F24" s="37">
        <v>43958.0</v>
      </c>
      <c r="G24" s="37">
        <v>43961.0</v>
      </c>
      <c r="H24" s="174" t="s">
        <v>242</v>
      </c>
      <c r="I24" s="73" t="s">
        <v>102</v>
      </c>
    </row>
    <row r="25">
      <c r="A25" s="9">
        <v>43913.0</v>
      </c>
      <c r="B25" s="77" t="s">
        <v>243</v>
      </c>
      <c r="C25" s="81" t="s">
        <v>244</v>
      </c>
      <c r="D25" s="175" t="s">
        <v>246</v>
      </c>
      <c r="E25" s="20" t="s">
        <v>248</v>
      </c>
      <c r="F25" s="37">
        <v>43944.0</v>
      </c>
      <c r="G25" s="37">
        <v>43947.0</v>
      </c>
      <c r="H25" s="85" t="s">
        <v>250</v>
      </c>
      <c r="I25" s="85" t="s">
        <v>251</v>
      </c>
    </row>
    <row r="26">
      <c r="A26" s="9">
        <v>43913.0</v>
      </c>
      <c r="B26" s="216" t="s">
        <v>252</v>
      </c>
      <c r="C26" s="89" t="s">
        <v>253</v>
      </c>
      <c r="D26" s="91" t="str">
        <f>HYPERLINK("https://filmfreeway.com/ItalianFilmFestivalUSA","https://filmfreeway.com/ItalianFilmFestivalUSA")</f>
        <v>https://filmfreeway.com/ItalianFilmFestivalUSA</v>
      </c>
      <c r="E26" s="93" t="s">
        <v>78</v>
      </c>
      <c r="F26" s="145">
        <v>43922.0</v>
      </c>
      <c r="G26" s="145">
        <v>43951.0</v>
      </c>
      <c r="H26" s="130" t="s">
        <v>255</v>
      </c>
      <c r="I26" s="130" t="s">
        <v>256</v>
      </c>
    </row>
    <row r="27">
      <c r="A27" s="9">
        <v>43913.0</v>
      </c>
      <c r="B27" s="40" t="s">
        <v>257</v>
      </c>
      <c r="C27" s="55" t="s">
        <v>258</v>
      </c>
      <c r="D27" s="69" t="s">
        <v>262</v>
      </c>
      <c r="E27" s="20" t="s">
        <v>264</v>
      </c>
      <c r="F27" s="37">
        <v>43945.0</v>
      </c>
      <c r="G27" s="37">
        <v>43947.0</v>
      </c>
      <c r="H27" s="73" t="s">
        <v>265</v>
      </c>
      <c r="I27" s="73" t="s">
        <v>155</v>
      </c>
    </row>
    <row r="28">
      <c r="A28" s="9">
        <v>43913.0</v>
      </c>
      <c r="B28" s="40" t="s">
        <v>266</v>
      </c>
      <c r="C28" s="55" t="s">
        <v>267</v>
      </c>
      <c r="D28" s="219" t="s">
        <v>269</v>
      </c>
      <c r="E28" s="20" t="s">
        <v>78</v>
      </c>
      <c r="F28" s="37">
        <v>43945.0</v>
      </c>
      <c r="G28" s="37">
        <v>43947.0</v>
      </c>
      <c r="H28" s="73" t="s">
        <v>271</v>
      </c>
      <c r="I28" s="220" t="s">
        <v>272</v>
      </c>
    </row>
    <row r="29">
      <c r="A29" s="9">
        <v>43913.0</v>
      </c>
      <c r="B29" s="10" t="s">
        <v>273</v>
      </c>
      <c r="C29" s="17" t="s">
        <v>275</v>
      </c>
      <c r="D29" s="175" t="s">
        <v>278</v>
      </c>
      <c r="E29" s="222" t="s">
        <v>280</v>
      </c>
      <c r="F29" s="113">
        <v>43942.0</v>
      </c>
      <c r="G29" s="113">
        <v>43947.0</v>
      </c>
      <c r="H29" s="24" t="s">
        <v>282</v>
      </c>
      <c r="I29" s="24" t="s">
        <v>283</v>
      </c>
    </row>
    <row r="30">
      <c r="A30" s="9">
        <v>43913.0</v>
      </c>
      <c r="B30" s="77" t="s">
        <v>284</v>
      </c>
      <c r="C30" s="81" t="s">
        <v>287</v>
      </c>
      <c r="D30" s="84" t="s">
        <v>289</v>
      </c>
      <c r="E30" s="20" t="s">
        <v>292</v>
      </c>
      <c r="F30" s="37">
        <v>43936.0</v>
      </c>
      <c r="G30" s="37">
        <v>43947.0</v>
      </c>
      <c r="H30" s="85" t="s">
        <v>293</v>
      </c>
      <c r="I30" s="85" t="s">
        <v>179</v>
      </c>
    </row>
    <row r="31">
      <c r="A31" s="9">
        <v>43913.0</v>
      </c>
      <c r="B31" s="40" t="s">
        <v>294</v>
      </c>
      <c r="C31" s="55" t="s">
        <v>295</v>
      </c>
      <c r="D31" s="69" t="s">
        <v>299</v>
      </c>
      <c r="E31" s="20" t="s">
        <v>301</v>
      </c>
      <c r="F31" s="37">
        <v>43946.0</v>
      </c>
      <c r="G31" s="37">
        <v>43946.0</v>
      </c>
      <c r="H31" s="174" t="s">
        <v>302</v>
      </c>
      <c r="I31" s="73" t="s">
        <v>303</v>
      </c>
    </row>
    <row r="32">
      <c r="A32" s="9">
        <v>43913.0</v>
      </c>
      <c r="B32" s="40" t="s">
        <v>304</v>
      </c>
      <c r="C32" s="55" t="s">
        <v>305</v>
      </c>
      <c r="D32" s="69" t="s">
        <v>308</v>
      </c>
      <c r="E32" s="20" t="s">
        <v>309</v>
      </c>
      <c r="F32" s="37">
        <v>43938.0</v>
      </c>
      <c r="G32" s="37">
        <v>43944.0</v>
      </c>
      <c r="H32" s="73" t="s">
        <v>310</v>
      </c>
      <c r="I32" s="179" t="s">
        <v>72</v>
      </c>
    </row>
    <row r="33">
      <c r="A33" s="9">
        <v>43910.0</v>
      </c>
      <c r="B33" s="40" t="s">
        <v>311</v>
      </c>
      <c r="C33" s="55" t="s">
        <v>312</v>
      </c>
      <c r="D33" s="69" t="s">
        <v>315</v>
      </c>
      <c r="E33" s="20" t="s">
        <v>316</v>
      </c>
      <c r="F33" s="37">
        <v>43969.0</v>
      </c>
      <c r="G33" s="37">
        <v>43975.0</v>
      </c>
      <c r="H33" s="73" t="s">
        <v>317</v>
      </c>
      <c r="I33" s="73" t="s">
        <v>19</v>
      </c>
    </row>
    <row r="34">
      <c r="A34" s="9">
        <v>43909.0</v>
      </c>
      <c r="B34" s="77" t="s">
        <v>318</v>
      </c>
      <c r="C34" s="81" t="s">
        <v>319</v>
      </c>
      <c r="D34" s="84" t="s">
        <v>320</v>
      </c>
      <c r="E34" s="20" t="s">
        <v>321</v>
      </c>
      <c r="F34" s="37">
        <v>43951.0</v>
      </c>
      <c r="G34" s="37">
        <v>43961.0</v>
      </c>
      <c r="H34" s="85" t="s">
        <v>322</v>
      </c>
      <c r="I34" s="85" t="s">
        <v>19</v>
      </c>
    </row>
    <row r="35">
      <c r="A35" s="9">
        <v>43909.0</v>
      </c>
      <c r="B35" s="216" t="s">
        <v>323</v>
      </c>
      <c r="C35" s="89" t="s">
        <v>324</v>
      </c>
      <c r="D35" s="91" t="str">
        <f>HYPERLINK("https://filmfreeway.com/ReelWorkLaborFilmFestival","https://filmfreeway.com/ReelWorkLaborFilmFestival")</f>
        <v>https://filmfreeway.com/ReelWorkLaborFilmFestival</v>
      </c>
      <c r="E35" s="93" t="s">
        <v>329</v>
      </c>
      <c r="F35" s="145">
        <v>43945.0</v>
      </c>
      <c r="G35" s="145">
        <v>43954.0</v>
      </c>
      <c r="H35" s="130" t="s">
        <v>330</v>
      </c>
      <c r="I35" s="130" t="s">
        <v>72</v>
      </c>
    </row>
    <row r="36">
      <c r="A36" s="9">
        <v>43909.0</v>
      </c>
      <c r="B36" s="77" t="s">
        <v>331</v>
      </c>
      <c r="C36" s="81" t="s">
        <v>333</v>
      </c>
      <c r="D36" s="84" t="s">
        <v>334</v>
      </c>
      <c r="E36" s="20" t="s">
        <v>337</v>
      </c>
      <c r="F36" s="37">
        <v>43951.0</v>
      </c>
      <c r="G36" s="37">
        <v>43954.0</v>
      </c>
      <c r="H36" s="85" t="s">
        <v>338</v>
      </c>
      <c r="I36" s="85" t="s">
        <v>339</v>
      </c>
    </row>
    <row r="37">
      <c r="A37" s="9">
        <v>43909.0</v>
      </c>
      <c r="B37" s="77" t="s">
        <v>340</v>
      </c>
      <c r="C37" s="81" t="s">
        <v>342</v>
      </c>
      <c r="D37" s="84" t="s">
        <v>343</v>
      </c>
      <c r="E37" s="20" t="s">
        <v>348</v>
      </c>
      <c r="F37" s="37">
        <v>43944.0</v>
      </c>
      <c r="G37" s="37">
        <v>43947.0</v>
      </c>
      <c r="H37" s="85" t="s">
        <v>349</v>
      </c>
      <c r="I37" s="85" t="s">
        <v>350</v>
      </c>
    </row>
    <row r="38">
      <c r="A38" s="9">
        <v>43909.0</v>
      </c>
      <c r="B38" s="77" t="s">
        <v>351</v>
      </c>
      <c r="C38" s="81" t="s">
        <v>353</v>
      </c>
      <c r="D38" s="84" t="s">
        <v>355</v>
      </c>
      <c r="E38" s="20" t="s">
        <v>359</v>
      </c>
      <c r="F38" s="37">
        <v>43944.0</v>
      </c>
      <c r="G38" s="37">
        <v>43958.0</v>
      </c>
      <c r="H38" s="85" t="s">
        <v>196</v>
      </c>
      <c r="I38" s="85" t="s">
        <v>29</v>
      </c>
    </row>
    <row r="39">
      <c r="A39" s="9">
        <v>43909.0</v>
      </c>
      <c r="B39" s="40" t="s">
        <v>360</v>
      </c>
      <c r="C39" s="55" t="s">
        <v>361</v>
      </c>
      <c r="D39" s="69" t="s">
        <v>365</v>
      </c>
      <c r="E39" s="20" t="s">
        <v>367</v>
      </c>
      <c r="F39" s="37">
        <v>43944.0</v>
      </c>
      <c r="G39" s="37">
        <v>43947.0</v>
      </c>
      <c r="H39" s="73" t="s">
        <v>368</v>
      </c>
      <c r="I39" s="73" t="s">
        <v>148</v>
      </c>
    </row>
    <row r="40">
      <c r="A40" s="9">
        <v>43909.0</v>
      </c>
      <c r="B40" s="40" t="s">
        <v>369</v>
      </c>
      <c r="C40" s="55" t="s">
        <v>370</v>
      </c>
      <c r="D40" s="244" t="s">
        <v>373</v>
      </c>
      <c r="E40" s="245" t="s">
        <v>377</v>
      </c>
      <c r="F40" s="37">
        <v>43940.0</v>
      </c>
      <c r="G40" s="37">
        <v>43940.0</v>
      </c>
      <c r="H40" s="73" t="s">
        <v>378</v>
      </c>
      <c r="I40" s="179" t="s">
        <v>379</v>
      </c>
    </row>
    <row r="41">
      <c r="A41" s="9">
        <v>43909.0</v>
      </c>
      <c r="B41" s="40" t="s">
        <v>380</v>
      </c>
      <c r="C41" s="55" t="s">
        <v>381</v>
      </c>
      <c r="D41" s="175" t="s">
        <v>384</v>
      </c>
      <c r="E41" s="20" t="s">
        <v>386</v>
      </c>
      <c r="F41" s="37">
        <v>43938.0</v>
      </c>
      <c r="G41" s="37">
        <v>43947.0</v>
      </c>
      <c r="H41" s="174" t="s">
        <v>387</v>
      </c>
      <c r="I41" s="179" t="s">
        <v>102</v>
      </c>
    </row>
    <row r="42">
      <c r="A42" s="9">
        <v>43909.0</v>
      </c>
      <c r="B42" s="10" t="s">
        <v>388</v>
      </c>
      <c r="C42" s="17" t="s">
        <v>389</v>
      </c>
      <c r="D42" s="111" t="s">
        <v>391</v>
      </c>
      <c r="E42" s="222" t="s">
        <v>394</v>
      </c>
      <c r="F42" s="113">
        <v>43938.0</v>
      </c>
      <c r="G42" s="113">
        <v>43939.0</v>
      </c>
      <c r="H42" s="24" t="s">
        <v>395</v>
      </c>
      <c r="I42" s="24" t="s">
        <v>80</v>
      </c>
    </row>
    <row r="43">
      <c r="A43" s="9">
        <v>43909.0</v>
      </c>
      <c r="B43" s="77" t="s">
        <v>396</v>
      </c>
      <c r="C43" s="81" t="s">
        <v>398</v>
      </c>
      <c r="D43" s="84" t="s">
        <v>400</v>
      </c>
      <c r="E43" s="20" t="s">
        <v>78</v>
      </c>
      <c r="F43" s="37">
        <v>43937.0</v>
      </c>
      <c r="G43" s="37">
        <v>43939.0</v>
      </c>
      <c r="H43" s="85" t="s">
        <v>404</v>
      </c>
      <c r="I43" s="85" t="s">
        <v>405</v>
      </c>
    </row>
    <row r="44">
      <c r="A44" s="9">
        <v>43909.0</v>
      </c>
      <c r="B44" s="159" t="s">
        <v>406</v>
      </c>
      <c r="C44" s="166" t="s">
        <v>407</v>
      </c>
      <c r="D44" s="175" t="s">
        <v>408</v>
      </c>
      <c r="E44" s="168" t="s">
        <v>410</v>
      </c>
      <c r="F44" s="169">
        <v>43934.0</v>
      </c>
      <c r="G44" s="169">
        <v>43940.0</v>
      </c>
      <c r="H44" s="170" t="s">
        <v>411</v>
      </c>
      <c r="I44" s="170" t="s">
        <v>412</v>
      </c>
    </row>
    <row r="45">
      <c r="A45" s="9">
        <v>43909.0</v>
      </c>
      <c r="B45" s="216" t="s">
        <v>413</v>
      </c>
      <c r="C45" s="89" t="s">
        <v>414</v>
      </c>
      <c r="D45" s="91" t="str">
        <f>HYPERLINK("https://filmfreeway.com/DeafRochesterFilmFestival","https://filmfreeway.com/DeafRochesterFilmFestival")</f>
        <v>https://filmfreeway.com/DeafRochesterFilmFestival</v>
      </c>
      <c r="E45" s="93" t="s">
        <v>78</v>
      </c>
      <c r="F45" s="145">
        <v>43935.0</v>
      </c>
      <c r="G45" s="145">
        <v>43939.0</v>
      </c>
      <c r="H45" s="130" t="s">
        <v>419</v>
      </c>
      <c r="I45" s="130" t="s">
        <v>29</v>
      </c>
    </row>
    <row r="46">
      <c r="A46" s="9">
        <v>43909.0</v>
      </c>
      <c r="B46" s="40" t="s">
        <v>420</v>
      </c>
      <c r="C46" s="234" t="s">
        <v>421</v>
      </c>
      <c r="D46" s="235" t="s">
        <v>424</v>
      </c>
      <c r="E46" s="20" t="s">
        <v>78</v>
      </c>
      <c r="F46" s="37">
        <v>43935.0</v>
      </c>
      <c r="G46" s="37">
        <v>43939.0</v>
      </c>
      <c r="H46" s="73" t="s">
        <v>429</v>
      </c>
      <c r="I46" s="179" t="s">
        <v>430</v>
      </c>
    </row>
    <row r="47">
      <c r="A47" s="9">
        <v>43909.0</v>
      </c>
      <c r="B47" s="40" t="s">
        <v>431</v>
      </c>
      <c r="C47" s="55" t="s">
        <v>432</v>
      </c>
      <c r="D47" s="69" t="s">
        <v>434</v>
      </c>
      <c r="E47" s="20" t="s">
        <v>439</v>
      </c>
      <c r="F47" s="37">
        <v>43935.0</v>
      </c>
      <c r="G47" s="37">
        <v>43937.0</v>
      </c>
      <c r="H47" s="73" t="s">
        <v>440</v>
      </c>
      <c r="I47" s="179" t="s">
        <v>231</v>
      </c>
    </row>
    <row r="48">
      <c r="A48" s="9">
        <v>43909.0</v>
      </c>
      <c r="B48" s="77" t="s">
        <v>441</v>
      </c>
      <c r="C48" s="81" t="s">
        <v>443</v>
      </c>
      <c r="D48" s="84" t="s">
        <v>445</v>
      </c>
      <c r="E48" s="20" t="s">
        <v>26</v>
      </c>
      <c r="F48" s="37">
        <v>43937.0</v>
      </c>
      <c r="G48" s="37">
        <v>43942.0</v>
      </c>
      <c r="H48" s="85" t="s">
        <v>447</v>
      </c>
      <c r="I48" s="85" t="s">
        <v>80</v>
      </c>
    </row>
    <row r="49">
      <c r="A49" s="9">
        <v>43909.0</v>
      </c>
      <c r="B49" s="40" t="s">
        <v>448</v>
      </c>
      <c r="C49" s="55" t="s">
        <v>449</v>
      </c>
      <c r="D49" s="69" t="s">
        <v>450</v>
      </c>
      <c r="E49" s="20" t="s">
        <v>454</v>
      </c>
      <c r="F49" s="37">
        <v>43937.0</v>
      </c>
      <c r="G49" s="37">
        <v>43940.0</v>
      </c>
      <c r="H49" s="174" t="s">
        <v>455</v>
      </c>
      <c r="I49" s="73" t="s">
        <v>303</v>
      </c>
    </row>
    <row r="50">
      <c r="A50" s="9">
        <v>43909.0</v>
      </c>
      <c r="B50" s="77" t="s">
        <v>457</v>
      </c>
      <c r="C50" s="250" t="s">
        <v>461</v>
      </c>
      <c r="D50" s="84" t="s">
        <v>463</v>
      </c>
      <c r="E50" s="20" t="s">
        <v>464</v>
      </c>
      <c r="F50" s="37">
        <v>43937.0</v>
      </c>
      <c r="G50" s="113">
        <v>43944.0</v>
      </c>
      <c r="H50" s="85" t="s">
        <v>268</v>
      </c>
      <c r="I50" s="85" t="s">
        <v>102</v>
      </c>
    </row>
    <row r="51">
      <c r="A51" s="9">
        <v>43909.0</v>
      </c>
      <c r="B51" s="40" t="s">
        <v>465</v>
      </c>
      <c r="C51" s="55" t="s">
        <v>466</v>
      </c>
      <c r="D51" s="69" t="s">
        <v>467</v>
      </c>
      <c r="E51" s="20" t="s">
        <v>470</v>
      </c>
      <c r="F51" s="37">
        <v>43902.0</v>
      </c>
      <c r="G51" s="37">
        <v>43909.0</v>
      </c>
      <c r="H51" s="73" t="s">
        <v>471</v>
      </c>
      <c r="I51" s="73" t="s">
        <v>72</v>
      </c>
    </row>
    <row r="52">
      <c r="A52" s="9">
        <v>43909.0</v>
      </c>
      <c r="B52" s="77" t="s">
        <v>472</v>
      </c>
      <c r="C52" s="81" t="s">
        <v>474</v>
      </c>
      <c r="D52" s="84" t="s">
        <v>476</v>
      </c>
      <c r="E52" s="20" t="s">
        <v>26</v>
      </c>
      <c r="F52" s="37">
        <v>43965.0</v>
      </c>
      <c r="G52" s="37">
        <v>43989.0</v>
      </c>
      <c r="H52" s="85" t="s">
        <v>250</v>
      </c>
      <c r="I52" s="85" t="s">
        <v>251</v>
      </c>
    </row>
    <row r="53">
      <c r="A53" s="9">
        <v>43908.0</v>
      </c>
      <c r="B53" s="159" t="s">
        <v>478</v>
      </c>
      <c r="C53" s="166" t="s">
        <v>479</v>
      </c>
      <c r="D53" s="167" t="s">
        <v>481</v>
      </c>
      <c r="E53" s="168" t="s">
        <v>482</v>
      </c>
      <c r="F53" s="169">
        <v>43924.0</v>
      </c>
      <c r="G53" s="169">
        <v>43925.0</v>
      </c>
      <c r="H53" s="170" t="s">
        <v>483</v>
      </c>
      <c r="I53" s="170" t="s">
        <v>484</v>
      </c>
    </row>
    <row r="54">
      <c r="A54" s="9">
        <v>43908.0</v>
      </c>
      <c r="B54" s="153" t="s">
        <v>485</v>
      </c>
      <c r="C54" s="81" t="s">
        <v>486</v>
      </c>
      <c r="D54" s="158" t="s">
        <v>487</v>
      </c>
      <c r="E54" s="20" t="s">
        <v>26</v>
      </c>
      <c r="F54" s="37">
        <v>43916.0</v>
      </c>
      <c r="G54" s="37">
        <v>43919.0</v>
      </c>
      <c r="H54" s="73" t="s">
        <v>488</v>
      </c>
      <c r="I54" s="73" t="s">
        <v>489</v>
      </c>
    </row>
    <row r="55">
      <c r="A55" s="9">
        <v>43908.0</v>
      </c>
      <c r="B55" s="77" t="s">
        <v>490</v>
      </c>
      <c r="C55" s="81" t="s">
        <v>491</v>
      </c>
      <c r="D55" s="84" t="s">
        <v>492</v>
      </c>
      <c r="E55" s="20" t="s">
        <v>493</v>
      </c>
      <c r="F55" s="37">
        <v>43918.0</v>
      </c>
      <c r="G55" s="37">
        <v>43918.0</v>
      </c>
      <c r="H55" s="174" t="s">
        <v>250</v>
      </c>
      <c r="I55" s="85" t="s">
        <v>251</v>
      </c>
    </row>
    <row r="56">
      <c r="A56" s="9">
        <v>43908.0</v>
      </c>
      <c r="B56" s="40" t="s">
        <v>494</v>
      </c>
      <c r="C56" s="55" t="s">
        <v>495</v>
      </c>
      <c r="D56" s="69" t="s">
        <v>499</v>
      </c>
      <c r="E56" s="20" t="s">
        <v>500</v>
      </c>
      <c r="F56" s="37">
        <v>43917.0</v>
      </c>
      <c r="G56" s="37">
        <v>43918.0</v>
      </c>
      <c r="H56" s="73" t="s">
        <v>502</v>
      </c>
      <c r="I56" s="73" t="s">
        <v>379</v>
      </c>
    </row>
    <row r="57">
      <c r="A57" s="9">
        <v>43908.0</v>
      </c>
      <c r="B57" s="77" t="s">
        <v>503</v>
      </c>
      <c r="C57" s="81" t="s">
        <v>504</v>
      </c>
      <c r="D57" s="84" t="s">
        <v>507</v>
      </c>
      <c r="E57" s="20" t="s">
        <v>508</v>
      </c>
      <c r="F57" s="37">
        <v>43966.0</v>
      </c>
      <c r="G57" s="37">
        <v>43968.0</v>
      </c>
      <c r="H57" s="85" t="s">
        <v>509</v>
      </c>
      <c r="I57" s="85" t="s">
        <v>251</v>
      </c>
    </row>
    <row r="58">
      <c r="A58" s="9">
        <v>43908.0</v>
      </c>
      <c r="B58" s="77" t="s">
        <v>510</v>
      </c>
      <c r="C58" s="81" t="s">
        <v>512</v>
      </c>
      <c r="D58" s="84" t="s">
        <v>513</v>
      </c>
      <c r="E58" s="20" t="s">
        <v>516</v>
      </c>
      <c r="F58" s="37">
        <v>43961.0</v>
      </c>
      <c r="G58" s="37">
        <v>43968.0</v>
      </c>
      <c r="H58" s="85" t="s">
        <v>196</v>
      </c>
      <c r="I58" s="85" t="s">
        <v>29</v>
      </c>
    </row>
    <row r="59">
      <c r="A59" s="9">
        <v>43908.0</v>
      </c>
      <c r="B59" s="77" t="s">
        <v>517</v>
      </c>
      <c r="C59" s="81" t="s">
        <v>518</v>
      </c>
      <c r="D59" s="273" t="s">
        <v>520</v>
      </c>
      <c r="E59" s="20" t="s">
        <v>527</v>
      </c>
      <c r="F59" s="37">
        <v>43979.0</v>
      </c>
      <c r="G59" s="37">
        <v>43982.0</v>
      </c>
      <c r="H59" s="85" t="s">
        <v>528</v>
      </c>
      <c r="I59" s="85" t="s">
        <v>80</v>
      </c>
    </row>
    <row r="60">
      <c r="A60" s="9">
        <v>43908.0</v>
      </c>
      <c r="B60" s="10" t="s">
        <v>529</v>
      </c>
      <c r="C60" s="17" t="s">
        <v>530</v>
      </c>
      <c r="D60" s="111" t="s">
        <v>532</v>
      </c>
      <c r="E60" s="222" t="s">
        <v>534</v>
      </c>
      <c r="F60" s="113">
        <v>43917.0</v>
      </c>
      <c r="G60" s="113">
        <v>43919.0</v>
      </c>
      <c r="H60" s="24" t="s">
        <v>536</v>
      </c>
      <c r="I60" s="24" t="s">
        <v>537</v>
      </c>
    </row>
    <row r="61">
      <c r="A61" s="9">
        <v>43908.0</v>
      </c>
      <c r="B61" s="40" t="s">
        <v>539</v>
      </c>
      <c r="C61" s="55" t="s">
        <v>540</v>
      </c>
      <c r="D61" s="69" t="s">
        <v>542</v>
      </c>
      <c r="E61" s="20" t="s">
        <v>544</v>
      </c>
      <c r="F61" s="37">
        <v>43901.0</v>
      </c>
      <c r="G61" s="37">
        <v>43909.0</v>
      </c>
      <c r="H61" s="73" t="s">
        <v>545</v>
      </c>
      <c r="I61" s="179" t="s">
        <v>72</v>
      </c>
    </row>
    <row r="62">
      <c r="A62" s="9">
        <v>43907.0</v>
      </c>
      <c r="B62" s="10" t="s">
        <v>546</v>
      </c>
      <c r="C62" s="274" t="s">
        <v>547</v>
      </c>
      <c r="D62" s="111" t="s">
        <v>549</v>
      </c>
      <c r="E62" s="20" t="s">
        <v>78</v>
      </c>
      <c r="F62" s="22" t="s">
        <v>27</v>
      </c>
      <c r="G62" s="22" t="s">
        <v>27</v>
      </c>
      <c r="H62" s="24" t="s">
        <v>221</v>
      </c>
      <c r="I62" s="24" t="s">
        <v>72</v>
      </c>
    </row>
    <row r="63">
      <c r="A63" s="9">
        <v>43907.0</v>
      </c>
      <c r="B63" s="183" t="s">
        <v>554</v>
      </c>
      <c r="C63" s="81" t="s">
        <v>555</v>
      </c>
      <c r="D63" s="84" t="s">
        <v>557</v>
      </c>
      <c r="E63" s="20" t="s">
        <v>559</v>
      </c>
      <c r="F63" s="37">
        <v>43951.0</v>
      </c>
      <c r="G63" s="37">
        <v>43961.0</v>
      </c>
      <c r="H63" s="85" t="s">
        <v>560</v>
      </c>
      <c r="I63" s="85" t="s">
        <v>561</v>
      </c>
    </row>
    <row r="64">
      <c r="A64" s="9">
        <v>43907.0</v>
      </c>
      <c r="B64" s="153" t="s">
        <v>562</v>
      </c>
      <c r="C64" s="81" t="s">
        <v>563</v>
      </c>
      <c r="D64" s="34" t="s">
        <v>566</v>
      </c>
      <c r="E64" s="20" t="s">
        <v>78</v>
      </c>
      <c r="F64" s="37">
        <v>43938.0</v>
      </c>
      <c r="G64" s="37">
        <v>43947.0</v>
      </c>
      <c r="H64" s="73" t="s">
        <v>568</v>
      </c>
      <c r="I64" s="73" t="s">
        <v>46</v>
      </c>
    </row>
    <row r="65">
      <c r="A65" s="9">
        <v>43907.0</v>
      </c>
      <c r="B65" s="77" t="s">
        <v>569</v>
      </c>
      <c r="C65" s="81" t="s">
        <v>570</v>
      </c>
      <c r="D65" s="84" t="s">
        <v>574</v>
      </c>
      <c r="E65" s="20" t="s">
        <v>577</v>
      </c>
      <c r="F65" s="37">
        <v>43944.0</v>
      </c>
      <c r="G65" s="37">
        <v>43951.0</v>
      </c>
      <c r="H65" s="85" t="s">
        <v>578</v>
      </c>
      <c r="I65" s="85" t="s">
        <v>72</v>
      </c>
    </row>
    <row r="66">
      <c r="A66" s="9">
        <v>43906.0</v>
      </c>
      <c r="B66" s="128" t="s">
        <v>579</v>
      </c>
      <c r="C66" s="278" t="s">
        <v>580</v>
      </c>
      <c r="D66" s="280" t="s">
        <v>584</v>
      </c>
      <c r="E66" s="93" t="s">
        <v>186</v>
      </c>
      <c r="F66" s="282">
        <v>43937.0</v>
      </c>
      <c r="G66" s="282">
        <v>43940.0</v>
      </c>
      <c r="H66" s="130" t="s">
        <v>349</v>
      </c>
      <c r="I66" s="130" t="s">
        <v>350</v>
      </c>
    </row>
    <row r="67">
      <c r="A67" s="9">
        <v>43906.0</v>
      </c>
      <c r="B67" s="77" t="s">
        <v>590</v>
      </c>
      <c r="C67" s="81" t="s">
        <v>592</v>
      </c>
      <c r="D67" s="175" t="s">
        <v>596</v>
      </c>
      <c r="E67" s="20" t="s">
        <v>78</v>
      </c>
      <c r="F67" s="37">
        <v>43948.0</v>
      </c>
      <c r="G67" s="37">
        <v>43954.0</v>
      </c>
      <c r="H67" s="85" t="s">
        <v>196</v>
      </c>
      <c r="I67" s="85" t="s">
        <v>29</v>
      </c>
    </row>
    <row r="68">
      <c r="A68" s="9">
        <v>43906.0</v>
      </c>
      <c r="B68" s="77" t="s">
        <v>597</v>
      </c>
      <c r="C68" s="81" t="s">
        <v>598</v>
      </c>
      <c r="D68" s="84" t="str">
        <f>HYPERLINK("https://www.bhffnyc.org/submit-your-film-1?mc_cid=d8ad601429&amp;mc_eid=16ff1e0972","https://www.bhffnyc.org/submit-your-film-1?mc_cid=d8ad601429&amp;mc_eid=16ff1e0972")</f>
        <v>https://www.bhffnyc.org/submit-your-film-1?mc_cid=d8ad601429&amp;mc_eid=16ff1e0972</v>
      </c>
      <c r="E68" s="20" t="s">
        <v>599</v>
      </c>
      <c r="F68" s="37">
        <v>43929.0</v>
      </c>
      <c r="G68" s="37">
        <v>43932.0</v>
      </c>
      <c r="H68" s="85" t="s">
        <v>196</v>
      </c>
      <c r="I68" s="85" t="s">
        <v>29</v>
      </c>
    </row>
    <row r="69">
      <c r="A69" s="9">
        <v>43905.0</v>
      </c>
      <c r="B69" s="40" t="s">
        <v>600</v>
      </c>
      <c r="C69" s="55" t="s">
        <v>601</v>
      </c>
      <c r="D69" s="69" t="s">
        <v>605</v>
      </c>
      <c r="E69" s="20" t="s">
        <v>607</v>
      </c>
      <c r="F69" s="37">
        <v>43936.0</v>
      </c>
      <c r="G69" s="37">
        <v>43940.0</v>
      </c>
      <c r="H69" s="73" t="s">
        <v>608</v>
      </c>
      <c r="I69" s="179" t="s">
        <v>46</v>
      </c>
    </row>
    <row r="70">
      <c r="A70" s="9">
        <v>43905.0</v>
      </c>
      <c r="B70" s="256" t="s">
        <v>609</v>
      </c>
      <c r="C70" s="258" t="s">
        <v>610</v>
      </c>
      <c r="D70" s="259" t="s">
        <v>612</v>
      </c>
      <c r="E70" s="93" t="s">
        <v>614</v>
      </c>
      <c r="F70" s="286">
        <v>43937.0</v>
      </c>
      <c r="G70" s="286">
        <v>43939.0</v>
      </c>
      <c r="H70" s="254" t="s">
        <v>447</v>
      </c>
      <c r="I70" s="254" t="s">
        <v>80</v>
      </c>
    </row>
    <row r="71">
      <c r="A71" s="9">
        <v>43905.0</v>
      </c>
      <c r="B71" s="40" t="s">
        <v>615</v>
      </c>
      <c r="C71" s="55" t="s">
        <v>616</v>
      </c>
      <c r="D71" s="69" t="s">
        <v>619</v>
      </c>
      <c r="E71" s="20" t="s">
        <v>620</v>
      </c>
      <c r="F71" s="37">
        <v>43910.0</v>
      </c>
      <c r="G71" s="37">
        <v>43912.0</v>
      </c>
      <c r="H71" s="73" t="s">
        <v>621</v>
      </c>
      <c r="I71" s="73" t="s">
        <v>622</v>
      </c>
    </row>
    <row r="72">
      <c r="A72" s="9">
        <v>43905.0</v>
      </c>
      <c r="B72" s="40" t="s">
        <v>623</v>
      </c>
      <c r="C72" s="55" t="s">
        <v>624</v>
      </c>
      <c r="D72" s="289" t="s">
        <v>24</v>
      </c>
      <c r="E72" s="20" t="s">
        <v>26</v>
      </c>
      <c r="F72" s="37">
        <v>43911.0</v>
      </c>
      <c r="G72" s="37">
        <v>43922.0</v>
      </c>
      <c r="H72" s="174" t="s">
        <v>387</v>
      </c>
      <c r="I72" s="290" t="s">
        <v>102</v>
      </c>
    </row>
    <row r="73">
      <c r="A73" s="9">
        <v>43905.0</v>
      </c>
      <c r="B73" s="77" t="s">
        <v>631</v>
      </c>
      <c r="C73" s="81" t="s">
        <v>633</v>
      </c>
      <c r="D73" s="84" t="s">
        <v>637</v>
      </c>
      <c r="E73" s="20" t="s">
        <v>78</v>
      </c>
      <c r="F73" s="37">
        <v>43916.0</v>
      </c>
      <c r="G73" s="37">
        <v>43926.0</v>
      </c>
      <c r="H73" s="85" t="s">
        <v>556</v>
      </c>
      <c r="I73" s="85" t="s">
        <v>179</v>
      </c>
    </row>
    <row r="74">
      <c r="A74" s="9">
        <v>43905.0</v>
      </c>
      <c r="B74" s="77" t="s">
        <v>639</v>
      </c>
      <c r="C74" s="81" t="s">
        <v>640</v>
      </c>
      <c r="D74" s="84" t="s">
        <v>644</v>
      </c>
      <c r="E74" s="20" t="s">
        <v>78</v>
      </c>
      <c r="F74" s="37">
        <v>43916.0</v>
      </c>
      <c r="G74" s="37">
        <v>43926.0</v>
      </c>
      <c r="H74" s="85" t="s">
        <v>646</v>
      </c>
      <c r="I74" s="85" t="s">
        <v>179</v>
      </c>
    </row>
    <row r="75">
      <c r="A75" s="9">
        <v>43905.0</v>
      </c>
      <c r="B75" s="40" t="s">
        <v>647</v>
      </c>
      <c r="C75" s="55" t="s">
        <v>648</v>
      </c>
      <c r="D75" s="289" t="s">
        <v>24</v>
      </c>
      <c r="E75" s="20" t="s">
        <v>649</v>
      </c>
      <c r="F75" s="37">
        <v>43919.0</v>
      </c>
      <c r="G75" s="37">
        <v>43951.0</v>
      </c>
      <c r="H75" s="290" t="s">
        <v>650</v>
      </c>
      <c r="I75" s="290" t="s">
        <v>29</v>
      </c>
    </row>
    <row r="76">
      <c r="A76" s="9">
        <v>43905.0</v>
      </c>
      <c r="B76" s="40" t="s">
        <v>651</v>
      </c>
      <c r="C76" s="55" t="s">
        <v>652</v>
      </c>
      <c r="D76" s="69" t="s">
        <v>654</v>
      </c>
      <c r="E76" s="20" t="s">
        <v>657</v>
      </c>
      <c r="F76" s="37">
        <v>43942.0</v>
      </c>
      <c r="G76" s="37">
        <v>43947.0</v>
      </c>
      <c r="H76" s="174" t="s">
        <v>658</v>
      </c>
      <c r="I76" s="179" t="s">
        <v>291</v>
      </c>
    </row>
    <row r="77">
      <c r="A77" s="9">
        <v>43905.0</v>
      </c>
      <c r="B77" s="77" t="s">
        <v>659</v>
      </c>
      <c r="C77" s="81" t="s">
        <v>661</v>
      </c>
      <c r="D77" s="84" t="s">
        <v>663</v>
      </c>
      <c r="E77" s="20" t="s">
        <v>668</v>
      </c>
      <c r="F77" s="37">
        <v>43939.0</v>
      </c>
      <c r="G77" s="37">
        <v>43946.0</v>
      </c>
      <c r="H77" s="85" t="s">
        <v>669</v>
      </c>
      <c r="I77" s="85" t="s">
        <v>670</v>
      </c>
    </row>
    <row r="78">
      <c r="A78" s="9">
        <v>43904.0</v>
      </c>
      <c r="B78" s="40" t="s">
        <v>671</v>
      </c>
      <c r="C78" s="55" t="s">
        <v>672</v>
      </c>
      <c r="D78" s="69" t="s">
        <v>673</v>
      </c>
      <c r="E78" s="20" t="s">
        <v>78</v>
      </c>
      <c r="F78" s="37">
        <v>43937.0</v>
      </c>
      <c r="G78" s="37">
        <v>43951.0</v>
      </c>
      <c r="H78" s="73" t="s">
        <v>230</v>
      </c>
      <c r="I78" s="73" t="s">
        <v>231</v>
      </c>
    </row>
    <row r="79">
      <c r="A79" s="9">
        <v>43904.0</v>
      </c>
      <c r="B79" s="298" t="s">
        <v>675</v>
      </c>
      <c r="C79" s="300" t="s">
        <v>678</v>
      </c>
      <c r="D79" s="301" t="str">
        <f>HYPERLINK("https://filmfreeway.com/FilmOutSanDiego","https://filmfreeway.com/FilmOutSanDiego")</f>
        <v>https://filmfreeway.com/FilmOutSanDiego</v>
      </c>
      <c r="E79" s="302" t="s">
        <v>78</v>
      </c>
      <c r="F79" s="145">
        <v>43951.0</v>
      </c>
      <c r="G79" s="145">
        <v>43954.0</v>
      </c>
      <c r="H79" s="130" t="s">
        <v>684</v>
      </c>
      <c r="I79" s="130" t="s">
        <v>72</v>
      </c>
    </row>
    <row r="80">
      <c r="A80" s="9">
        <v>43904.0</v>
      </c>
      <c r="B80" s="303" t="s">
        <v>685</v>
      </c>
      <c r="C80" s="300" t="s">
        <v>689</v>
      </c>
      <c r="D80" s="305" t="s">
        <v>690</v>
      </c>
      <c r="E80" s="306" t="s">
        <v>78</v>
      </c>
      <c r="F80" s="308">
        <v>43944.0</v>
      </c>
      <c r="G80" s="308">
        <v>43954.0</v>
      </c>
      <c r="H80" s="170" t="s">
        <v>131</v>
      </c>
      <c r="I80" s="310" t="s">
        <v>132</v>
      </c>
    </row>
    <row r="81">
      <c r="A81" s="9">
        <v>43904.0</v>
      </c>
      <c r="B81" s="40" t="s">
        <v>694</v>
      </c>
      <c r="C81" s="55" t="s">
        <v>695</v>
      </c>
      <c r="D81" s="69" t="s">
        <v>696</v>
      </c>
      <c r="E81" s="20" t="s">
        <v>699</v>
      </c>
      <c r="F81" s="37">
        <v>43934.0</v>
      </c>
      <c r="G81" s="37">
        <v>43940.0</v>
      </c>
      <c r="H81" s="73" t="s">
        <v>700</v>
      </c>
      <c r="I81" s="73" t="s">
        <v>701</v>
      </c>
    </row>
    <row r="82">
      <c r="A82" s="9">
        <v>43904.0</v>
      </c>
      <c r="B82" s="313" t="s">
        <v>702</v>
      </c>
      <c r="C82" s="300" t="s">
        <v>707</v>
      </c>
      <c r="D82" s="314" t="s">
        <v>708</v>
      </c>
      <c r="E82" s="302" t="s">
        <v>78</v>
      </c>
      <c r="F82" s="145">
        <v>43931.0</v>
      </c>
      <c r="G82" s="145">
        <v>43940.0</v>
      </c>
      <c r="H82" s="170" t="s">
        <v>221</v>
      </c>
      <c r="I82" s="170" t="s">
        <v>72</v>
      </c>
    </row>
    <row r="83">
      <c r="A83" s="9">
        <v>43904.0</v>
      </c>
      <c r="B83" s="313" t="s">
        <v>712</v>
      </c>
      <c r="C83" s="300" t="s">
        <v>716</v>
      </c>
      <c r="D83" s="314" t="s">
        <v>717</v>
      </c>
      <c r="E83" s="306" t="s">
        <v>719</v>
      </c>
      <c r="F83" s="308">
        <v>43936.0</v>
      </c>
      <c r="G83" s="308">
        <v>43940.0</v>
      </c>
      <c r="H83" s="170" t="s">
        <v>721</v>
      </c>
      <c r="I83" s="170" t="s">
        <v>256</v>
      </c>
    </row>
    <row r="84">
      <c r="A84" s="9">
        <v>43904.0</v>
      </c>
      <c r="B84" s="318" t="s">
        <v>722</v>
      </c>
      <c r="C84" s="300" t="s">
        <v>723</v>
      </c>
      <c r="D84" s="301" t="s">
        <v>726</v>
      </c>
      <c r="E84" s="306" t="s">
        <v>78</v>
      </c>
      <c r="F84" s="308">
        <v>43930.0</v>
      </c>
      <c r="G84" s="308">
        <v>43939.0</v>
      </c>
      <c r="H84" s="310" t="s">
        <v>728</v>
      </c>
      <c r="I84" s="310" t="s">
        <v>155</v>
      </c>
    </row>
    <row r="85">
      <c r="A85" s="9">
        <v>43904.0</v>
      </c>
      <c r="B85" s="318" t="s">
        <v>729</v>
      </c>
      <c r="C85" s="300" t="s">
        <v>730</v>
      </c>
      <c r="D85" s="301" t="s">
        <v>733</v>
      </c>
      <c r="E85" s="306" t="s">
        <v>735</v>
      </c>
      <c r="F85" s="308">
        <v>43932.0</v>
      </c>
      <c r="G85" s="308">
        <v>43932.0</v>
      </c>
      <c r="H85" s="310" t="s">
        <v>250</v>
      </c>
      <c r="I85" s="310" t="s">
        <v>251</v>
      </c>
    </row>
    <row r="86">
      <c r="A86" s="9">
        <v>43904.0</v>
      </c>
      <c r="B86" s="320" t="s">
        <v>113</v>
      </c>
      <c r="C86" s="300" t="s">
        <v>114</v>
      </c>
      <c r="D86" s="301" t="str">
        <f>HYPERLINK("https://filmfreeway.com/ACTHumanRightsFilmFestival","https://filmfreeway.com/ACTHumanRightsFilmFestival")</f>
        <v>https://filmfreeway.com/ACTHumanRightsFilmFestival</v>
      </c>
      <c r="E86" s="302" t="s">
        <v>78</v>
      </c>
      <c r="F86" s="145">
        <v>43924.0</v>
      </c>
      <c r="G86" s="145">
        <v>43932.0</v>
      </c>
      <c r="H86" s="130" t="s">
        <v>115</v>
      </c>
      <c r="I86" s="130" t="s">
        <v>110</v>
      </c>
    </row>
    <row r="87">
      <c r="A87" s="9">
        <v>43904.0</v>
      </c>
      <c r="B87" s="324" t="s">
        <v>738</v>
      </c>
      <c r="C87" s="300" t="s">
        <v>740</v>
      </c>
      <c r="D87" s="301" t="s">
        <v>740</v>
      </c>
      <c r="E87" s="306" t="s">
        <v>26</v>
      </c>
      <c r="F87" s="308">
        <v>43923.0</v>
      </c>
      <c r="G87" s="308">
        <v>43926.0</v>
      </c>
      <c r="H87" s="254" t="s">
        <v>742</v>
      </c>
      <c r="I87" s="254" t="s">
        <v>46</v>
      </c>
    </row>
    <row r="88">
      <c r="A88" s="9">
        <v>43904.0</v>
      </c>
      <c r="B88" s="313" t="s">
        <v>745</v>
      </c>
      <c r="C88" s="300" t="s">
        <v>746</v>
      </c>
      <c r="D88" s="314" t="s">
        <v>747</v>
      </c>
      <c r="E88" s="306" t="s">
        <v>78</v>
      </c>
      <c r="F88" s="308">
        <v>43922.0</v>
      </c>
      <c r="G88" s="308">
        <v>43926.0</v>
      </c>
      <c r="H88" s="170" t="s">
        <v>221</v>
      </c>
      <c r="I88" s="170" t="s">
        <v>72</v>
      </c>
    </row>
    <row r="89">
      <c r="A89" s="9">
        <v>43904.0</v>
      </c>
      <c r="B89" s="330" t="s">
        <v>749</v>
      </c>
      <c r="C89" s="17" t="s">
        <v>752</v>
      </c>
      <c r="D89" s="111" t="s">
        <v>754</v>
      </c>
      <c r="E89" s="222" t="s">
        <v>78</v>
      </c>
      <c r="F89" s="113">
        <v>43923.0</v>
      </c>
      <c r="G89" s="113">
        <v>43925.0</v>
      </c>
      <c r="H89" s="24" t="s">
        <v>755</v>
      </c>
      <c r="I89" s="24" t="s">
        <v>212</v>
      </c>
    </row>
    <row r="90">
      <c r="A90" s="9">
        <v>43904.0</v>
      </c>
      <c r="B90" s="331" t="s">
        <v>756</v>
      </c>
      <c r="C90" s="300" t="s">
        <v>757</v>
      </c>
      <c r="D90" s="301" t="str">
        <f>HYPERLINK("https://filmfreeway.com/GreenMountainFilmFestival","https://filmfreeway.com/GreenMountainFilmFestival")</f>
        <v>https://filmfreeway.com/GreenMountainFilmFestival</v>
      </c>
      <c r="E90" s="302" t="s">
        <v>26</v>
      </c>
      <c r="F90" s="145">
        <v>43916.0</v>
      </c>
      <c r="G90" s="145">
        <v>43921.0</v>
      </c>
      <c r="H90" s="130" t="s">
        <v>761</v>
      </c>
      <c r="I90" s="130" t="s">
        <v>762</v>
      </c>
    </row>
    <row r="91">
      <c r="A91" s="9">
        <v>43904.0</v>
      </c>
      <c r="B91" s="331" t="s">
        <v>363</v>
      </c>
      <c r="C91" s="333" t="s">
        <v>364</v>
      </c>
      <c r="D91" s="334" t="s">
        <v>366</v>
      </c>
      <c r="E91" s="335" t="s">
        <v>371</v>
      </c>
      <c r="F91" s="336">
        <v>43917.0</v>
      </c>
      <c r="G91" s="336">
        <v>43921.0</v>
      </c>
      <c r="H91" s="337" t="s">
        <v>372</v>
      </c>
      <c r="I91" s="337" t="s">
        <v>72</v>
      </c>
    </row>
    <row r="92">
      <c r="A92" s="9">
        <v>43904.0</v>
      </c>
      <c r="B92" s="338" t="s">
        <v>766</v>
      </c>
      <c r="C92" s="55" t="s">
        <v>767</v>
      </c>
      <c r="D92" s="69" t="s">
        <v>769</v>
      </c>
      <c r="E92" s="20" t="s">
        <v>771</v>
      </c>
      <c r="F92" s="37">
        <v>43910.0</v>
      </c>
      <c r="G92" s="37">
        <v>43919.0</v>
      </c>
      <c r="H92" s="73" t="s">
        <v>772</v>
      </c>
      <c r="I92" s="179" t="s">
        <v>212</v>
      </c>
    </row>
    <row r="93">
      <c r="A93" s="9">
        <v>43904.0</v>
      </c>
      <c r="B93" s="330" t="s">
        <v>773</v>
      </c>
      <c r="C93" s="17" t="s">
        <v>774</v>
      </c>
      <c r="D93" s="111" t="s">
        <v>776</v>
      </c>
      <c r="E93" s="222" t="s">
        <v>78</v>
      </c>
      <c r="F93" s="113">
        <v>43916.0</v>
      </c>
      <c r="G93" s="113">
        <v>43919.0</v>
      </c>
      <c r="H93" s="24" t="s">
        <v>778</v>
      </c>
      <c r="I93" s="24" t="s">
        <v>110</v>
      </c>
    </row>
    <row r="94">
      <c r="A94" s="9">
        <v>43904.0</v>
      </c>
      <c r="B94" s="340" t="s">
        <v>779</v>
      </c>
      <c r="C94" s="300" t="s">
        <v>782</v>
      </c>
      <c r="D94" s="305" t="s">
        <v>784</v>
      </c>
      <c r="E94" s="306" t="s">
        <v>78</v>
      </c>
      <c r="F94" s="308">
        <v>43909.0</v>
      </c>
      <c r="G94" s="308">
        <v>43919.0</v>
      </c>
      <c r="H94" s="310" t="s">
        <v>196</v>
      </c>
      <c r="I94" s="310" t="s">
        <v>29</v>
      </c>
    </row>
    <row r="95">
      <c r="A95" s="9">
        <v>43904.0</v>
      </c>
      <c r="B95" s="338" t="s">
        <v>785</v>
      </c>
      <c r="C95" s="55" t="s">
        <v>786</v>
      </c>
      <c r="D95" s="289" t="s">
        <v>24</v>
      </c>
      <c r="E95" s="222" t="s">
        <v>78</v>
      </c>
      <c r="F95" s="113">
        <v>43909.0</v>
      </c>
      <c r="G95" s="113">
        <v>43919.0</v>
      </c>
      <c r="H95" s="290" t="s">
        <v>790</v>
      </c>
      <c r="I95" s="290" t="s">
        <v>272</v>
      </c>
    </row>
    <row r="96">
      <c r="A96" s="9">
        <v>43904.0</v>
      </c>
      <c r="B96" s="338" t="s">
        <v>791</v>
      </c>
      <c r="C96" s="55" t="s">
        <v>792</v>
      </c>
      <c r="D96" s="69" t="s">
        <v>794</v>
      </c>
      <c r="E96" s="20" t="s">
        <v>795</v>
      </c>
      <c r="F96" s="37">
        <v>43917.0</v>
      </c>
      <c r="G96" s="37">
        <v>43919.0</v>
      </c>
      <c r="H96" s="73" t="s">
        <v>797</v>
      </c>
      <c r="I96" s="73" t="s">
        <v>80</v>
      </c>
    </row>
    <row r="97">
      <c r="A97" s="9">
        <v>43904.0</v>
      </c>
      <c r="B97" s="313" t="s">
        <v>798</v>
      </c>
      <c r="C97" s="300" t="s">
        <v>799</v>
      </c>
      <c r="D97" s="314" t="s">
        <v>802</v>
      </c>
      <c r="E97" s="306" t="s">
        <v>804</v>
      </c>
      <c r="F97" s="308">
        <v>43915.0</v>
      </c>
      <c r="G97" s="308">
        <v>43918.0</v>
      </c>
      <c r="H97" s="170" t="s">
        <v>805</v>
      </c>
      <c r="I97" s="170" t="s">
        <v>412</v>
      </c>
    </row>
    <row r="98">
      <c r="A98" s="9">
        <v>43904.0</v>
      </c>
      <c r="B98" s="338" t="s">
        <v>806</v>
      </c>
      <c r="C98" s="55" t="s">
        <v>807</v>
      </c>
      <c r="D98" s="69" t="s">
        <v>808</v>
      </c>
      <c r="E98" s="20" t="s">
        <v>78</v>
      </c>
      <c r="F98" s="37">
        <v>43910.0</v>
      </c>
      <c r="G98" s="37">
        <v>43916.0</v>
      </c>
      <c r="H98" s="73" t="s">
        <v>221</v>
      </c>
      <c r="I98" s="73" t="s">
        <v>72</v>
      </c>
    </row>
    <row r="99">
      <c r="A99" s="9">
        <v>43904.0</v>
      </c>
      <c r="B99" s="331" t="s">
        <v>811</v>
      </c>
      <c r="C99" s="333" t="s">
        <v>813</v>
      </c>
      <c r="D99" s="301" t="s">
        <v>814</v>
      </c>
      <c r="E99" s="335" t="s">
        <v>816</v>
      </c>
      <c r="F99" s="336">
        <v>43909.0</v>
      </c>
      <c r="G99" s="336">
        <v>43912.0</v>
      </c>
      <c r="H99" s="337" t="s">
        <v>817</v>
      </c>
      <c r="I99" s="337" t="s">
        <v>46</v>
      </c>
    </row>
    <row r="100">
      <c r="A100" s="9">
        <v>43904.0</v>
      </c>
      <c r="B100" s="338" t="s">
        <v>818</v>
      </c>
      <c r="C100" s="55" t="s">
        <v>819</v>
      </c>
      <c r="D100" s="69" t="s">
        <v>821</v>
      </c>
      <c r="E100" s="20" t="s">
        <v>825</v>
      </c>
      <c r="F100" s="37">
        <v>43909.0</v>
      </c>
      <c r="G100" s="37">
        <v>43912.0</v>
      </c>
      <c r="H100" s="174" t="s">
        <v>387</v>
      </c>
      <c r="I100" s="73" t="s">
        <v>102</v>
      </c>
    </row>
    <row r="101">
      <c r="A101" s="9">
        <v>43904.0</v>
      </c>
      <c r="B101" s="343" t="s">
        <v>826</v>
      </c>
      <c r="C101" s="89" t="s">
        <v>828</v>
      </c>
      <c r="D101" s="91" t="str">
        <f>HYPERLINK("https://filmfreeway.com/ByDesignFestival","https://filmfreeway.com/ByDesignFestival")</f>
        <v>https://filmfreeway.com/ByDesignFestival</v>
      </c>
      <c r="E101" s="93" t="s">
        <v>829</v>
      </c>
      <c r="F101" s="145">
        <v>43910.0</v>
      </c>
      <c r="G101" s="145">
        <v>43912.0</v>
      </c>
      <c r="H101" s="130" t="s">
        <v>250</v>
      </c>
      <c r="I101" s="130" t="s">
        <v>251</v>
      </c>
    </row>
    <row r="102">
      <c r="A102" s="9">
        <v>43904.0</v>
      </c>
      <c r="B102" s="338" t="s">
        <v>830</v>
      </c>
      <c r="C102" s="55" t="s">
        <v>831</v>
      </c>
      <c r="D102" s="69" t="s">
        <v>833</v>
      </c>
      <c r="E102" s="20" t="s">
        <v>78</v>
      </c>
      <c r="F102" s="37">
        <v>43908.0</v>
      </c>
      <c r="G102" s="37">
        <v>43911.0</v>
      </c>
      <c r="H102" s="73" t="s">
        <v>835</v>
      </c>
      <c r="I102" s="179" t="s">
        <v>489</v>
      </c>
    </row>
    <row r="103">
      <c r="A103" s="9">
        <v>43904.0</v>
      </c>
      <c r="B103" s="128" t="s">
        <v>836</v>
      </c>
      <c r="C103" s="89" t="s">
        <v>837</v>
      </c>
      <c r="D103" s="91" t="str">
        <f>HYPERLINK("https://filmfreeway.com/diydsfilmfest","https://filmfreeway.com/diydsfilmfest")</f>
        <v>https://filmfreeway.com/diydsfilmfest</v>
      </c>
      <c r="E103" s="93" t="s">
        <v>838</v>
      </c>
      <c r="F103" s="145">
        <v>43909.0</v>
      </c>
      <c r="G103" s="145">
        <v>43911.0</v>
      </c>
      <c r="H103" s="130" t="s">
        <v>447</v>
      </c>
      <c r="I103" s="130" t="s">
        <v>80</v>
      </c>
    </row>
    <row r="104">
      <c r="A104" s="9">
        <v>43904.0</v>
      </c>
      <c r="B104" s="77" t="s">
        <v>840</v>
      </c>
      <c r="C104" s="81" t="s">
        <v>841</v>
      </c>
      <c r="D104" s="84" t="s">
        <v>843</v>
      </c>
      <c r="E104" s="20" t="s">
        <v>846</v>
      </c>
      <c r="F104" s="37">
        <v>43882.0</v>
      </c>
      <c r="G104" s="37">
        <v>43905.0</v>
      </c>
      <c r="H104" s="85" t="s">
        <v>196</v>
      </c>
      <c r="I104" s="85" t="s">
        <v>29</v>
      </c>
    </row>
    <row r="105">
      <c r="A105" s="347">
        <v>43903.0</v>
      </c>
      <c r="B105" s="77" t="s">
        <v>847</v>
      </c>
      <c r="C105" s="81" t="s">
        <v>849</v>
      </c>
      <c r="D105" s="316" t="s">
        <v>24</v>
      </c>
      <c r="E105" s="20" t="s">
        <v>439</v>
      </c>
      <c r="F105" s="22" t="s">
        <v>27</v>
      </c>
      <c r="G105" s="22" t="s">
        <v>27</v>
      </c>
      <c r="H105" s="85" t="s">
        <v>850</v>
      </c>
      <c r="I105" s="85" t="s">
        <v>851</v>
      </c>
    </row>
    <row r="106">
      <c r="A106" s="347">
        <v>43903.0</v>
      </c>
      <c r="B106" s="153" t="s">
        <v>852</v>
      </c>
      <c r="C106" s="81" t="s">
        <v>853</v>
      </c>
      <c r="D106" s="84" t="s">
        <v>857</v>
      </c>
      <c r="E106" s="20" t="s">
        <v>78</v>
      </c>
      <c r="F106" s="22" t="s">
        <v>27</v>
      </c>
      <c r="G106" s="22" t="s">
        <v>27</v>
      </c>
      <c r="H106" s="73" t="s">
        <v>850</v>
      </c>
      <c r="I106" s="73" t="s">
        <v>594</v>
      </c>
    </row>
    <row r="107">
      <c r="A107" s="347">
        <v>43903.0</v>
      </c>
      <c r="B107" s="77" t="s">
        <v>858</v>
      </c>
      <c r="C107" s="81" t="s">
        <v>862</v>
      </c>
      <c r="D107" s="84" t="s">
        <v>864</v>
      </c>
      <c r="E107" s="222" t="s">
        <v>78</v>
      </c>
      <c r="F107" s="113">
        <v>43951.0</v>
      </c>
      <c r="G107" s="113">
        <v>43958.0</v>
      </c>
      <c r="H107" s="85" t="s">
        <v>221</v>
      </c>
      <c r="I107" s="85" t="s">
        <v>72</v>
      </c>
    </row>
    <row r="108">
      <c r="A108" s="347">
        <v>43903.0</v>
      </c>
      <c r="B108" s="77" t="s">
        <v>866</v>
      </c>
      <c r="C108" s="81" t="s">
        <v>867</v>
      </c>
      <c r="D108" s="84" t="s">
        <v>868</v>
      </c>
      <c r="E108" s="20" t="s">
        <v>78</v>
      </c>
      <c r="F108" s="37">
        <v>43930.0</v>
      </c>
      <c r="G108" s="37">
        <v>43951.0</v>
      </c>
      <c r="H108" s="85" t="s">
        <v>335</v>
      </c>
      <c r="I108" s="85" t="s">
        <v>336</v>
      </c>
    </row>
    <row r="109">
      <c r="A109" s="349">
        <v>43903.0</v>
      </c>
      <c r="B109" s="77" t="s">
        <v>872</v>
      </c>
      <c r="C109" s="81" t="s">
        <v>874</v>
      </c>
      <c r="D109" s="84" t="s">
        <v>875</v>
      </c>
      <c r="E109" s="20" t="s">
        <v>78</v>
      </c>
      <c r="F109" s="37">
        <v>43943.0</v>
      </c>
      <c r="G109" s="37">
        <v>43950.0</v>
      </c>
      <c r="H109" s="85" t="s">
        <v>447</v>
      </c>
      <c r="I109" s="85" t="s">
        <v>80</v>
      </c>
    </row>
    <row r="110">
      <c r="A110" s="349">
        <v>43903.0</v>
      </c>
      <c r="B110" s="352" t="s">
        <v>876</v>
      </c>
      <c r="C110" s="250" t="s">
        <v>877</v>
      </c>
      <c r="D110" s="354" t="s">
        <v>878</v>
      </c>
      <c r="E110" s="222" t="s">
        <v>78</v>
      </c>
      <c r="F110" s="113">
        <v>43937.0</v>
      </c>
      <c r="G110" s="113">
        <v>43947.0</v>
      </c>
      <c r="H110" s="356" t="s">
        <v>880</v>
      </c>
      <c r="I110" s="356" t="s">
        <v>46</v>
      </c>
    </row>
    <row r="111">
      <c r="A111" s="9">
        <v>43903.0</v>
      </c>
      <c r="B111" s="77" t="s">
        <v>881</v>
      </c>
      <c r="C111" s="81" t="s">
        <v>882</v>
      </c>
      <c r="D111" s="175" t="s">
        <v>883</v>
      </c>
      <c r="E111" s="20" t="s">
        <v>26</v>
      </c>
      <c r="F111" s="37">
        <v>43929.0</v>
      </c>
      <c r="G111" s="37">
        <v>43942.0</v>
      </c>
      <c r="H111" s="85" t="s">
        <v>399</v>
      </c>
      <c r="I111" s="85" t="s">
        <v>72</v>
      </c>
    </row>
    <row r="112">
      <c r="A112" s="9">
        <v>43903.0</v>
      </c>
      <c r="B112" s="318" t="s">
        <v>884</v>
      </c>
      <c r="C112" s="300" t="s">
        <v>885</v>
      </c>
      <c r="D112" s="334" t="s">
        <v>886</v>
      </c>
      <c r="E112" s="306" t="s">
        <v>78</v>
      </c>
      <c r="F112" s="308">
        <v>43930.0</v>
      </c>
      <c r="G112" s="308">
        <v>43937.0</v>
      </c>
      <c r="H112" s="310" t="s">
        <v>221</v>
      </c>
      <c r="I112" s="310" t="s">
        <v>72</v>
      </c>
    </row>
    <row r="113">
      <c r="A113" s="347">
        <v>43903.0</v>
      </c>
      <c r="B113" s="216" t="s">
        <v>887</v>
      </c>
      <c r="C113" s="89" t="s">
        <v>888</v>
      </c>
      <c r="D113" s="91" t="str">
        <f>HYPERLINK("https://filmfreeway.com/EverettFilmFestival","https://filmfreeway.com/EverettFilmFestival")</f>
        <v>https://filmfreeway.com/EverettFilmFestival</v>
      </c>
      <c r="E113" s="93" t="s">
        <v>78</v>
      </c>
      <c r="F113" s="145">
        <v>43931.0</v>
      </c>
      <c r="G113" s="145">
        <v>43932.0</v>
      </c>
      <c r="H113" s="130" t="s">
        <v>889</v>
      </c>
      <c r="I113" s="130" t="s">
        <v>251</v>
      </c>
    </row>
    <row r="114">
      <c r="A114" s="349">
        <v>43903.0</v>
      </c>
      <c r="B114" s="77" t="s">
        <v>890</v>
      </c>
      <c r="C114" s="151" t="s">
        <v>891</v>
      </c>
      <c r="D114" s="84" t="s">
        <v>895</v>
      </c>
      <c r="E114" s="20" t="s">
        <v>26</v>
      </c>
      <c r="F114" s="37">
        <v>43923.0</v>
      </c>
      <c r="G114" s="37">
        <v>43930.0</v>
      </c>
      <c r="H114" s="85" t="s">
        <v>897</v>
      </c>
      <c r="I114" s="85" t="s">
        <v>350</v>
      </c>
    </row>
    <row r="115">
      <c r="A115" s="9">
        <v>43903.0</v>
      </c>
      <c r="B115" s="364" t="s">
        <v>898</v>
      </c>
      <c r="C115" s="81" t="s">
        <v>899</v>
      </c>
      <c r="D115" s="365" t="s">
        <v>902</v>
      </c>
      <c r="E115" s="20" t="s">
        <v>26</v>
      </c>
      <c r="F115" s="37">
        <v>43922.0</v>
      </c>
      <c r="G115" s="37">
        <v>43929.0</v>
      </c>
      <c r="H115" s="366" t="s">
        <v>906</v>
      </c>
      <c r="I115" s="366" t="s">
        <v>72</v>
      </c>
    </row>
    <row r="116">
      <c r="A116" s="9">
        <v>43903.0</v>
      </c>
      <c r="B116" s="77" t="s">
        <v>907</v>
      </c>
      <c r="C116" s="81" t="s">
        <v>908</v>
      </c>
      <c r="D116" s="84" t="s">
        <v>909</v>
      </c>
      <c r="E116" s="20" t="s">
        <v>78</v>
      </c>
      <c r="F116" s="37">
        <v>43917.0</v>
      </c>
      <c r="G116" s="37">
        <v>43926.0</v>
      </c>
      <c r="H116" s="85" t="s">
        <v>911</v>
      </c>
      <c r="I116" s="85" t="s">
        <v>46</v>
      </c>
    </row>
    <row r="117">
      <c r="A117" s="347">
        <v>43903.0</v>
      </c>
      <c r="B117" s="183" t="s">
        <v>912</v>
      </c>
      <c r="C117" s="81" t="s">
        <v>913</v>
      </c>
      <c r="D117" s="175" t="s">
        <v>914</v>
      </c>
      <c r="E117" s="20" t="s">
        <v>918</v>
      </c>
      <c r="F117" s="37">
        <v>43916.0</v>
      </c>
      <c r="G117" s="37">
        <v>43926.0</v>
      </c>
      <c r="H117" s="85" t="s">
        <v>919</v>
      </c>
      <c r="I117" s="85" t="s">
        <v>159</v>
      </c>
    </row>
    <row r="118">
      <c r="A118" s="349">
        <v>43903.0</v>
      </c>
      <c r="B118" s="77" t="s">
        <v>720</v>
      </c>
      <c r="C118" s="81" t="s">
        <v>715</v>
      </c>
      <c r="D118" s="34" t="s">
        <v>724</v>
      </c>
      <c r="E118" s="20" t="s">
        <v>725</v>
      </c>
      <c r="F118" s="37">
        <v>43921.0</v>
      </c>
      <c r="G118" s="37">
        <v>43926.0</v>
      </c>
      <c r="H118" s="85" t="s">
        <v>718</v>
      </c>
      <c r="I118" s="85" t="s">
        <v>110</v>
      </c>
    </row>
    <row r="119">
      <c r="A119" s="9">
        <v>43903.0</v>
      </c>
      <c r="B119" s="313" t="s">
        <v>924</v>
      </c>
      <c r="C119" s="300" t="s">
        <v>926</v>
      </c>
      <c r="D119" s="369" t="s">
        <v>24</v>
      </c>
      <c r="E119" s="306" t="s">
        <v>26</v>
      </c>
      <c r="F119" s="308">
        <v>43923.0</v>
      </c>
      <c r="G119" s="308">
        <v>43925.0</v>
      </c>
      <c r="H119" s="170" t="s">
        <v>488</v>
      </c>
      <c r="I119" s="170" t="s">
        <v>379</v>
      </c>
    </row>
    <row r="120">
      <c r="A120" s="9">
        <v>43903.0</v>
      </c>
      <c r="B120" s="318" t="s">
        <v>929</v>
      </c>
      <c r="C120" s="300" t="s">
        <v>930</v>
      </c>
      <c r="D120" s="301" t="s">
        <v>932</v>
      </c>
      <c r="E120" s="306" t="s">
        <v>934</v>
      </c>
      <c r="F120" s="308">
        <v>43912.0</v>
      </c>
      <c r="G120" s="308">
        <v>43919.0</v>
      </c>
      <c r="H120" s="310" t="s">
        <v>772</v>
      </c>
      <c r="I120" s="310" t="s">
        <v>212</v>
      </c>
    </row>
    <row r="121">
      <c r="A121" s="9">
        <v>43903.0</v>
      </c>
      <c r="B121" s="40" t="s">
        <v>935</v>
      </c>
      <c r="C121" s="55" t="s">
        <v>936</v>
      </c>
      <c r="D121" s="69" t="s">
        <v>938</v>
      </c>
      <c r="E121" s="20" t="s">
        <v>78</v>
      </c>
      <c r="F121" s="37">
        <v>43917.0</v>
      </c>
      <c r="G121" s="37">
        <v>43919.0</v>
      </c>
      <c r="H121" s="73" t="s">
        <v>943</v>
      </c>
      <c r="I121" s="73" t="s">
        <v>379</v>
      </c>
    </row>
    <row r="122">
      <c r="A122" s="9">
        <v>43903.0</v>
      </c>
      <c r="B122" s="28" t="s">
        <v>497</v>
      </c>
      <c r="C122" s="81" t="s">
        <v>498</v>
      </c>
      <c r="D122" s="34" t="s">
        <v>501</v>
      </c>
      <c r="E122" s="20" t="s">
        <v>505</v>
      </c>
      <c r="F122" s="37">
        <v>43914.0</v>
      </c>
      <c r="G122" s="37">
        <v>43919.0</v>
      </c>
      <c r="H122" s="38" t="s">
        <v>506</v>
      </c>
      <c r="I122" s="38" t="s">
        <v>155</v>
      </c>
    </row>
    <row r="123">
      <c r="A123" s="349">
        <v>43903.0</v>
      </c>
      <c r="B123" s="77" t="s">
        <v>947</v>
      </c>
      <c r="C123" s="81" t="s">
        <v>950</v>
      </c>
      <c r="D123" s="84" t="s">
        <v>952</v>
      </c>
      <c r="E123" s="20" t="s">
        <v>78</v>
      </c>
      <c r="F123" s="37">
        <v>43915.0</v>
      </c>
      <c r="G123" s="37">
        <v>43919.0</v>
      </c>
      <c r="H123" s="73" t="s">
        <v>447</v>
      </c>
      <c r="I123" s="85" t="s">
        <v>80</v>
      </c>
    </row>
    <row r="124">
      <c r="A124" s="349">
        <v>43903.0</v>
      </c>
      <c r="B124" s="40" t="s">
        <v>956</v>
      </c>
      <c r="C124" s="55" t="s">
        <v>957</v>
      </c>
      <c r="D124" s="69" t="s">
        <v>960</v>
      </c>
      <c r="E124" s="20" t="s">
        <v>964</v>
      </c>
      <c r="F124" s="37">
        <v>43913.0</v>
      </c>
      <c r="G124" s="37">
        <v>43918.0</v>
      </c>
      <c r="H124" s="174" t="s">
        <v>966</v>
      </c>
      <c r="I124" s="179" t="s">
        <v>967</v>
      </c>
    </row>
    <row r="125">
      <c r="A125" s="347">
        <v>43903.0</v>
      </c>
      <c r="B125" s="216" t="s">
        <v>968</v>
      </c>
      <c r="C125" s="89" t="s">
        <v>969</v>
      </c>
      <c r="D125" s="91" t="str">
        <f>HYPERLINK("https://filmfreeway.com/SFFSFFseattle","https://filmfreeway.com/SFFSFFseattle")</f>
        <v>https://filmfreeway.com/SFFSFFseattle</v>
      </c>
      <c r="E125" s="93" t="s">
        <v>972</v>
      </c>
      <c r="F125" s="145">
        <v>43918.0</v>
      </c>
      <c r="G125" s="145">
        <v>43918.0</v>
      </c>
      <c r="H125" s="130" t="s">
        <v>250</v>
      </c>
      <c r="I125" s="130" t="s">
        <v>251</v>
      </c>
    </row>
    <row r="126">
      <c r="A126" s="9">
        <v>43903.0</v>
      </c>
      <c r="B126" s="318" t="s">
        <v>973</v>
      </c>
      <c r="C126" s="300" t="s">
        <v>974</v>
      </c>
      <c r="D126" s="301" t="s">
        <v>976</v>
      </c>
      <c r="E126" s="306" t="s">
        <v>78</v>
      </c>
      <c r="F126" s="308">
        <v>43909.0</v>
      </c>
      <c r="G126" s="308">
        <v>43912.0</v>
      </c>
      <c r="H126" s="310" t="s">
        <v>147</v>
      </c>
      <c r="I126" s="310" t="s">
        <v>148</v>
      </c>
    </row>
    <row r="127">
      <c r="A127" s="9">
        <v>43903.0</v>
      </c>
      <c r="B127" s="77" t="s">
        <v>978</v>
      </c>
      <c r="C127" s="81" t="s">
        <v>980</v>
      </c>
      <c r="D127" s="84" t="s">
        <v>982</v>
      </c>
      <c r="E127" s="20" t="s">
        <v>985</v>
      </c>
      <c r="F127" s="37">
        <v>43910.0</v>
      </c>
      <c r="G127" s="37">
        <v>43912.0</v>
      </c>
      <c r="H127" s="85" t="s">
        <v>986</v>
      </c>
      <c r="I127" s="85" t="s">
        <v>430</v>
      </c>
    </row>
    <row r="128">
      <c r="A128" s="347">
        <v>43903.0</v>
      </c>
      <c r="B128" s="77" t="s">
        <v>987</v>
      </c>
      <c r="C128" s="81" t="s">
        <v>990</v>
      </c>
      <c r="D128" s="84" t="s">
        <v>992</v>
      </c>
      <c r="E128" s="20" t="s">
        <v>78</v>
      </c>
      <c r="F128" s="37">
        <v>43907.0</v>
      </c>
      <c r="G128" s="37">
        <v>43912.0</v>
      </c>
      <c r="H128" s="85" t="s">
        <v>994</v>
      </c>
      <c r="I128" s="85" t="s">
        <v>46</v>
      </c>
    </row>
    <row r="129">
      <c r="A129" s="349">
        <v>43903.0</v>
      </c>
      <c r="B129" s="77" t="s">
        <v>996</v>
      </c>
      <c r="C129" s="81" t="s">
        <v>997</v>
      </c>
      <c r="D129" s="84" t="s">
        <v>998</v>
      </c>
      <c r="E129" s="20" t="s">
        <v>78</v>
      </c>
      <c r="F129" s="37">
        <v>43908.0</v>
      </c>
      <c r="G129" s="37">
        <v>43912.0</v>
      </c>
      <c r="H129" s="85" t="s">
        <v>196</v>
      </c>
      <c r="I129" s="85" t="s">
        <v>29</v>
      </c>
    </row>
    <row r="130">
      <c r="A130" s="9">
        <v>43903.0</v>
      </c>
      <c r="B130" s="10" t="s">
        <v>999</v>
      </c>
      <c r="C130" s="17" t="s">
        <v>1000</v>
      </c>
      <c r="D130" s="111" t="s">
        <v>1001</v>
      </c>
      <c r="E130" s="222" t="s">
        <v>1003</v>
      </c>
      <c r="F130" s="113">
        <v>43895.0</v>
      </c>
      <c r="G130" s="113">
        <v>43905.0</v>
      </c>
      <c r="H130" s="24" t="s">
        <v>850</v>
      </c>
      <c r="I130" s="24" t="s">
        <v>594</v>
      </c>
    </row>
    <row r="131">
      <c r="A131" s="349">
        <v>43902.0</v>
      </c>
      <c r="B131" s="376" t="s">
        <v>1004</v>
      </c>
      <c r="C131" s="377" t="s">
        <v>1007</v>
      </c>
      <c r="D131" s="378" t="str">
        <f>HYPERLINK("https://filmfreeway.com/WatsonvilleFilmFestival","https://filmfreeway.com/WatsonvilleFilmFestival")</f>
        <v>https://filmfreeway.com/WatsonvilleFilmFestival</v>
      </c>
      <c r="E131" s="379" t="s">
        <v>26</v>
      </c>
      <c r="F131" s="380" t="s">
        <v>27</v>
      </c>
      <c r="G131" s="380" t="s">
        <v>27</v>
      </c>
      <c r="H131" s="131" t="s">
        <v>1011</v>
      </c>
      <c r="I131" s="131" t="s">
        <v>72</v>
      </c>
    </row>
    <row r="132">
      <c r="A132" s="349">
        <v>43902.0</v>
      </c>
      <c r="B132" s="381" t="s">
        <v>1012</v>
      </c>
      <c r="C132" s="382" t="s">
        <v>1013</v>
      </c>
      <c r="D132" s="383" t="s">
        <v>1015</v>
      </c>
      <c r="E132" s="379" t="s">
        <v>78</v>
      </c>
      <c r="F132" s="336">
        <v>43952.0</v>
      </c>
      <c r="G132" s="336">
        <v>43961.0</v>
      </c>
      <c r="H132" s="384" t="s">
        <v>1018</v>
      </c>
      <c r="I132" s="384" t="s">
        <v>412</v>
      </c>
    </row>
    <row r="133">
      <c r="A133" s="9">
        <v>43902.0</v>
      </c>
      <c r="B133" s="40" t="s">
        <v>1020</v>
      </c>
      <c r="C133" s="55" t="s">
        <v>1021</v>
      </c>
      <c r="D133" s="69" t="s">
        <v>1026</v>
      </c>
      <c r="E133" s="385" t="s">
        <v>1027</v>
      </c>
      <c r="F133" s="37">
        <v>43952.0</v>
      </c>
      <c r="G133" s="37">
        <v>43954.0</v>
      </c>
      <c r="H133" s="73" t="s">
        <v>1031</v>
      </c>
      <c r="I133" s="73" t="s">
        <v>29</v>
      </c>
    </row>
    <row r="134">
      <c r="A134" s="9">
        <v>43902.0</v>
      </c>
      <c r="B134" s="386" t="s">
        <v>977</v>
      </c>
      <c r="C134" s="387" t="s">
        <v>979</v>
      </c>
      <c r="D134" s="383" t="s">
        <v>981</v>
      </c>
      <c r="E134" s="379" t="s">
        <v>983</v>
      </c>
      <c r="F134" s="308">
        <v>43950.0</v>
      </c>
      <c r="G134" s="308">
        <v>43953.0</v>
      </c>
      <c r="H134" s="388" t="s">
        <v>984</v>
      </c>
      <c r="I134" s="388" t="s">
        <v>626</v>
      </c>
    </row>
    <row r="135">
      <c r="A135" s="9">
        <v>43902.0</v>
      </c>
      <c r="B135" s="77" t="s">
        <v>1038</v>
      </c>
      <c r="C135" s="151" t="s">
        <v>1039</v>
      </c>
      <c r="D135" s="175" t="s">
        <v>1041</v>
      </c>
      <c r="E135" s="20" t="s">
        <v>78</v>
      </c>
      <c r="F135" s="37">
        <v>43936.0</v>
      </c>
      <c r="G135" s="37">
        <v>43947.0</v>
      </c>
      <c r="H135" s="85" t="s">
        <v>196</v>
      </c>
      <c r="I135" s="85" t="s">
        <v>29</v>
      </c>
    </row>
    <row r="136">
      <c r="A136" s="349">
        <v>43902.0</v>
      </c>
      <c r="B136" s="87" t="s">
        <v>1044</v>
      </c>
      <c r="C136" s="278" t="s">
        <v>1045</v>
      </c>
      <c r="D136" s="91" t="str">
        <f>HYPERLINK("https://filmfreeway.com/CASCADIAInternationalWomensFilmFestival","https://filmfreeway.com/CASCADIAInternationalWomensFilmFestival")</f>
        <v>https://filmfreeway.com/CASCADIAInternationalWomensFilmFestival</v>
      </c>
      <c r="E136" s="389" t="s">
        <v>78</v>
      </c>
      <c r="F136" s="145">
        <v>43937.0</v>
      </c>
      <c r="G136" s="145">
        <v>43940.0</v>
      </c>
      <c r="H136" s="130" t="s">
        <v>945</v>
      </c>
      <c r="I136" s="130" t="s">
        <v>251</v>
      </c>
    </row>
    <row r="137">
      <c r="A137" s="9">
        <v>43902.0</v>
      </c>
      <c r="B137" s="128" t="s">
        <v>1047</v>
      </c>
      <c r="C137" s="278" t="s">
        <v>1048</v>
      </c>
      <c r="D137" s="280" t="s">
        <v>1052</v>
      </c>
      <c r="E137" s="389" t="s">
        <v>1054</v>
      </c>
      <c r="F137" s="282">
        <v>43937.0</v>
      </c>
      <c r="G137" s="282">
        <v>43940.0</v>
      </c>
      <c r="H137" s="130" t="s">
        <v>147</v>
      </c>
      <c r="I137" s="130" t="s">
        <v>148</v>
      </c>
    </row>
    <row r="138">
      <c r="A138" s="9">
        <v>43902.0</v>
      </c>
      <c r="B138" s="77" t="s">
        <v>1055</v>
      </c>
      <c r="C138" s="81" t="s">
        <v>1056</v>
      </c>
      <c r="D138" s="316" t="s">
        <v>24</v>
      </c>
      <c r="E138" s="385" t="s">
        <v>26</v>
      </c>
      <c r="F138" s="37">
        <v>43936.0</v>
      </c>
      <c r="G138" s="37">
        <v>43939.0</v>
      </c>
      <c r="H138" s="85" t="s">
        <v>1060</v>
      </c>
      <c r="I138" s="85" t="s">
        <v>231</v>
      </c>
    </row>
    <row r="139">
      <c r="A139" s="9">
        <v>43902.0</v>
      </c>
      <c r="B139" s="77" t="s">
        <v>1061</v>
      </c>
      <c r="C139" s="32" t="s">
        <v>1062</v>
      </c>
      <c r="D139" s="84" t="s">
        <v>1068</v>
      </c>
      <c r="E139" s="20" t="s">
        <v>78</v>
      </c>
      <c r="F139" s="37">
        <v>43923.0</v>
      </c>
      <c r="G139" s="37">
        <v>43933.0</v>
      </c>
      <c r="H139" s="73" t="s">
        <v>447</v>
      </c>
      <c r="I139" s="85" t="s">
        <v>80</v>
      </c>
    </row>
    <row r="140">
      <c r="A140" s="349">
        <v>43902.0</v>
      </c>
      <c r="B140" s="391" t="s">
        <v>737</v>
      </c>
      <c r="C140" s="377" t="s">
        <v>739</v>
      </c>
      <c r="D140" s="383" t="s">
        <v>741</v>
      </c>
      <c r="E140" s="379" t="s">
        <v>743</v>
      </c>
      <c r="F140" s="308">
        <v>43927.0</v>
      </c>
      <c r="G140" s="308">
        <v>43933.0</v>
      </c>
      <c r="H140" s="392" t="s">
        <v>744</v>
      </c>
      <c r="I140" s="392" t="s">
        <v>622</v>
      </c>
    </row>
    <row r="141">
      <c r="A141" s="9">
        <v>43902.0</v>
      </c>
      <c r="B141" s="393" t="s">
        <v>1077</v>
      </c>
      <c r="C141" s="377" t="s">
        <v>1079</v>
      </c>
      <c r="D141" s="383" t="s">
        <v>1082</v>
      </c>
      <c r="E141" s="379" t="s">
        <v>78</v>
      </c>
      <c r="F141" s="308">
        <v>43911.0</v>
      </c>
      <c r="G141" s="308">
        <v>43926.0</v>
      </c>
      <c r="H141" s="394" t="s">
        <v>1083</v>
      </c>
      <c r="I141" s="395" t="s">
        <v>251</v>
      </c>
    </row>
    <row r="142">
      <c r="A142" s="9">
        <v>43902.0</v>
      </c>
      <c r="B142" s="396" t="s">
        <v>1086</v>
      </c>
      <c r="C142" s="377" t="s">
        <v>1087</v>
      </c>
      <c r="D142" s="397" t="s">
        <v>1089</v>
      </c>
      <c r="E142" s="379" t="s">
        <v>26</v>
      </c>
      <c r="F142" s="308">
        <v>43915.0</v>
      </c>
      <c r="G142" s="308">
        <v>43926.0</v>
      </c>
      <c r="H142" s="394" t="s">
        <v>1090</v>
      </c>
      <c r="I142" s="394" t="s">
        <v>622</v>
      </c>
    </row>
    <row r="143">
      <c r="A143" s="349">
        <v>43902.0</v>
      </c>
      <c r="B143" s="77" t="s">
        <v>1091</v>
      </c>
      <c r="C143" s="250" t="s">
        <v>1092</v>
      </c>
      <c r="D143" s="316" t="s">
        <v>24</v>
      </c>
      <c r="E143" s="222" t="s">
        <v>78</v>
      </c>
      <c r="F143" s="113">
        <v>43915.0</v>
      </c>
      <c r="G143" s="113">
        <v>43926.0</v>
      </c>
      <c r="H143" s="85" t="s">
        <v>196</v>
      </c>
      <c r="I143" s="85" t="s">
        <v>29</v>
      </c>
    </row>
    <row r="144">
      <c r="A144" s="9">
        <v>43902.0</v>
      </c>
      <c r="B144" s="40" t="s">
        <v>1096</v>
      </c>
      <c r="C144" s="55" t="s">
        <v>1097</v>
      </c>
      <c r="D144" s="289" t="s">
        <v>24</v>
      </c>
      <c r="E144" s="20" t="s">
        <v>78</v>
      </c>
      <c r="F144" s="37">
        <v>43915.0</v>
      </c>
      <c r="G144" s="37">
        <v>43926.0</v>
      </c>
      <c r="H144" s="290" t="s">
        <v>1098</v>
      </c>
      <c r="I144" s="290" t="s">
        <v>80</v>
      </c>
    </row>
    <row r="145">
      <c r="A145" s="349">
        <v>43902.0</v>
      </c>
      <c r="B145" s="386" t="s">
        <v>1016</v>
      </c>
      <c r="C145" s="387" t="s">
        <v>1017</v>
      </c>
      <c r="D145" s="383" t="s">
        <v>1019</v>
      </c>
      <c r="E145" s="379" t="s">
        <v>280</v>
      </c>
      <c r="F145" s="308">
        <v>43922.0</v>
      </c>
      <c r="G145" s="308">
        <v>43926.0</v>
      </c>
      <c r="H145" s="388" t="s">
        <v>1022</v>
      </c>
      <c r="I145" s="388" t="s">
        <v>72</v>
      </c>
    </row>
    <row r="146">
      <c r="A146" s="349">
        <v>43902.0</v>
      </c>
      <c r="B146" s="87" t="s">
        <v>1103</v>
      </c>
      <c r="C146" s="89" t="s">
        <v>1104</v>
      </c>
      <c r="D146" s="91" t="str">
        <f>HYPERLINK("https://filmfreeway.com/PhiladelphiaEnvironmentalFilmFestival","https://filmfreeway.com/PhiladelphiaEnvironmentalFilmFestival")</f>
        <v>https://filmfreeway.com/PhiladelphiaEnvironmentalFilmFestival</v>
      </c>
      <c r="E146" s="93" t="s">
        <v>1108</v>
      </c>
      <c r="F146" s="145">
        <v>43922.0</v>
      </c>
      <c r="G146" s="145">
        <v>43926.0</v>
      </c>
      <c r="H146" s="264" t="s">
        <v>772</v>
      </c>
      <c r="I146" s="264" t="s">
        <v>212</v>
      </c>
    </row>
    <row r="147">
      <c r="A147" s="9">
        <v>43902.0</v>
      </c>
      <c r="B147" s="396" t="s">
        <v>1109</v>
      </c>
      <c r="C147" s="377" t="s">
        <v>1110</v>
      </c>
      <c r="D147" s="383" t="s">
        <v>1111</v>
      </c>
      <c r="E147" s="379" t="s">
        <v>26</v>
      </c>
      <c r="F147" s="308">
        <v>43923.0</v>
      </c>
      <c r="G147" s="308">
        <v>43926.0</v>
      </c>
      <c r="H147" s="394" t="s">
        <v>1112</v>
      </c>
      <c r="I147" s="394" t="s">
        <v>159</v>
      </c>
    </row>
    <row r="148">
      <c r="A148" s="9">
        <v>43902.0</v>
      </c>
      <c r="B148" s="216" t="s">
        <v>1114</v>
      </c>
      <c r="C148" s="89" t="s">
        <v>1115</v>
      </c>
      <c r="D148" s="91" t="str">
        <f>HYPERLINK("https://filmfreeway.com/UniverseMulticulturalFilmFestival","https://filmfreeway.com/UniverseMulticulturalFilmFestival")</f>
        <v>https://filmfreeway.com/UniverseMulticulturalFilmFestival</v>
      </c>
      <c r="E148" s="402" t="s">
        <v>1116</v>
      </c>
      <c r="F148" s="145">
        <v>43924.0</v>
      </c>
      <c r="G148" s="145">
        <v>43926.0</v>
      </c>
      <c r="H148" s="130" t="s">
        <v>1117</v>
      </c>
      <c r="I148" s="130" t="s">
        <v>72</v>
      </c>
    </row>
    <row r="149">
      <c r="A149" s="349">
        <v>43902.0</v>
      </c>
      <c r="B149" s="40" t="s">
        <v>1118</v>
      </c>
      <c r="C149" s="55" t="s">
        <v>1119</v>
      </c>
      <c r="D149" s="69" t="s">
        <v>1120</v>
      </c>
      <c r="E149" s="20" t="s">
        <v>771</v>
      </c>
      <c r="F149" s="37">
        <v>43917.0</v>
      </c>
      <c r="G149" s="37">
        <v>43925.0</v>
      </c>
      <c r="H149" s="73" t="s">
        <v>684</v>
      </c>
      <c r="I149" s="179" t="s">
        <v>72</v>
      </c>
    </row>
    <row r="150">
      <c r="A150" s="349">
        <v>43902.0</v>
      </c>
      <c r="B150" s="77" t="s">
        <v>1122</v>
      </c>
      <c r="C150" s="81" t="s">
        <v>1125</v>
      </c>
      <c r="D150" s="84" t="s">
        <v>1126</v>
      </c>
      <c r="E150" s="20" t="s">
        <v>78</v>
      </c>
      <c r="F150" s="37">
        <v>43909.0</v>
      </c>
      <c r="G150" s="37">
        <v>43919.0</v>
      </c>
      <c r="H150" s="85" t="s">
        <v>1127</v>
      </c>
      <c r="I150" s="85" t="s">
        <v>412</v>
      </c>
    </row>
    <row r="151">
      <c r="A151" s="349">
        <v>43902.0</v>
      </c>
      <c r="B151" s="393" t="s">
        <v>1128</v>
      </c>
      <c r="C151" s="377" t="s">
        <v>1129</v>
      </c>
      <c r="D151" s="404" t="s">
        <v>24</v>
      </c>
      <c r="E151" s="384" t="s">
        <v>1134</v>
      </c>
      <c r="F151" s="145">
        <v>43910.0</v>
      </c>
      <c r="G151" s="145">
        <v>43919.0</v>
      </c>
      <c r="H151" s="395" t="s">
        <v>1135</v>
      </c>
      <c r="I151" s="395" t="s">
        <v>80</v>
      </c>
    </row>
    <row r="152">
      <c r="A152" s="9">
        <v>43902.0</v>
      </c>
      <c r="B152" s="381" t="s">
        <v>1136</v>
      </c>
      <c r="C152" s="377" t="s">
        <v>1137</v>
      </c>
      <c r="D152" s="378" t="str">
        <f>HYPERLINK("https://filmfreeway.com/WomensFilmFestival-Bratt","https://filmfreeway.com/WomensFilmFestival-Bratt")</f>
        <v>https://filmfreeway.com/WomensFilmFestival-Bratt</v>
      </c>
      <c r="E152" s="384" t="s">
        <v>1143</v>
      </c>
      <c r="F152" s="145">
        <v>43910.0</v>
      </c>
      <c r="G152" s="145">
        <v>43919.0</v>
      </c>
      <c r="H152" s="395" t="s">
        <v>1144</v>
      </c>
      <c r="I152" s="395" t="s">
        <v>762</v>
      </c>
    </row>
    <row r="153">
      <c r="A153" s="349">
        <v>43902.0</v>
      </c>
      <c r="B153" s="40" t="s">
        <v>274</v>
      </c>
      <c r="C153" s="55" t="s">
        <v>276</v>
      </c>
      <c r="D153" s="69" t="s">
        <v>277</v>
      </c>
      <c r="E153" s="222" t="s">
        <v>26</v>
      </c>
      <c r="F153" s="37">
        <v>43911.0</v>
      </c>
      <c r="G153" s="37">
        <v>43919.0</v>
      </c>
      <c r="H153" s="73" t="s">
        <v>279</v>
      </c>
      <c r="I153" s="73" t="s">
        <v>72</v>
      </c>
    </row>
    <row r="154">
      <c r="A154" s="9">
        <v>43902.0</v>
      </c>
      <c r="B154" s="77" t="s">
        <v>1148</v>
      </c>
      <c r="C154" s="81" t="s">
        <v>1150</v>
      </c>
      <c r="D154" s="84" t="s">
        <v>1153</v>
      </c>
      <c r="E154" s="222" t="s">
        <v>1156</v>
      </c>
      <c r="F154" s="37">
        <v>43915.0</v>
      </c>
      <c r="G154" s="37">
        <v>43919.0</v>
      </c>
      <c r="H154" s="85" t="s">
        <v>1157</v>
      </c>
      <c r="I154" s="85" t="s">
        <v>72</v>
      </c>
    </row>
    <row r="155">
      <c r="A155" s="349">
        <v>43902.0</v>
      </c>
      <c r="B155" s="77" t="s">
        <v>1158</v>
      </c>
      <c r="C155" s="81" t="s">
        <v>1160</v>
      </c>
      <c r="D155" s="84" t="s">
        <v>1164</v>
      </c>
      <c r="E155" s="222" t="s">
        <v>78</v>
      </c>
      <c r="F155" s="37">
        <v>43916.0</v>
      </c>
      <c r="G155" s="37">
        <v>43919.0</v>
      </c>
      <c r="H155" s="85" t="s">
        <v>1166</v>
      </c>
      <c r="I155" s="85" t="s">
        <v>412</v>
      </c>
    </row>
    <row r="156">
      <c r="A156" s="9">
        <v>43902.0</v>
      </c>
      <c r="B156" s="40" t="s">
        <v>1167</v>
      </c>
      <c r="C156" s="55" t="s">
        <v>1168</v>
      </c>
      <c r="D156" s="69" t="s">
        <v>1171</v>
      </c>
      <c r="E156" s="20" t="s">
        <v>78</v>
      </c>
      <c r="F156" s="37">
        <v>43916.0</v>
      </c>
      <c r="G156" s="37">
        <v>43919.0</v>
      </c>
      <c r="H156" s="73" t="s">
        <v>1173</v>
      </c>
      <c r="I156" s="179" t="s">
        <v>72</v>
      </c>
    </row>
    <row r="157">
      <c r="A157" s="349">
        <v>43902.0</v>
      </c>
      <c r="B157" s="77" t="s">
        <v>514</v>
      </c>
      <c r="C157" s="32" t="s">
        <v>515</v>
      </c>
      <c r="D157" s="84" t="s">
        <v>519</v>
      </c>
      <c r="E157" s="20" t="s">
        <v>521</v>
      </c>
      <c r="F157" s="37">
        <v>43916.0</v>
      </c>
      <c r="G157" s="37">
        <v>43919.0</v>
      </c>
      <c r="H157" s="85" t="s">
        <v>522</v>
      </c>
      <c r="I157" s="85" t="s">
        <v>379</v>
      </c>
    </row>
    <row r="158">
      <c r="A158" s="349">
        <v>43902.0</v>
      </c>
      <c r="B158" s="40" t="s">
        <v>1179</v>
      </c>
      <c r="C158" s="55" t="s">
        <v>1180</v>
      </c>
      <c r="D158" s="69" t="s">
        <v>1184</v>
      </c>
      <c r="E158" s="222" t="s">
        <v>1108</v>
      </c>
      <c r="F158" s="37">
        <v>43916.0</v>
      </c>
      <c r="G158" s="37">
        <v>43918.0</v>
      </c>
      <c r="H158" s="73" t="s">
        <v>1185</v>
      </c>
      <c r="I158" s="73" t="s">
        <v>1186</v>
      </c>
    </row>
    <row r="159">
      <c r="A159" s="9">
        <v>43902.0</v>
      </c>
      <c r="B159" s="40" t="s">
        <v>1187</v>
      </c>
      <c r="C159" s="55" t="s">
        <v>1188</v>
      </c>
      <c r="D159" s="69" t="s">
        <v>1190</v>
      </c>
      <c r="E159" s="222" t="s">
        <v>1192</v>
      </c>
      <c r="F159" s="37">
        <v>43917.0</v>
      </c>
      <c r="G159" s="37">
        <v>43918.0</v>
      </c>
      <c r="H159" s="73" t="s">
        <v>1193</v>
      </c>
      <c r="I159" s="179" t="s">
        <v>336</v>
      </c>
    </row>
    <row r="160">
      <c r="A160" s="9">
        <v>43902.0</v>
      </c>
      <c r="B160" s="40" t="s">
        <v>1194</v>
      </c>
      <c r="C160" s="55" t="s">
        <v>1195</v>
      </c>
      <c r="D160" s="69" t="s">
        <v>1197</v>
      </c>
      <c r="E160" s="20" t="s">
        <v>78</v>
      </c>
      <c r="F160" s="37">
        <v>43913.0</v>
      </c>
      <c r="G160" s="37">
        <v>43917.0</v>
      </c>
      <c r="H160" s="73" t="s">
        <v>196</v>
      </c>
      <c r="I160" s="179" t="s">
        <v>29</v>
      </c>
    </row>
    <row r="161">
      <c r="A161" s="349">
        <v>43902.0</v>
      </c>
      <c r="B161" s="393" t="s">
        <v>1199</v>
      </c>
      <c r="C161" s="377" t="s">
        <v>1200</v>
      </c>
      <c r="D161" s="378" t="s">
        <v>1202</v>
      </c>
      <c r="E161" s="379" t="s">
        <v>1204</v>
      </c>
      <c r="F161" s="308">
        <v>43902.0</v>
      </c>
      <c r="G161" s="308">
        <v>43912.0</v>
      </c>
      <c r="H161" s="388" t="s">
        <v>131</v>
      </c>
      <c r="I161" s="394" t="s">
        <v>132</v>
      </c>
    </row>
    <row r="162">
      <c r="A162" s="9">
        <v>43902.0</v>
      </c>
      <c r="B162" s="77" t="s">
        <v>1205</v>
      </c>
      <c r="C162" s="250" t="s">
        <v>1206</v>
      </c>
      <c r="D162" s="84" t="s">
        <v>1208</v>
      </c>
      <c r="E162" s="222" t="s">
        <v>78</v>
      </c>
      <c r="F162" s="113">
        <v>43902.0</v>
      </c>
      <c r="G162" s="113">
        <v>43912.0</v>
      </c>
      <c r="H162" s="85" t="s">
        <v>684</v>
      </c>
      <c r="I162" s="85" t="s">
        <v>72</v>
      </c>
    </row>
    <row r="163">
      <c r="A163" s="9">
        <v>43902.0</v>
      </c>
      <c r="B163" s="77" t="s">
        <v>1209</v>
      </c>
      <c r="C163" s="81" t="s">
        <v>1210</v>
      </c>
      <c r="D163" s="84" t="s">
        <v>1211</v>
      </c>
      <c r="E163" s="222" t="s">
        <v>26</v>
      </c>
      <c r="F163" s="37">
        <v>43907.0</v>
      </c>
      <c r="G163" s="37">
        <v>43912.0</v>
      </c>
      <c r="H163" s="85" t="s">
        <v>1212</v>
      </c>
      <c r="I163" s="85" t="s">
        <v>72</v>
      </c>
    </row>
    <row r="164">
      <c r="A164" s="9">
        <v>43902.0</v>
      </c>
      <c r="B164" s="153" t="s">
        <v>1213</v>
      </c>
      <c r="C164" s="81" t="s">
        <v>1214</v>
      </c>
      <c r="D164" s="158" t="s">
        <v>1216</v>
      </c>
      <c r="E164" s="222" t="s">
        <v>78</v>
      </c>
      <c r="F164" s="37">
        <v>43908.0</v>
      </c>
      <c r="G164" s="37">
        <v>43912.0</v>
      </c>
      <c r="H164" s="73" t="s">
        <v>1218</v>
      </c>
      <c r="I164" s="73" t="s">
        <v>405</v>
      </c>
    </row>
    <row r="165">
      <c r="A165" s="349">
        <v>43902.0</v>
      </c>
      <c r="B165" s="393" t="s">
        <v>1220</v>
      </c>
      <c r="C165" s="377" t="s">
        <v>1221</v>
      </c>
      <c r="D165" s="378" t="s">
        <v>1223</v>
      </c>
      <c r="E165" s="379" t="s">
        <v>439</v>
      </c>
      <c r="F165" s="308">
        <v>43908.0</v>
      </c>
      <c r="G165" s="308">
        <v>43912.0</v>
      </c>
      <c r="H165" s="394" t="s">
        <v>1224</v>
      </c>
      <c r="I165" s="394" t="s">
        <v>412</v>
      </c>
    </row>
    <row r="166">
      <c r="A166" s="349">
        <v>43902.0</v>
      </c>
      <c r="B166" s="10" t="s">
        <v>1225</v>
      </c>
      <c r="C166" s="17" t="s">
        <v>1226</v>
      </c>
      <c r="D166" s="175" t="s">
        <v>1229</v>
      </c>
      <c r="E166" s="222" t="s">
        <v>78</v>
      </c>
      <c r="F166" s="113">
        <v>43908.0</v>
      </c>
      <c r="G166" s="113">
        <v>43912.0</v>
      </c>
      <c r="H166" s="24" t="s">
        <v>196</v>
      </c>
      <c r="I166" s="24" t="s">
        <v>29</v>
      </c>
    </row>
    <row r="167">
      <c r="A167" s="349">
        <v>43902.0</v>
      </c>
      <c r="B167" s="77" t="s">
        <v>1231</v>
      </c>
      <c r="C167" s="81" t="s">
        <v>1233</v>
      </c>
      <c r="D167" s="34" t="s">
        <v>1236</v>
      </c>
      <c r="E167" s="222" t="s">
        <v>26</v>
      </c>
      <c r="F167" s="37">
        <v>43908.0</v>
      </c>
      <c r="G167" s="37">
        <v>43912.0</v>
      </c>
      <c r="H167" s="85" t="s">
        <v>1238</v>
      </c>
      <c r="I167" s="85" t="s">
        <v>1186</v>
      </c>
    </row>
    <row r="168">
      <c r="A168" s="349">
        <v>43902.0</v>
      </c>
      <c r="B168" s="40" t="s">
        <v>1239</v>
      </c>
      <c r="C168" s="55" t="s">
        <v>1240</v>
      </c>
      <c r="D168" s="69" t="s">
        <v>1242</v>
      </c>
      <c r="E168" s="222" t="s">
        <v>26</v>
      </c>
      <c r="F168" s="37">
        <v>43909.0</v>
      </c>
      <c r="G168" s="37">
        <v>43912.0</v>
      </c>
      <c r="H168" s="73" t="s">
        <v>993</v>
      </c>
      <c r="I168" s="73" t="s">
        <v>72</v>
      </c>
    </row>
    <row r="169">
      <c r="A169" s="349">
        <v>43902.0</v>
      </c>
      <c r="B169" s="386" t="s">
        <v>1243</v>
      </c>
      <c r="C169" s="382" t="s">
        <v>1244</v>
      </c>
      <c r="D169" s="378" t="s">
        <v>1245</v>
      </c>
      <c r="E169" s="379" t="s">
        <v>1246</v>
      </c>
      <c r="F169" s="336">
        <v>43909.0</v>
      </c>
      <c r="G169" s="336">
        <v>43912.0</v>
      </c>
      <c r="H169" s="388" t="s">
        <v>447</v>
      </c>
      <c r="I169" s="388" t="s">
        <v>80</v>
      </c>
    </row>
    <row r="170">
      <c r="A170" s="349">
        <v>43902.0</v>
      </c>
      <c r="B170" s="393" t="s">
        <v>1248</v>
      </c>
      <c r="C170" s="377" t="s">
        <v>1249</v>
      </c>
      <c r="D170" s="378" t="s">
        <v>1250</v>
      </c>
      <c r="E170" s="379" t="s">
        <v>78</v>
      </c>
      <c r="F170" s="308">
        <v>43909.0</v>
      </c>
      <c r="G170" s="308">
        <v>43912.0</v>
      </c>
      <c r="H170" s="394" t="s">
        <v>1253</v>
      </c>
      <c r="I170" s="394" t="s">
        <v>80</v>
      </c>
    </row>
    <row r="171">
      <c r="A171" s="349">
        <v>43902.0</v>
      </c>
      <c r="B171" s="40" t="s">
        <v>1254</v>
      </c>
      <c r="C171" s="55" t="s">
        <v>1255</v>
      </c>
      <c r="D171" s="69" t="s">
        <v>1257</v>
      </c>
      <c r="E171" s="20" t="s">
        <v>78</v>
      </c>
      <c r="F171" s="37">
        <v>43910.0</v>
      </c>
      <c r="G171" s="37">
        <v>43912.0</v>
      </c>
      <c r="H171" s="73" t="s">
        <v>230</v>
      </c>
      <c r="I171" s="73" t="s">
        <v>231</v>
      </c>
    </row>
    <row r="172">
      <c r="A172" s="349">
        <v>43902.0</v>
      </c>
      <c r="B172" s="396" t="s">
        <v>1260</v>
      </c>
      <c r="C172" s="377" t="s">
        <v>1261</v>
      </c>
      <c r="D172" s="378" t="s">
        <v>1263</v>
      </c>
      <c r="E172" s="379" t="s">
        <v>26</v>
      </c>
      <c r="F172" s="308">
        <v>43903.0</v>
      </c>
      <c r="G172" s="308">
        <v>43911.0</v>
      </c>
      <c r="H172" s="394" t="s">
        <v>165</v>
      </c>
      <c r="I172" s="394" t="s">
        <v>102</v>
      </c>
    </row>
    <row r="173">
      <c r="A173" s="9">
        <v>43902.0</v>
      </c>
      <c r="B173" s="153" t="s">
        <v>1266</v>
      </c>
      <c r="C173" s="81" t="s">
        <v>1267</v>
      </c>
      <c r="D173" s="158" t="s">
        <v>1268</v>
      </c>
      <c r="E173" s="222" t="s">
        <v>1269</v>
      </c>
      <c r="F173" s="37">
        <v>43907.0</v>
      </c>
      <c r="G173" s="37">
        <v>43911.0</v>
      </c>
      <c r="H173" s="73" t="s">
        <v>1270</v>
      </c>
      <c r="I173" s="73" t="s">
        <v>1271</v>
      </c>
    </row>
    <row r="174">
      <c r="A174" s="9">
        <v>43902.0</v>
      </c>
      <c r="B174" s="40" t="s">
        <v>1272</v>
      </c>
      <c r="C174" s="55" t="s">
        <v>1273</v>
      </c>
      <c r="D174" s="69" t="s">
        <v>1275</v>
      </c>
      <c r="E174" s="222" t="s">
        <v>78</v>
      </c>
      <c r="F174" s="37">
        <v>43910.0</v>
      </c>
      <c r="G174" s="37">
        <v>43911.0</v>
      </c>
      <c r="H174" s="73" t="s">
        <v>399</v>
      </c>
      <c r="I174" s="179" t="s">
        <v>72</v>
      </c>
    </row>
    <row r="175">
      <c r="A175" s="9">
        <v>43902.0</v>
      </c>
      <c r="B175" s="40" t="s">
        <v>1276</v>
      </c>
      <c r="C175" s="234" t="s">
        <v>1277</v>
      </c>
      <c r="D175" s="235" t="s">
        <v>1280</v>
      </c>
      <c r="E175" s="222" t="s">
        <v>26</v>
      </c>
      <c r="F175" s="37">
        <v>43905.0</v>
      </c>
      <c r="G175" s="37">
        <v>43910.0</v>
      </c>
      <c r="H175" s="73" t="s">
        <v>399</v>
      </c>
      <c r="I175" s="179" t="s">
        <v>72</v>
      </c>
    </row>
    <row r="176">
      <c r="A176" s="349">
        <v>43902.0</v>
      </c>
      <c r="B176" s="396" t="s">
        <v>1282</v>
      </c>
      <c r="C176" s="377" t="s">
        <v>1283</v>
      </c>
      <c r="D176" s="397" t="s">
        <v>1287</v>
      </c>
      <c r="E176" s="379" t="s">
        <v>1288</v>
      </c>
      <c r="F176" s="308">
        <v>43893.0</v>
      </c>
      <c r="G176" s="308">
        <v>43905.0</v>
      </c>
      <c r="H176" s="394" t="s">
        <v>1289</v>
      </c>
      <c r="I176" s="394" t="s">
        <v>72</v>
      </c>
    </row>
    <row r="177">
      <c r="A177" s="9">
        <v>43902.0</v>
      </c>
      <c r="B177" s="10" t="s">
        <v>1290</v>
      </c>
      <c r="C177" s="422" t="s">
        <v>1291</v>
      </c>
      <c r="D177" s="383" t="s">
        <v>1292</v>
      </c>
      <c r="E177" s="222" t="s">
        <v>1294</v>
      </c>
      <c r="F177" s="113">
        <v>43896.0</v>
      </c>
      <c r="G177" s="113">
        <v>43905.0</v>
      </c>
      <c r="H177" s="24" t="s">
        <v>880</v>
      </c>
      <c r="I177" s="24" t="s">
        <v>46</v>
      </c>
    </row>
    <row r="178">
      <c r="A178" s="349">
        <v>43902.0</v>
      </c>
      <c r="B178" s="393" t="s">
        <v>1295</v>
      </c>
      <c r="C178" s="377" t="s">
        <v>1296</v>
      </c>
      <c r="D178" s="378" t="s">
        <v>1300</v>
      </c>
      <c r="E178" s="379" t="s">
        <v>1301</v>
      </c>
      <c r="F178" s="308">
        <v>43901.0</v>
      </c>
      <c r="G178" s="308">
        <v>43905.0</v>
      </c>
      <c r="H178" s="394" t="s">
        <v>1303</v>
      </c>
      <c r="I178" s="394" t="s">
        <v>72</v>
      </c>
    </row>
    <row r="179">
      <c r="A179" s="9">
        <v>43902.0</v>
      </c>
      <c r="B179" s="10" t="s">
        <v>1304</v>
      </c>
      <c r="C179" s="17" t="s">
        <v>1305</v>
      </c>
      <c r="D179" s="175" t="s">
        <v>1306</v>
      </c>
      <c r="E179" s="222" t="s">
        <v>78</v>
      </c>
      <c r="F179" s="113">
        <v>43902.0</v>
      </c>
      <c r="G179" s="113">
        <v>43905.0</v>
      </c>
      <c r="H179" s="24" t="s">
        <v>399</v>
      </c>
      <c r="I179" s="24" t="s">
        <v>72</v>
      </c>
    </row>
    <row r="180">
      <c r="A180" s="9">
        <v>43902.0</v>
      </c>
      <c r="B180" s="40" t="s">
        <v>1310</v>
      </c>
      <c r="C180" s="55" t="s">
        <v>1311</v>
      </c>
      <c r="D180" s="69" t="s">
        <v>1313</v>
      </c>
      <c r="E180" s="20" t="s">
        <v>78</v>
      </c>
      <c r="F180" s="37">
        <v>43902.0</v>
      </c>
      <c r="G180" s="37">
        <v>43905.0</v>
      </c>
      <c r="H180" s="73" t="s">
        <v>230</v>
      </c>
      <c r="I180" s="179" t="s">
        <v>231</v>
      </c>
    </row>
  </sheetData>
  <hyperlinks>
    <hyperlink r:id="rId1" ref="C2"/>
    <hyperlink r:id="rId2" ref="B3"/>
    <hyperlink r:id="rId3" ref="C3"/>
    <hyperlink r:id="rId4" ref="D3"/>
    <hyperlink r:id="rId5" ref="C4"/>
    <hyperlink r:id="rId6" ref="D4"/>
    <hyperlink r:id="rId7" ref="B5"/>
    <hyperlink r:id="rId8" ref="C5"/>
    <hyperlink r:id="rId9" ref="D5"/>
    <hyperlink r:id="rId10" ref="B6"/>
    <hyperlink r:id="rId11" ref="C6"/>
    <hyperlink r:id="rId12" ref="D6"/>
    <hyperlink r:id="rId13" ref="C7"/>
    <hyperlink r:id="rId14" ref="C8"/>
    <hyperlink r:id="rId15" ref="D8"/>
    <hyperlink r:id="rId16" ref="B9"/>
    <hyperlink r:id="rId17" ref="C9"/>
    <hyperlink r:id="rId18" ref="D9"/>
    <hyperlink r:id="rId19" ref="C10"/>
    <hyperlink r:id="rId20" ref="D10"/>
    <hyperlink r:id="rId21" ref="C11"/>
    <hyperlink r:id="rId22" ref="D11"/>
    <hyperlink r:id="rId23" ref="C12"/>
    <hyperlink r:id="rId24" ref="D12"/>
    <hyperlink r:id="rId25" ref="C13"/>
    <hyperlink r:id="rId26" ref="D13"/>
    <hyperlink r:id="rId27" ref="C14"/>
    <hyperlink r:id="rId28" ref="D14"/>
    <hyperlink r:id="rId29" ref="C15"/>
    <hyperlink r:id="rId30" ref="D15"/>
    <hyperlink r:id="rId31" ref="C16"/>
    <hyperlink r:id="rId32" ref="C17"/>
    <hyperlink r:id="rId33" ref="D17"/>
    <hyperlink r:id="rId34" ref="C18"/>
    <hyperlink r:id="rId35" ref="D18"/>
    <hyperlink r:id="rId36" ref="C19"/>
    <hyperlink r:id="rId37" ref="D19"/>
    <hyperlink r:id="rId38" ref="C20"/>
    <hyperlink r:id="rId39" ref="D20"/>
    <hyperlink r:id="rId40" ref="C21"/>
    <hyperlink r:id="rId41" ref="D21"/>
    <hyperlink r:id="rId42" ref="B22"/>
    <hyperlink r:id="rId43" ref="C22"/>
    <hyperlink r:id="rId44" ref="D22"/>
    <hyperlink r:id="rId45" ref="C23"/>
    <hyperlink r:id="rId46" ref="D23"/>
    <hyperlink r:id="rId47" ref="C24"/>
    <hyperlink r:id="rId48" ref="D24"/>
    <hyperlink r:id="rId49" ref="C25"/>
    <hyperlink r:id="rId50" ref="D25"/>
    <hyperlink r:id="rId51" ref="C26"/>
    <hyperlink r:id="rId52" ref="C27"/>
    <hyperlink r:id="rId53" ref="D27"/>
    <hyperlink r:id="rId54" ref="C28"/>
    <hyperlink r:id="rId55" ref="D28"/>
    <hyperlink r:id="rId56" ref="C29"/>
    <hyperlink r:id="rId57" ref="D29"/>
    <hyperlink r:id="rId58" ref="B30"/>
    <hyperlink r:id="rId59" ref="C30"/>
    <hyperlink r:id="rId60" ref="D30"/>
    <hyperlink r:id="rId61" ref="C31"/>
    <hyperlink r:id="rId62" ref="D31"/>
    <hyperlink r:id="rId63" ref="C32"/>
    <hyperlink r:id="rId64" ref="D32"/>
    <hyperlink r:id="rId65" ref="C33"/>
    <hyperlink r:id="rId66" ref="D33"/>
    <hyperlink r:id="rId67" ref="B34"/>
    <hyperlink r:id="rId68" ref="C34"/>
    <hyperlink r:id="rId69" ref="D34"/>
    <hyperlink r:id="rId70" ref="C35"/>
    <hyperlink r:id="rId71" ref="B36"/>
    <hyperlink r:id="rId72" ref="C36"/>
    <hyperlink r:id="rId73" ref="D36"/>
    <hyperlink r:id="rId74" ref="B37"/>
    <hyperlink r:id="rId75" ref="C37"/>
    <hyperlink r:id="rId76" ref="D37"/>
    <hyperlink r:id="rId77" ref="B38"/>
    <hyperlink r:id="rId78" ref="C38"/>
    <hyperlink r:id="rId79" ref="D38"/>
    <hyperlink r:id="rId80" ref="C39"/>
    <hyperlink r:id="rId81" ref="D39"/>
    <hyperlink r:id="rId82" ref="C40"/>
    <hyperlink r:id="rId83" ref="D40"/>
    <hyperlink r:id="rId84" ref="C41"/>
    <hyperlink r:id="rId85" ref="D41"/>
    <hyperlink r:id="rId86" ref="C42"/>
    <hyperlink r:id="rId87" ref="D42"/>
    <hyperlink r:id="rId88" ref="B43"/>
    <hyperlink r:id="rId89" ref="C43"/>
    <hyperlink r:id="rId90" ref="D43"/>
    <hyperlink r:id="rId91" ref="C44"/>
    <hyperlink r:id="rId92" ref="D44"/>
    <hyperlink r:id="rId93" ref="C45"/>
    <hyperlink r:id="rId94" ref="C46"/>
    <hyperlink r:id="rId95" ref="D46"/>
    <hyperlink r:id="rId96" ref="C47"/>
    <hyperlink r:id="rId97" ref="D47"/>
    <hyperlink r:id="rId98" ref="B48"/>
    <hyperlink r:id="rId99" ref="C48"/>
    <hyperlink r:id="rId100" ref="D48"/>
    <hyperlink r:id="rId101" ref="C49"/>
    <hyperlink r:id="rId102" ref="D49"/>
    <hyperlink r:id="rId103" ref="B50"/>
    <hyperlink r:id="rId104" ref="C50"/>
    <hyperlink r:id="rId105" ref="D50"/>
    <hyperlink r:id="rId106" ref="C51"/>
    <hyperlink r:id="rId107" ref="D51"/>
    <hyperlink r:id="rId108" ref="B52"/>
    <hyperlink r:id="rId109" ref="C52"/>
    <hyperlink r:id="rId110" ref="D52"/>
    <hyperlink r:id="rId111" ref="C53"/>
    <hyperlink r:id="rId112" ref="D53"/>
    <hyperlink r:id="rId113" ref="C54"/>
    <hyperlink r:id="rId114" ref="D54"/>
    <hyperlink r:id="rId115" ref="B55"/>
    <hyperlink r:id="rId116" ref="C55"/>
    <hyperlink r:id="rId117" ref="D55"/>
    <hyperlink r:id="rId118" ref="C56"/>
    <hyperlink r:id="rId119" ref="D56"/>
    <hyperlink r:id="rId120" ref="B57"/>
    <hyperlink r:id="rId121" ref="C57"/>
    <hyperlink r:id="rId122" ref="D57"/>
    <hyperlink r:id="rId123" ref="B58"/>
    <hyperlink r:id="rId124" ref="C58"/>
    <hyperlink r:id="rId125" ref="D58"/>
    <hyperlink r:id="rId126" ref="B59"/>
    <hyperlink r:id="rId127" ref="C59"/>
    <hyperlink r:id="rId128" ref="D59"/>
    <hyperlink r:id="rId129" ref="C60"/>
    <hyperlink r:id="rId130" ref="D60"/>
    <hyperlink r:id="rId131" ref="C61"/>
    <hyperlink r:id="rId132" ref="D61"/>
    <hyperlink r:id="rId133" ref="C62"/>
    <hyperlink r:id="rId134" ref="D62"/>
    <hyperlink r:id="rId135" ref="C63"/>
    <hyperlink r:id="rId136" ref="D63"/>
    <hyperlink r:id="rId137" ref="C64"/>
    <hyperlink r:id="rId138" ref="D64"/>
    <hyperlink r:id="rId139" ref="B65"/>
    <hyperlink r:id="rId140" ref="C65"/>
    <hyperlink r:id="rId141" ref="D65"/>
    <hyperlink r:id="rId142" ref="C66"/>
    <hyperlink r:id="rId143" ref="D66"/>
    <hyperlink r:id="rId144" ref="B67"/>
    <hyperlink r:id="rId145" ref="C67"/>
    <hyperlink r:id="rId146" ref="D67"/>
    <hyperlink r:id="rId147" ref="B68"/>
    <hyperlink r:id="rId148" ref="C68"/>
    <hyperlink r:id="rId149" ref="C69"/>
    <hyperlink r:id="rId150" ref="D69"/>
    <hyperlink r:id="rId151" ref="C70"/>
    <hyperlink r:id="rId152" ref="D70"/>
    <hyperlink r:id="rId153" ref="C71"/>
    <hyperlink r:id="rId154" ref="D71"/>
    <hyperlink r:id="rId155" ref="C72"/>
    <hyperlink r:id="rId156" ref="B73"/>
    <hyperlink r:id="rId157" ref="C73"/>
    <hyperlink r:id="rId158" ref="D73"/>
    <hyperlink r:id="rId159" ref="B74"/>
    <hyperlink r:id="rId160" ref="C74"/>
    <hyperlink r:id="rId161" ref="D74"/>
    <hyperlink r:id="rId162" ref="C75"/>
    <hyperlink r:id="rId163" ref="C76"/>
    <hyperlink r:id="rId164" ref="D76"/>
    <hyperlink r:id="rId165" ref="B77"/>
    <hyperlink r:id="rId166" ref="C77"/>
    <hyperlink r:id="rId167" ref="D77"/>
    <hyperlink r:id="rId168" ref="C78"/>
    <hyperlink r:id="rId169" ref="D78"/>
    <hyperlink r:id="rId170" ref="C79"/>
    <hyperlink r:id="rId171" ref="C80"/>
    <hyperlink r:id="rId172" ref="D80"/>
    <hyperlink r:id="rId173" ref="C81"/>
    <hyperlink r:id="rId174" ref="D81"/>
    <hyperlink r:id="rId175" ref="B82"/>
    <hyperlink r:id="rId176" ref="C82"/>
    <hyperlink r:id="rId177" ref="D82"/>
    <hyperlink r:id="rId178" ref="B83"/>
    <hyperlink r:id="rId179" ref="C83"/>
    <hyperlink r:id="rId180" ref="D83"/>
    <hyperlink r:id="rId181" ref="C84"/>
    <hyperlink r:id="rId182" ref="D84"/>
    <hyperlink r:id="rId183" ref="C85"/>
    <hyperlink r:id="rId184" ref="D85"/>
    <hyperlink r:id="rId185" ref="C86"/>
    <hyperlink r:id="rId186" ref="C87"/>
    <hyperlink r:id="rId187" ref="D87"/>
    <hyperlink r:id="rId188" ref="B88"/>
    <hyperlink r:id="rId189" ref="C88"/>
    <hyperlink r:id="rId190" ref="D88"/>
    <hyperlink r:id="rId191" ref="C89"/>
    <hyperlink r:id="rId192" ref="D89"/>
    <hyperlink r:id="rId193" ref="C90"/>
    <hyperlink r:id="rId194" ref="C91"/>
    <hyperlink r:id="rId195" ref="D91"/>
    <hyperlink r:id="rId196" ref="C92"/>
    <hyperlink r:id="rId197" ref="D92"/>
    <hyperlink r:id="rId198" ref="C93"/>
    <hyperlink r:id="rId199" ref="D93"/>
    <hyperlink r:id="rId200" ref="C94"/>
    <hyperlink r:id="rId201" ref="D94"/>
    <hyperlink r:id="rId202" ref="C95"/>
    <hyperlink r:id="rId203" ref="C96"/>
    <hyperlink r:id="rId204" ref="D96"/>
    <hyperlink r:id="rId205" ref="B97"/>
    <hyperlink r:id="rId206" ref="C97"/>
    <hyperlink r:id="rId207" ref="D97"/>
    <hyperlink r:id="rId208" ref="C98"/>
    <hyperlink r:id="rId209" ref="D98"/>
    <hyperlink r:id="rId210" ref="C99"/>
    <hyperlink r:id="rId211" ref="D99"/>
    <hyperlink r:id="rId212" ref="C100"/>
    <hyperlink r:id="rId213" ref="D100"/>
    <hyperlink r:id="rId214" ref="C101"/>
    <hyperlink r:id="rId215" ref="C102"/>
    <hyperlink r:id="rId216" ref="D102"/>
    <hyperlink r:id="rId217" ref="C103"/>
    <hyperlink r:id="rId218" ref="B104"/>
    <hyperlink r:id="rId219" ref="C104"/>
    <hyperlink r:id="rId220" ref="D104"/>
    <hyperlink r:id="rId221" ref="B105"/>
    <hyperlink r:id="rId222" ref="C105"/>
    <hyperlink r:id="rId223" ref="C106"/>
    <hyperlink r:id="rId224" ref="D106"/>
    <hyperlink r:id="rId225" ref="B107"/>
    <hyperlink r:id="rId226" ref="C107"/>
    <hyperlink r:id="rId227" ref="D107"/>
    <hyperlink r:id="rId228" ref="C108"/>
    <hyperlink r:id="rId229" ref="D108"/>
    <hyperlink r:id="rId230" ref="B109"/>
    <hyperlink r:id="rId231" ref="C109"/>
    <hyperlink r:id="rId232" ref="D109"/>
    <hyperlink r:id="rId233" ref="C110"/>
    <hyperlink r:id="rId234" ref="D110"/>
    <hyperlink r:id="rId235" ref="B111"/>
    <hyperlink r:id="rId236" ref="C111"/>
    <hyperlink r:id="rId237" ref="D111"/>
    <hyperlink r:id="rId238" ref="C112"/>
    <hyperlink r:id="rId239" ref="D112"/>
    <hyperlink r:id="rId240" ref="C113"/>
    <hyperlink r:id="rId241" ref="B114"/>
    <hyperlink r:id="rId242" ref="C114"/>
    <hyperlink r:id="rId243" ref="D114"/>
    <hyperlink r:id="rId244" ref="C115"/>
    <hyperlink r:id="rId245" ref="D115"/>
    <hyperlink r:id="rId246" ref="B116"/>
    <hyperlink r:id="rId247" ref="C116"/>
    <hyperlink r:id="rId248" ref="D116"/>
    <hyperlink r:id="rId249" ref="C117"/>
    <hyperlink r:id="rId250" ref="D117"/>
    <hyperlink r:id="rId251" ref="B118"/>
    <hyperlink r:id="rId252" ref="C118"/>
    <hyperlink r:id="rId253" ref="D118"/>
    <hyperlink r:id="rId254" ref="B119"/>
    <hyperlink r:id="rId255" ref="C119"/>
    <hyperlink r:id="rId256" ref="C120"/>
    <hyperlink r:id="rId257" ref="D120"/>
    <hyperlink r:id="rId258" ref="C121"/>
    <hyperlink r:id="rId259" ref="D121"/>
    <hyperlink r:id="rId260" ref="C122"/>
    <hyperlink r:id="rId261" ref="D122"/>
    <hyperlink r:id="rId262" ref="B123"/>
    <hyperlink r:id="rId263" ref="C123"/>
    <hyperlink r:id="rId264" ref="D123"/>
    <hyperlink r:id="rId265" ref="C124"/>
    <hyperlink r:id="rId266" ref="D124"/>
    <hyperlink r:id="rId267" ref="C125"/>
    <hyperlink r:id="rId268" ref="C126"/>
    <hyperlink r:id="rId269" ref="D126"/>
    <hyperlink r:id="rId270" ref="B127"/>
    <hyperlink r:id="rId271" ref="C127"/>
    <hyperlink r:id="rId272" ref="D127"/>
    <hyperlink r:id="rId273" ref="B128"/>
    <hyperlink r:id="rId274" ref="C128"/>
    <hyperlink r:id="rId275" ref="D128"/>
    <hyperlink r:id="rId276" ref="B129"/>
    <hyperlink r:id="rId277" ref="C129"/>
    <hyperlink r:id="rId278" ref="D129"/>
    <hyperlink r:id="rId279" ref="C130"/>
    <hyperlink r:id="rId280" ref="D130"/>
    <hyperlink r:id="rId281" ref="C131"/>
    <hyperlink r:id="rId282" ref="C132"/>
    <hyperlink r:id="rId283" ref="D132"/>
    <hyperlink r:id="rId284" ref="C133"/>
    <hyperlink r:id="rId285" ref="D133"/>
    <hyperlink r:id="rId286" ref="B134"/>
    <hyperlink r:id="rId287" ref="C134"/>
    <hyperlink r:id="rId288" ref="D134"/>
    <hyperlink r:id="rId289" ref="B135"/>
    <hyperlink r:id="rId290" ref="C135"/>
    <hyperlink r:id="rId291" ref="D135"/>
    <hyperlink r:id="rId292" ref="C137"/>
    <hyperlink r:id="rId293" ref="D137"/>
    <hyperlink r:id="rId294" ref="C138"/>
    <hyperlink r:id="rId295" ref="C139"/>
    <hyperlink r:id="rId296" ref="D139"/>
    <hyperlink r:id="rId297" ref="C140"/>
    <hyperlink r:id="rId298" ref="D140"/>
    <hyperlink r:id="rId299" ref="C141"/>
    <hyperlink r:id="rId300" ref="D141"/>
    <hyperlink r:id="rId301" ref="C142"/>
    <hyperlink r:id="rId302" ref="D142"/>
    <hyperlink r:id="rId303" ref="B143"/>
    <hyperlink r:id="rId304" ref="C143"/>
    <hyperlink r:id="rId305" ref="C144"/>
    <hyperlink r:id="rId306" ref="B145"/>
    <hyperlink r:id="rId307" ref="C145"/>
    <hyperlink r:id="rId308" ref="D145"/>
    <hyperlink r:id="rId309" ref="C146"/>
    <hyperlink r:id="rId310" ref="C147"/>
    <hyperlink r:id="rId311" ref="D147"/>
    <hyperlink r:id="rId312" ref="C148"/>
    <hyperlink r:id="rId313" ref="C149"/>
    <hyperlink r:id="rId314" ref="D149"/>
    <hyperlink r:id="rId315" ref="B150"/>
    <hyperlink r:id="rId316" ref="C150"/>
    <hyperlink r:id="rId317" ref="D150"/>
    <hyperlink r:id="rId318" ref="C151"/>
    <hyperlink r:id="rId319" ref="C152"/>
    <hyperlink r:id="rId320" ref="C153"/>
    <hyperlink r:id="rId321" ref="D153"/>
    <hyperlink r:id="rId322" ref="B154"/>
    <hyperlink r:id="rId323" ref="C154"/>
    <hyperlink r:id="rId324" ref="D154"/>
    <hyperlink r:id="rId325" ref="B155"/>
    <hyperlink r:id="rId326" ref="C155"/>
    <hyperlink r:id="rId327" ref="D155"/>
    <hyperlink r:id="rId328" ref="C156"/>
    <hyperlink r:id="rId329" ref="D156"/>
    <hyperlink r:id="rId330" ref="B157"/>
    <hyperlink r:id="rId331" ref="C157"/>
    <hyperlink r:id="rId332" ref="D157"/>
    <hyperlink r:id="rId333" ref="C158"/>
    <hyperlink r:id="rId334" ref="D158"/>
    <hyperlink r:id="rId335" ref="C159"/>
    <hyperlink r:id="rId336" ref="D159"/>
    <hyperlink r:id="rId337" ref="C160"/>
    <hyperlink r:id="rId338" ref="D160"/>
    <hyperlink r:id="rId339" ref="C161"/>
    <hyperlink r:id="rId340" ref="D161"/>
    <hyperlink r:id="rId341" ref="B162"/>
    <hyperlink r:id="rId342" ref="C162"/>
    <hyperlink r:id="rId343" ref="D162"/>
    <hyperlink r:id="rId344" ref="C163"/>
    <hyperlink r:id="rId345" ref="D163"/>
    <hyperlink r:id="rId346" ref="C164"/>
    <hyperlink r:id="rId347" ref="D164"/>
    <hyperlink r:id="rId348" ref="C165"/>
    <hyperlink r:id="rId349" ref="D165"/>
    <hyperlink r:id="rId350" ref="C166"/>
    <hyperlink r:id="rId351" ref="D166"/>
    <hyperlink r:id="rId352" ref="B167"/>
    <hyperlink r:id="rId353" ref="C167"/>
    <hyperlink r:id="rId354" ref="D167"/>
    <hyperlink r:id="rId355" ref="C168"/>
    <hyperlink r:id="rId356" ref="D168"/>
    <hyperlink r:id="rId357" ref="B169"/>
    <hyperlink r:id="rId358" ref="C169"/>
    <hyperlink r:id="rId359" ref="D169"/>
    <hyperlink r:id="rId360" ref="C170"/>
    <hyperlink r:id="rId361" ref="D170"/>
    <hyperlink r:id="rId362" ref="C171"/>
    <hyperlink r:id="rId363" ref="D171"/>
    <hyperlink r:id="rId364" ref="C172"/>
    <hyperlink r:id="rId365" ref="D172"/>
    <hyperlink r:id="rId366" ref="C173"/>
    <hyperlink r:id="rId367" ref="D173"/>
    <hyperlink r:id="rId368" ref="C174"/>
    <hyperlink r:id="rId369" ref="D174"/>
    <hyperlink r:id="rId370" ref="C175"/>
    <hyperlink r:id="rId371" ref="D175"/>
    <hyperlink r:id="rId372" ref="C176"/>
    <hyperlink r:id="rId373" ref="D176"/>
    <hyperlink r:id="rId374" ref="C177"/>
    <hyperlink r:id="rId375" ref="D177"/>
    <hyperlink r:id="rId376" ref="C178"/>
    <hyperlink r:id="rId377" ref="D178"/>
    <hyperlink r:id="rId378" ref="C179"/>
    <hyperlink r:id="rId379" ref="D179"/>
    <hyperlink r:id="rId380" ref="C180"/>
    <hyperlink r:id="rId381" ref="D180"/>
  </hyperlinks>
  <drawing r:id="rId38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R3" s="188" t="str">
        <f>hyperlink("https://puffpdx.org/", "Portland Underground Film Festival")</f>
        <v>Portland Underground Film Festival</v>
      </c>
      <c r="U3" s="43" t="s">
        <v>50</v>
      </c>
      <c r="V3" s="45"/>
      <c r="W3" s="45"/>
      <c r="X3" s="154" t="str">
        <f>hyperlink("http://www.stuftx.org/", "South Texas Underground Film Festival")</f>
        <v>South Texas Underground Film Festival</v>
      </c>
      <c r="AB3" s="43" t="s">
        <v>50</v>
      </c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CG3" s="188" t="str">
        <f>hyperlink("http://bostonunderground.org/", "Boston Underground Film Festival")</f>
        <v>Boston Underground Film Festival</v>
      </c>
      <c r="CL3" s="43" t="s">
        <v>50</v>
      </c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154" t="str">
        <f>hyperlink("https://milwaukeeundergroundfilm.org/", "Milwaukee Underground Film Festival")</f>
        <v>Milwaukee Underground Film Festival</v>
      </c>
      <c r="DN3" s="43" t="s">
        <v>50</v>
      </c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F3" s="188" t="str">
        <f>hyperlink("http://www.sicknwrongfilm.com", "Sick 'n' Wrong Film Festival")</f>
        <v>Sick 'n' Wrong Film Festival</v>
      </c>
      <c r="EI3" s="43" t="s">
        <v>50</v>
      </c>
      <c r="EM3" s="188" t="str">
        <f>hyperlink("http://www.moviate.org/", "Movieate Underground Film Festival")</f>
        <v>Movieate Underground Film Festival</v>
      </c>
      <c r="EP3" s="43" t="s">
        <v>50</v>
      </c>
      <c r="FF3" s="188" t="str">
        <f>hyperlink("https://cuff.org/", "Chicago Underground Film Festival")</f>
        <v>Chicago Underground Film Festival</v>
      </c>
      <c r="FK3" s="43" t="s">
        <v>50</v>
      </c>
      <c r="FP3" s="188" t="str">
        <f>hyperlink("http://www.laufilmfest.com/LAIUFF_HOME.html", "Los Angeles International Underground Film Festival")</f>
        <v>Los Angeles International Underground Film Festival</v>
      </c>
      <c r="FR3" s="43" t="s">
        <v>50</v>
      </c>
      <c r="HR3" s="188" t="str">
        <f>hyperlink("http://www.auff.org/", "Atlanta Underground Film Festival")</f>
        <v>Atlanta Underground Film Festival</v>
      </c>
      <c r="HU3" s="43" t="s">
        <v>50</v>
      </c>
      <c r="HY3" s="188" t="str">
        <f>hyperlink("https://www.sdundergroundarts.org/", "San Diego Underground Film Festival")</f>
        <v>San Diego Underground Film Festival</v>
      </c>
      <c r="IC3" s="43" t="s">
        <v>50</v>
      </c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J3" s="188" t="str">
        <f>hyperlink("https://www.lesfemmesinternational.org/", "Les Femmes Underground International Film Festival")</f>
        <v>Les Femmes Underground International Film Festival</v>
      </c>
      <c r="JK3" s="43" t="s">
        <v>50</v>
      </c>
      <c r="JN3" s="45"/>
      <c r="KD3" s="188" t="str">
        <f>hyperlink("http://www.portlandunknown.com/", "Portland Unknown Film Festival")</f>
        <v>Portland Unknown Film Festival</v>
      </c>
      <c r="KG3" s="43" t="s">
        <v>50</v>
      </c>
      <c r="KT3" s="45"/>
      <c r="KU3" s="45"/>
      <c r="KV3" s="45"/>
      <c r="KW3" s="45"/>
      <c r="KZ3" s="188" t="str">
        <f>hyperlink("http://www.sc-uff.com/", "South Carolina Underground Film Festival")</f>
        <v>South Carolina Underground Film Festival</v>
      </c>
      <c r="LC3" s="43" t="s">
        <v>50</v>
      </c>
      <c r="LQ3" s="45"/>
      <c r="LR3" s="45"/>
      <c r="LS3" s="45"/>
      <c r="MA3" s="188" t="str">
        <f>hyperlink("http://tbuff.org/", "Tampa Bay Underground Film Festival")</f>
        <v>Tampa Bay Underground Film Festival</v>
      </c>
      <c r="ME3" s="43" t="s">
        <v>50</v>
      </c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E4" s="45"/>
      <c r="JY4" s="45"/>
      <c r="KZ4" s="45"/>
      <c r="LC4" s="45"/>
      <c r="LQ4" s="45"/>
      <c r="LR4" s="45"/>
      <c r="LX4" s="45"/>
      <c r="LY4" s="45"/>
      <c r="MB4" s="188" t="str">
        <f>hyperlink("https://www.duffcinema.org/", "Denver Underground Film Festival")</f>
        <v>Denver Underground Film Festival</v>
      </c>
      <c r="MC4" s="43" t="s">
        <v>50</v>
      </c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O5" s="45"/>
      <c r="JS5" s="45"/>
      <c r="JT5" s="45"/>
      <c r="KA5" s="45"/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26"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FP3:FQ3"/>
    <mergeCell ref="HR3:HT3"/>
    <mergeCell ref="HY3:IB3"/>
    <mergeCell ref="KD3:KF3"/>
    <mergeCell ref="KZ3:LB3"/>
    <mergeCell ref="MA3:MD3"/>
    <mergeCell ref="R3:T3"/>
    <mergeCell ref="X3:AA3"/>
    <mergeCell ref="CG3:CK3"/>
    <mergeCell ref="DJ3:DM3"/>
    <mergeCell ref="EF3:EH3"/>
    <mergeCell ref="EM3:EO3"/>
    <mergeCell ref="FF3:FJ3"/>
  </mergeCells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S3" s="239" t="str">
        <f>hyperlink("http://animatedarizona.wixsite.com/aaff", "Animated Arizona Film Festival")</f>
        <v>Animated Arizona Film Festival</v>
      </c>
      <c r="T3" s="43" t="s">
        <v>50</v>
      </c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210" t="str">
        <f>hyperlink("https://longwoodlaff.wixsite.com/laff", "Longwood Animation Film Festival")</f>
        <v>Longwood Animation Film Festival</v>
      </c>
      <c r="BI3" s="43" t="s">
        <v>50</v>
      </c>
      <c r="BJ3" s="45"/>
      <c r="BK3" s="45"/>
      <c r="BL3" s="45"/>
      <c r="CA3" s="239" t="str">
        <f>hyperlink("http://www.glasanimation.com/", "GLAS Animation Film Festival")</f>
        <v>GLAS Animation Film Festival</v>
      </c>
      <c r="CE3" s="43" t="s">
        <v>50</v>
      </c>
      <c r="CI3" s="239" t="str">
        <f>hyperlink("https://www.americandocumentaryfilmfestival.com/", "American Documentary and Animation Film Festival")</f>
        <v>American Documentary and Animation Film Festival</v>
      </c>
      <c r="CN3" s="43" t="s">
        <v>50</v>
      </c>
      <c r="CP3" s="239" t="str">
        <f>hyperlink("http://www.difestofanim.com/", "Detroit International Festival of Animation")</f>
        <v>Detroit International Festival of Animation</v>
      </c>
      <c r="CR3" s="43" t="s">
        <v>50</v>
      </c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FB3" s="239" t="str">
        <f>hyperlink("http://www.asifa-south.com", "ASIFA-South Animation Conference and Festival")</f>
        <v>ASIFA-South Animation Conference and Festival</v>
      </c>
      <c r="FD3" s="43" t="s">
        <v>50</v>
      </c>
      <c r="FG3" s="239" t="str">
        <f>hyperlink("https://www.floridaanimationfestival.com/", "Florida Animation Festival")</f>
        <v>Florida Animation Festival</v>
      </c>
      <c r="FK3" s="43" t="s">
        <v>50</v>
      </c>
      <c r="HK3" s="239" t="str">
        <f>hyperlink("http://www.welikeemshort.com/", "We Like 'em Short - Animation + Comedy Film Festival")</f>
        <v>We Like 'em Short - Animation + Comedy Film Festival</v>
      </c>
      <c r="HO3" s="43" t="s">
        <v>50</v>
      </c>
      <c r="IA3" s="45"/>
      <c r="IB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N3" s="45"/>
      <c r="JQ3" s="239" t="str">
        <f>hyperlink("Http://www.animationnights.com", "Animation Nights New York ")</f>
        <v>Animation Nights New York </v>
      </c>
      <c r="JS3" s="43" t="s">
        <v>50</v>
      </c>
      <c r="KG3" s="239" t="str">
        <f>hyperlink("http://www.afterhoursfilmsociety.com/", "Anim8 Student Film Festival")</f>
        <v>Anim8 Student Film Festival</v>
      </c>
      <c r="KH3" s="43" t="s">
        <v>50</v>
      </c>
      <c r="KT3" s="45"/>
      <c r="KU3" s="45"/>
      <c r="KV3" s="45"/>
      <c r="KW3" s="45"/>
      <c r="LH3" s="239" t="str">
        <f>hyperlink("http://www.eacgfest.org/", "Epic ACG Fest")</f>
        <v>Epic ACG Fest</v>
      </c>
      <c r="LJ3" s="43" t="s">
        <v>50</v>
      </c>
      <c r="LQ3" s="45"/>
      <c r="LR3" s="45"/>
      <c r="LS3" s="45"/>
      <c r="MC3" s="239" t="str">
        <f>hyperlink("http://blog.laafest.com/", "Los Angeles Animation Festival")</f>
        <v>Los Angeles Animation Festival</v>
      </c>
      <c r="ME3" s="43" t="s">
        <v>50</v>
      </c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E4" s="45"/>
      <c r="JY4" s="45"/>
      <c r="KZ4" s="45"/>
      <c r="LC4" s="45"/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O5" s="45"/>
      <c r="JS5" s="45"/>
      <c r="JT5" s="45"/>
      <c r="KA5" s="45"/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23"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JQ3:JR3"/>
    <mergeCell ref="LH3:LI3"/>
    <mergeCell ref="MC3:MD3"/>
    <mergeCell ref="BA3:BH3"/>
    <mergeCell ref="CA3:CD3"/>
    <mergeCell ref="CI3:CM3"/>
    <mergeCell ref="CP3:CQ3"/>
    <mergeCell ref="FB3:FC3"/>
    <mergeCell ref="FG3:FJ3"/>
    <mergeCell ref="HK3:HN3"/>
  </mergeCells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CB3" s="270" t="str">
        <f>hyperlink("https://www.chicagocomedyfilmfestival.com/", "Chicago Comedy Film Festival")</f>
        <v>Chicago Comedy Film Festival</v>
      </c>
      <c r="CE3" s="43" t="s">
        <v>50</v>
      </c>
      <c r="CX3" s="270" t="str">
        <f>hyperlink("http://www.bonehand.com/bonebatff.html", "Bonebat ""Comedy of Horrors"" Film Festival")</f>
        <v>Bonebat "Comedy of Horrors" Film Festival</v>
      </c>
      <c r="CY3" s="43" t="s">
        <v>50</v>
      </c>
      <c r="CZ3" s="45"/>
      <c r="DA3" s="45"/>
      <c r="DB3" s="45"/>
      <c r="DC3" s="45"/>
      <c r="DD3" s="45"/>
      <c r="DE3" s="263" t="str">
        <f>hyperlink("https://info.filmfestivalcircuit.com/houston-comedy-film-festival", "Houston Comedy Film Festival")</f>
        <v>Houston Comedy Film Festival</v>
      </c>
      <c r="DF3" s="43" t="s">
        <v>50</v>
      </c>
      <c r="DG3" s="45"/>
      <c r="DH3" s="45"/>
      <c r="DI3" s="45"/>
      <c r="DJ3" s="263" t="str">
        <f>hyperlink("http://www.hollywoodcomedyshortsfilmfest.com/", "Hollywood Comedy Shorts")</f>
        <v>Hollywood Comedy Shorts</v>
      </c>
      <c r="DN3" s="43" t="s">
        <v>50</v>
      </c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F3" s="270" t="str">
        <f>hyperlink("https://info.filmfestivalcircuit.com/portland-comedy-film-festival", "Portland Comedy Film Festival")</f>
        <v>Portland Comedy Film Festival</v>
      </c>
      <c r="EI3" s="43" t="s">
        <v>50</v>
      </c>
      <c r="HE3" s="270" t="str">
        <f>hyperlink("https://info.filmfestivalcircuit.com/atlanta-comedy-film-festival", "Atlanta Comedy Film Festival")</f>
        <v>Atlanta Comedy Film Festival</v>
      </c>
      <c r="HF3" s="43" t="s">
        <v>50</v>
      </c>
      <c r="HK3" s="270" t="str">
        <f>hyperlink("http://www.welikeemshort.com/", "We Like 'em Short - Animation + Comedy Film Festival")</f>
        <v>We Like 'em Short - Animation + Comedy Film Festival</v>
      </c>
      <c r="HO3" s="43" t="s">
        <v>50</v>
      </c>
      <c r="IA3" s="45"/>
      <c r="IB3" s="45"/>
      <c r="IM3" s="270" t="str">
        <f>hyperlink("https://www.broadhumorfilmfest.com/", "Broad Humor Film Festival, The ")</f>
        <v>Broad Humor Film Festival, The </v>
      </c>
      <c r="IQ3" s="43" t="s">
        <v>50</v>
      </c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N3" s="45"/>
      <c r="KT3" s="45"/>
      <c r="KU3" s="45"/>
      <c r="KV3" s="45"/>
      <c r="KW3" s="45"/>
      <c r="LQ3" s="45"/>
      <c r="LR3" s="45"/>
      <c r="LS3" s="45"/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263" t="str">
        <f>hyperlink("http://nycscff.com/", "New York City Short Comedy Film Festival")</f>
        <v>New York City Short Comedy Film Festival</v>
      </c>
      <c r="CE4" s="43" t="s">
        <v>50</v>
      </c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263" t="str">
        <f>hyperlink("https://info.filmfestivalcircuit.com/austin-comedy-short-film-festival", "Austin Comedy Short Film Festival")</f>
        <v>Austin Comedy Short Film Festival</v>
      </c>
      <c r="DG4" s="43" t="s">
        <v>50</v>
      </c>
      <c r="DH4" s="45"/>
      <c r="DI4" s="45"/>
      <c r="DJ4" s="45"/>
      <c r="DK4" s="45"/>
      <c r="DL4" s="263" t="str">
        <f>hyperlink("http://www.laughordiecomedyfest.com/", "Laugh or Die Comedy Fest")</f>
        <v>Laugh or Die Comedy Fest</v>
      </c>
      <c r="DM4" s="43" t="s">
        <v>50</v>
      </c>
      <c r="DN4" s="45"/>
      <c r="DO4" s="45"/>
      <c r="DP4" s="45"/>
      <c r="DQ4" s="45"/>
      <c r="DR4" s="45"/>
      <c r="DS4" s="45"/>
      <c r="DT4" s="45"/>
      <c r="DU4" s="45"/>
      <c r="DV4" s="45"/>
      <c r="DW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E4" s="45"/>
      <c r="JY4" s="45"/>
      <c r="KZ4" s="45"/>
      <c r="LC4" s="45"/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O5" s="45"/>
      <c r="JS5" s="45"/>
      <c r="JT5" s="45"/>
      <c r="KA5" s="45"/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18">
    <mergeCell ref="GA1:HE1"/>
    <mergeCell ref="HF1:IJ1"/>
    <mergeCell ref="IK1:JN1"/>
    <mergeCell ref="JO1:KS1"/>
    <mergeCell ref="KT1:LW1"/>
    <mergeCell ref="LX1:NB1"/>
    <mergeCell ref="CB3:CD3"/>
    <mergeCell ref="DJ3:DM3"/>
    <mergeCell ref="EF3:EH3"/>
    <mergeCell ref="HK3:HN3"/>
    <mergeCell ref="IM3:IP3"/>
    <mergeCell ref="A1:A2"/>
    <mergeCell ref="B1:AF1"/>
    <mergeCell ref="AG1:BH1"/>
    <mergeCell ref="BI1:CM1"/>
    <mergeCell ref="CN1:DQ1"/>
    <mergeCell ref="DR1:EV1"/>
    <mergeCell ref="EW1:FZ1"/>
  </mergeCells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P3" s="243" t="str">
        <f>hyperlink("http://www.christianyouthfilmfestival.org/", "Chistian Youth Film Festival")</f>
        <v>Chistian Youth Film Festival</v>
      </c>
      <c r="BR3" s="43" t="s">
        <v>50</v>
      </c>
      <c r="CA3" s="243" t="str">
        <f>hyperlink("http://www.diyds.org", "Do It Your Damn Self National Youth Film Festival")</f>
        <v>Do It Your Damn Self National Youth Film Festival</v>
      </c>
      <c r="CD3" s="43" t="s">
        <v>50</v>
      </c>
      <c r="CI3" s="243" t="str">
        <f>hyperlink("http://www.yalestudentfilmfest.com/", "Yale Student Film Festival")</f>
        <v>Yale Student Film Festival</v>
      </c>
      <c r="CL3" s="43" t="s">
        <v>50</v>
      </c>
      <c r="CP3" s="243" t="str">
        <f>hyperlink("https://actfilmfest.colostate.edu", "ACT Human Rights Film Festival")</f>
        <v>ACT Human Rights Film Festival</v>
      </c>
      <c r="CY3" s="43" t="s">
        <v>50</v>
      </c>
      <c r="CZ3" s="276" t="str">
        <f>hyperlink("http://ivyfilmfestival.org/index.html", "Ivy Film Festival")</f>
        <v>Ivy Film Festival</v>
      </c>
      <c r="DG3" s="43" t="s">
        <v>50</v>
      </c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276" t="str">
        <f>hyperlink("http://www.trinityfilmfestival.org/", "Trinity Film Festival")</f>
        <v>Trinity Film Festival</v>
      </c>
      <c r="DT3" s="43" t="s">
        <v>50</v>
      </c>
      <c r="DU3" s="45"/>
      <c r="DV3" s="45"/>
      <c r="DW3" s="45"/>
      <c r="DX3" s="45"/>
      <c r="DY3" s="276" t="str">
        <f>hyperlink("https://www.chicagofilmfestival.com/cineyouth/", "CineYouth Film Festival")</f>
        <v>CineYouth Film Festival</v>
      </c>
      <c r="EB3" s="43" t="s">
        <v>50</v>
      </c>
      <c r="EC3" s="45"/>
      <c r="ED3" s="45"/>
      <c r="EH3" s="243" t="str">
        <f>hyperlink("https://www.mccneb.edu/Community-Business/Community-Events/Elkhorn-Valley-BEA-D-7-Film-and-Media-Conference.aspx ", "Elkhorn Valley BEA D7 Film and Media Conference")</f>
        <v>Elkhorn Valley BEA D7 Film and Media Conference</v>
      </c>
      <c r="EJ3" s="43" t="s">
        <v>50</v>
      </c>
      <c r="EP3" s="243" t="str">
        <f>hyperlink("http://phantoscope.org/", "Phantoscope High School Film Festival")</f>
        <v>Phantoscope High School Film Festival</v>
      </c>
      <c r="EQ3" s="43" t="s">
        <v>50</v>
      </c>
      <c r="FB3" s="243" t="str">
        <f>hyperlink("http://www.ryff.org/", "Rockland Youth Film Festival")</f>
        <v>Rockland Youth Film Festival</v>
      </c>
      <c r="FD3" s="43" t="s">
        <v>50</v>
      </c>
      <c r="FU3" s="243" t="str">
        <f>hyperlink("https://www.americanyouthfilmfest.org/", "American Youth Film Festival")</f>
        <v>American Youth Film Festival</v>
      </c>
      <c r="FY3" s="43" t="s">
        <v>50</v>
      </c>
      <c r="IA3" s="45"/>
      <c r="IB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N3" s="45"/>
      <c r="JW3" s="243" t="str">
        <f>hyperlink("https://www.hsfilmfest.com/", "All American High School Film Festival")</f>
        <v>All American High School Film Festival</v>
      </c>
      <c r="JZ3" s="43" t="s">
        <v>50</v>
      </c>
      <c r="KC3" s="243" t="str">
        <f>hyperlink("https://urban15.org/josiah-media-festival/", "Josiah Media Festival (Urban 15)")</f>
        <v>Josiah Media Festival (Urban 15)</v>
      </c>
      <c r="KF3" s="43" t="s">
        <v>50</v>
      </c>
      <c r="KG3" s="243" t="str">
        <f>hyperlink("http://www.afterhoursfilmsociety.com/", "Anim8 Student Film Festival")</f>
        <v>Anim8 Student Film Festival</v>
      </c>
      <c r="KH3" s="43" t="s">
        <v>50</v>
      </c>
      <c r="KJ3" s="243" t="str">
        <f>hyperlink("https://www.nffty.org", "NFFTY (National Film Festival for Talented Youth)")</f>
        <v>NFFTY (National Film Festival for Talented Youth)</v>
      </c>
      <c r="KN3" s="43" t="s">
        <v>50</v>
      </c>
      <c r="KT3" s="45"/>
      <c r="KU3" s="45"/>
      <c r="KV3" s="45"/>
      <c r="KW3" s="45"/>
      <c r="LQ3" s="45"/>
      <c r="LR3" s="45"/>
      <c r="LS3" s="45"/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276" t="str">
        <f>hyperlink("https://nwfilmforum.org/festivals/bydesign-art-design-architecture-festival", "By Design Film Festival")</f>
        <v>By Design Film Festival</v>
      </c>
      <c r="CE4" s="43" t="s">
        <v>50</v>
      </c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276" t="str">
        <f>hyperlink("https://centralfilmfest.org/", "Central Film Festival")</f>
        <v>Central Film Festival</v>
      </c>
      <c r="CR4" s="43" t="s">
        <v>50</v>
      </c>
      <c r="CS4" s="45"/>
      <c r="CT4" s="45"/>
      <c r="CU4" s="45"/>
      <c r="CV4" s="45"/>
      <c r="CW4" s="45"/>
      <c r="CX4" s="45"/>
      <c r="CY4" s="45"/>
      <c r="CZ4" s="45"/>
      <c r="DA4" s="276" t="str">
        <f>hyperlink("http://realitybytes.niu.edu/", "Reality Bytes Independent Student Film Festival")</f>
        <v>Reality Bytes Independent Student Film Festival</v>
      </c>
      <c r="DD4" s="43" t="s">
        <v>50</v>
      </c>
      <c r="DE4" s="276" t="str">
        <f>hyperlink("https://kcfilmfest.org/reel-spirit/competition/", "Reel Spirit Young Filmmakers")</f>
        <v>Reel Spirit Young Filmmakers</v>
      </c>
      <c r="DF4" s="43" t="s">
        <v>50</v>
      </c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276" t="str">
        <f>hyperlink("https://myhero.com/films", "My HERO International Short Film Festival")</f>
        <v>My HERO International Short Film Festival</v>
      </c>
      <c r="GB4" s="43" t="s">
        <v>50</v>
      </c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E4" s="45"/>
      <c r="JY4" s="45"/>
      <c r="KZ4" s="45"/>
      <c r="LC4" s="45"/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CB5" s="276" t="str">
        <f>hyperlink("https://www.sierracanyonschool.org/page/arts/scs-film-festival", "Sierra Canyon Film Festival")</f>
        <v>Sierra Canyon Film Festival</v>
      </c>
      <c r="CC5" s="43" t="s">
        <v>50</v>
      </c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276" t="str">
        <f>hyperlink("http://scoutfilmfestival.org/ ", "Scout Film Festival")</f>
        <v>Scout Film Festival</v>
      </c>
      <c r="DF5" s="43" t="s">
        <v>50</v>
      </c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O5" s="45"/>
      <c r="JS5" s="45"/>
      <c r="JT5" s="45"/>
      <c r="KA5" s="45"/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276" t="str">
        <f>hyperlink("http://www.harvardfilmfestival.org/", "Harvard College Film Festival")</f>
        <v>Harvard College Film Festival</v>
      </c>
      <c r="DF6" s="43" t="s">
        <v>50</v>
      </c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32"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EH3:EI3"/>
    <mergeCell ref="FB3:FC3"/>
    <mergeCell ref="FU3:FX3"/>
    <mergeCell ref="JW3:JY3"/>
    <mergeCell ref="KC3:KE3"/>
    <mergeCell ref="KJ3:KM3"/>
    <mergeCell ref="CP3:CX3"/>
    <mergeCell ref="CP4:CQ4"/>
    <mergeCell ref="DC5:DE5"/>
    <mergeCell ref="DD6:DE6"/>
    <mergeCell ref="DA4:DC4"/>
    <mergeCell ref="FX4:GA4"/>
    <mergeCell ref="BP3:BQ3"/>
    <mergeCell ref="CA3:CC3"/>
    <mergeCell ref="CI3:CK3"/>
    <mergeCell ref="CZ3:DF3"/>
    <mergeCell ref="DR3:DS3"/>
    <mergeCell ref="DY3:EA3"/>
    <mergeCell ref="CB4:CD4"/>
  </mergeCells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V3" s="45"/>
      <c r="W3" s="45"/>
      <c r="X3" s="171" t="str">
        <f>hyperlink("https://explorers.org/events/detail/6th_annual_polar_film_festival_thursday", "Explorer's Club Polar Film Festival")</f>
        <v>Explorer's Club Polar Film Festival</v>
      </c>
      <c r="AA3" s="43" t="s">
        <v>50</v>
      </c>
      <c r="AB3" s="45"/>
      <c r="AC3" s="45"/>
      <c r="AD3" s="45"/>
      <c r="AE3" s="45"/>
      <c r="AF3" s="45"/>
      <c r="AG3" s="45"/>
      <c r="AH3" s="45"/>
      <c r="AI3" s="171" t="str">
        <f>hyperlink("http://helperartsfest.com/", "Butch Cassidy Film Festival")</f>
        <v>Butch Cassidy Film Festival</v>
      </c>
      <c r="AO3" s="43" t="s">
        <v>50</v>
      </c>
      <c r="AP3" s="45"/>
      <c r="AQ3" s="45"/>
      <c r="AR3" s="45"/>
      <c r="AS3" s="45"/>
      <c r="AT3" s="171" t="str">
        <f>hyperlink("http://whiteheadfilmfestival.org/", "Common Good International Film Festival")</f>
        <v>Common Good International Film Festival</v>
      </c>
      <c r="AX3" s="43" t="s">
        <v>50</v>
      </c>
      <c r="AY3" s="45"/>
      <c r="AZ3" s="45"/>
      <c r="BA3" s="45"/>
      <c r="BB3" s="171" t="str">
        <f>hyperlink("http://njfilmfest.com", "United States Super 8 Film and Digital Video Festival")</f>
        <v>United States Super 8 Film and Digital Video Festival</v>
      </c>
      <c r="BD3" s="43" t="s">
        <v>50</v>
      </c>
      <c r="BE3" s="45"/>
      <c r="BF3" s="45"/>
      <c r="BG3" s="171" t="str">
        <f>hyperlink("https://ogeecheefilmfestival.org/", "OgeeChee International History Film Festival")</f>
        <v>OgeeChee International History Film Festival</v>
      </c>
      <c r="BJ3" s="43" t="s">
        <v>50</v>
      </c>
      <c r="BK3" s="45"/>
      <c r="BL3" s="45"/>
      <c r="BT3" s="58" t="str">
        <f>hyperlink("http://www.onioncityfilmfest.org/", "Onion City Experimental Film + Video Festival")</f>
        <v>Onion City Experimental Film + Video Festival</v>
      </c>
      <c r="BX3" s="43" t="s">
        <v>50</v>
      </c>
      <c r="CB3" s="58" t="str">
        <f>hyperlink("http://www.methodfest.com/", "Method Fest Independent Film Festival, The ")</f>
        <v>Method Fest Independent Film Festival, The </v>
      </c>
      <c r="CI3" s="43" t="s">
        <v>50</v>
      </c>
      <c r="CJ3" s="58" t="str">
        <f>hyperlink("https://www.acmusic.org/productions/sound-of-silent-film-festival-2019/", "Sound of Silent Film Festival")</f>
        <v>Sound of Silent Film Festival</v>
      </c>
      <c r="CK3" s="43" t="s">
        <v>50</v>
      </c>
      <c r="CP3" s="58" t="str">
        <f>hyperlink("http://www.umfilms.org", "Universe Multicultural Film Festival")</f>
        <v>Universe Multicultural Film Festival</v>
      </c>
      <c r="CS3" s="43" t="s">
        <v>50</v>
      </c>
      <c r="CZ3" s="45"/>
      <c r="DA3" s="171" t="str">
        <f>hyperlink("http://deafrocfilmfest.com", "Deaf Rochester Film Festival")</f>
        <v>Deaf Rochester Film Festival</v>
      </c>
      <c r="DF3" s="43" t="s">
        <v>50</v>
      </c>
      <c r="DG3" s="45"/>
      <c r="DH3" s="45"/>
      <c r="DI3" s="45"/>
      <c r="DJ3" s="45"/>
      <c r="DK3" s="171" t="str">
        <f>hyperlink("http://reelwork.org", "Reel Work labor Film Festival")</f>
        <v>Reel Work labor Film Festival</v>
      </c>
      <c r="DU3" s="43" t="s">
        <v>50</v>
      </c>
      <c r="DV3" s="45"/>
      <c r="DW3" s="45"/>
      <c r="DX3" s="45"/>
      <c r="DY3" s="171" t="str">
        <f>hyperlink("https://www.workersunitefilmfestival.org/", "Workers Unite Film Festival, The ")</f>
        <v>Workers Unite Film Festival, The </v>
      </c>
      <c r="EO3" s="43" t="s">
        <v>50</v>
      </c>
      <c r="ET3" s="58" t="str">
        <f>hyperlink("http://www.thefineartsfilmfestival.com/", "Fine Arts Film Festival, The ")</f>
        <v>Fine Arts Film Festival, The </v>
      </c>
      <c r="EV3" s="43" t="s">
        <v>50</v>
      </c>
      <c r="EY3" s="58" t="str">
        <f>hyperlink("https://www.newmediafilmfestival.com/", "New Media Film Festival")</f>
        <v>New Media Film Festival</v>
      </c>
      <c r="FA3" s="43" t="s">
        <v>50</v>
      </c>
      <c r="FE3" s="58" t="str">
        <f>hyperlink("http://www.kickingandscreening.com/", "Kicking + Screaming Soccer Film Festival")</f>
        <v>Kicking + Screaming Soccer Film Festival</v>
      </c>
      <c r="FI3" s="43" t="s">
        <v>50</v>
      </c>
      <c r="FL3" s="58" t="str">
        <f>hyperlink("http://www.bicyclefilmfestival.com", "Bicycle Film Festival")</f>
        <v>Bicycle Film Festival</v>
      </c>
      <c r="FR3" s="43" t="s">
        <v>50</v>
      </c>
      <c r="FU3" s="58" t="str">
        <f>hyperlink("https://www.romcomfest.com", "RomCom Fest")</f>
        <v>RomCom Fest</v>
      </c>
      <c r="FY3" s="43" t="s">
        <v>50</v>
      </c>
      <c r="GM3" s="58" t="str">
        <f>hyperlink("https://anthemfilmfestival.com/", "Antham Libertarian Film Festival")</f>
        <v>Antham Libertarian Film Festival</v>
      </c>
      <c r="GQ3" s="43" t="s">
        <v>50</v>
      </c>
      <c r="GR3" s="58" t="str">
        <f>hyperlink("https://sayitloudfilmfestival.com/", "Say It Loud Film Festival")</f>
        <v>Say It Loud Film Festival</v>
      </c>
      <c r="GS3" s="43" t="s">
        <v>50</v>
      </c>
      <c r="GW3" s="58" t="str">
        <f>hyperlink("https://www.actiononfilmfest.com/", "Action On Film Festival")</f>
        <v>Action On Film Festival</v>
      </c>
      <c r="HH3" s="43" t="s">
        <v>50</v>
      </c>
      <c r="IA3" s="45"/>
      <c r="IB3" s="45"/>
      <c r="IE3" s="58" t="str">
        <f>hyperlink("https://www.ladff.com/", "Los Angeles Diversity Film Festival")</f>
        <v>Los Angeles Diversity Film Festival</v>
      </c>
      <c r="II3" s="43" t="s">
        <v>50</v>
      </c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H3" s="58" t="str">
        <f>hyperlink("http://gifilmfestivalsd.org", "GI Film Festival San Diego")</f>
        <v>GI Film Festival San Diego</v>
      </c>
      <c r="JN3" s="43" t="s">
        <v>50</v>
      </c>
      <c r="JO3" s="58" t="str">
        <f>hyperlink("https://www.txdisabilities.org/news-events/film-festival/filmfestival-2018/about6", "Cinema Touching Disability")</f>
        <v>Cinema Touching Disability</v>
      </c>
      <c r="KT3" s="43" t="s">
        <v>50</v>
      </c>
      <c r="KU3" s="45"/>
      <c r="KV3" s="45"/>
      <c r="KW3" s="45"/>
      <c r="LA3" s="58" t="str">
        <f>hyperlink("https://www.sfveteransfilmfestival.org/", "San Francisco Veterans Film Festival")</f>
        <v>San Francisco Veterans Film Festival</v>
      </c>
      <c r="LC3" s="43" t="s">
        <v>50</v>
      </c>
      <c r="LE3" s="58" t="str">
        <f>hyperlink("http://www.soundunseen.com/", "Sound Unseen")</f>
        <v>Sound Unseen</v>
      </c>
      <c r="LJ3" s="43" t="s">
        <v>50</v>
      </c>
      <c r="LL3" s="58" t="str">
        <f>hyperlink("http://societyforvisualanthropology.org", "Society for Visual Anthropology Film and Media Festival")</f>
        <v>Society for Visual Anthropology Film and Media Festival</v>
      </c>
      <c r="LP3" s="43" t="s">
        <v>50</v>
      </c>
      <c r="LQ3" s="45"/>
      <c r="LR3" s="45"/>
      <c r="LS3" s="45"/>
      <c r="MH3" s="58" t="str">
        <f>hyperlink("http://www.nihilists.net/film.html ", "Nihilist International Film Festival, The")</f>
        <v>Nihilist International Film Festival, The</v>
      </c>
      <c r="MQ3" s="43" t="s">
        <v>50</v>
      </c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171" t="str">
        <f>hyperlink("http://www.cambriafilmfestival.com", "Cambria Film Festival")</f>
        <v>Cambria Film Festival</v>
      </c>
      <c r="AP4" s="43" t="s">
        <v>50</v>
      </c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171" t="str">
        <f>hyperlink("http://www.lightfieldfilm.org/", "Light Field")</f>
        <v>Light Field</v>
      </c>
      <c r="CC4" s="43" t="s">
        <v>50</v>
      </c>
      <c r="CD4" s="45"/>
      <c r="CE4" s="45"/>
      <c r="CF4" s="45"/>
      <c r="CG4" s="45"/>
      <c r="CH4" s="45"/>
      <c r="CI4" s="171" t="str">
        <f>hyperlink("http://speechlessfilmfestival.com/", "Speechless Film Festival")</f>
        <v>Speechless Film Festival</v>
      </c>
      <c r="CK4" s="43" t="s">
        <v>50</v>
      </c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171" t="str">
        <f>hyperlink("http://www.ebertfest.com/", "Ebert Fest")</f>
        <v>Ebert Fest</v>
      </c>
      <c r="DF4" s="43" t="s">
        <v>50</v>
      </c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171" t="str">
        <f>hyperlink("http://lifefilmfest.com/", "Life Fest Film Festival")</f>
        <v>Life Fest Film Festival</v>
      </c>
      <c r="DU4" s="43" t="s">
        <v>50</v>
      </c>
      <c r="DV4" s="45"/>
      <c r="DW4" s="45"/>
      <c r="DX4" s="58" t="str">
        <f>hyperlink("http://sdsurffilmfestival.com/", "San Diego Surf Film Festival")</f>
        <v>San Diego Surf Film Festival</v>
      </c>
      <c r="EA4" s="43" t="s">
        <v>50</v>
      </c>
      <c r="ED4" s="58" t="str">
        <f>hyperlink("https://www.archaeologychannel.org/events-guide/tac-international-film-festival/international-film-festival", "Archaeology Channel International Film Festival, The")</f>
        <v>Archaeology Channel International Film Festival, The</v>
      </c>
      <c r="EI4" s="43" t="s">
        <v>50</v>
      </c>
      <c r="EM4" s="58" t="str">
        <f>hyperlink("https://www.comicpalooza.com/", "Comicpalooza")</f>
        <v>Comicpalooza</v>
      </c>
      <c r="EP4" s="43" t="s">
        <v>50</v>
      </c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171" t="str">
        <f>hyperlink("http://www.ljfff.com/", "La Jolla International Fashion Film Festival")</f>
        <v>La Jolla International Fashion Film Festival</v>
      </c>
      <c r="GZ4" s="43" t="s">
        <v>50</v>
      </c>
      <c r="HA4" s="45"/>
      <c r="HB4" s="171" t="str">
        <f>hyperlink("www.WhistleblowerSummit.com ", "Whistleblower Summit &amp; Film Festival ")</f>
        <v>Whistleblower Summit &amp; Film Festival </v>
      </c>
      <c r="HG4" s="43" t="s">
        <v>50</v>
      </c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E4" s="45"/>
      <c r="JH4" s="58" t="str">
        <f>hyperlink("https://womensportsfilm.com", "Women Sports Film Festival")</f>
        <v>Women Sports Film Festival</v>
      </c>
      <c r="JK4" s="43" t="s">
        <v>50</v>
      </c>
      <c r="JP4" s="58" t="str">
        <f>hyperlink("https://www.thewildbunchfilmfestival.com/", "Wild Bunch Film Festival, The ")</f>
        <v>Wild Bunch Film Festival, The </v>
      </c>
      <c r="JS4" s="43" t="s">
        <v>50</v>
      </c>
      <c r="JV4" s="58" t="str">
        <f>hyperlink("https://doubleexposurefestival.com", "Double Exposure Film Festival")</f>
        <v>Double Exposure Film Festival</v>
      </c>
      <c r="JZ4" s="43" t="s">
        <v>50</v>
      </c>
      <c r="KD4" s="58" t="str">
        <f>hyperlink("http://reelrecoveryfilmfestival.org/", "Reel Recovery Film Festival &amp; Symposium")</f>
        <v>Reel Recovery Film Festival &amp; Symposium</v>
      </c>
      <c r="KK4" s="43" t="s">
        <v>50</v>
      </c>
      <c r="KN4" s="58" t="str">
        <f>hyperlink("http://www.sfnewfilm.org/", "San Francisco International New Concept Film Festival")</f>
        <v>San Francisco International New Concept Film Festival</v>
      </c>
      <c r="KU4" s="43" t="s">
        <v>50</v>
      </c>
      <c r="KZ4" s="45"/>
      <c r="LC4" s="45"/>
      <c r="LN4" s="58" t="str">
        <f>hyperlink("https://www.carrborofilm.org", "Carrboro Film Fest")</f>
        <v>Carrboro Film Fest</v>
      </c>
      <c r="LQ4" s="43" t="s">
        <v>50</v>
      </c>
      <c r="LR4" s="45"/>
      <c r="LX4" s="45"/>
      <c r="LY4" s="45"/>
      <c r="MH4" s="58" t="str">
        <f>hyperlink("https://www.interfaithfilmfest.com", "InterFaith Film &amp; Music Festival")</f>
        <v>InterFaith Film &amp; Music Festival</v>
      </c>
      <c r="ML4" s="43" t="s">
        <v>50</v>
      </c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Z5" s="58" t="str">
        <f>hyperlink("https://www.ratedsrfilms.org/", "SR Socially Relevant Film Festival")</f>
        <v>SR Socially Relevant Film Festival</v>
      </c>
      <c r="CE5" s="43" t="s">
        <v>50</v>
      </c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EH5" s="58" t="str">
        <f>hyperlink("https://namimiami.org/", "Reel Minds: Miami Mental Health Film Festival")</f>
        <v>Reel Minds: Miami Mental Health Film Festival</v>
      </c>
      <c r="EI5" s="43" t="s">
        <v>50</v>
      </c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I5" s="58" t="str">
        <f>hyperlink("https://www.maritimefilmfestival.com/", "International Maritime Film Festival")</f>
        <v>International Maritime Film Festival</v>
      </c>
      <c r="JL5" s="43" t="s">
        <v>50</v>
      </c>
      <c r="JO5" s="45"/>
      <c r="JQ5" s="58" t="str">
        <f>hyperlink("http://www.mentalhealthfilmfest.nyc", "New York City Mental Health Film Festival")</f>
        <v>New York City Mental Health Film Festival</v>
      </c>
      <c r="JR5" s="43" t="s">
        <v>50</v>
      </c>
      <c r="JS5" s="45"/>
      <c r="JT5" s="45"/>
      <c r="JW5" s="58" t="str">
        <f>hyperlink("http://www.franklyfilmfest.com/", "F3: Frankly Film Fest")</f>
        <v>F3: Frankly Film Fest</v>
      </c>
      <c r="JY5" s="43" t="s">
        <v>50</v>
      </c>
      <c r="KA5" s="45"/>
      <c r="KD5" s="58" t="str">
        <f>hyperlink("http://www.actorsfestival.com/", "Best Actors Film Festival")</f>
        <v>Best Actors Film Festival</v>
      </c>
      <c r="KF5" s="43" t="s">
        <v>50</v>
      </c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C6" s="58" t="str">
        <f>hyperlink("http://www.fashionfilmfestivalchicago.com/", "Fashion Film Festival of Chicago")</f>
        <v>Fashion Film Festival of Chicago</v>
      </c>
      <c r="KD6" s="43" t="s">
        <v>50</v>
      </c>
      <c r="KE6" s="58" t="str">
        <f>hyperlink("http://www.superfestfilm.com/", "Superfest International Disability Film Festival")</f>
        <v>Superfest International Disability Film Festival</v>
      </c>
      <c r="KG6" s="43" t="s">
        <v>50</v>
      </c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60">
    <mergeCell ref="HB4:HF4"/>
    <mergeCell ref="JH4:JJ4"/>
    <mergeCell ref="JI5:JK5"/>
    <mergeCell ref="JW5:JX5"/>
    <mergeCell ref="KD5:KE5"/>
    <mergeCell ref="KE6:KF6"/>
    <mergeCell ref="CI4:CJ4"/>
    <mergeCell ref="DB4:DE4"/>
    <mergeCell ref="DR4:DT4"/>
    <mergeCell ref="DX4:DZ4"/>
    <mergeCell ref="ED4:EH4"/>
    <mergeCell ref="EM4:EO4"/>
    <mergeCell ref="GX4:GY4"/>
    <mergeCell ref="BZ5:CD5"/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CP3:CR3"/>
    <mergeCell ref="DA3:DE3"/>
    <mergeCell ref="DK3:DT3"/>
    <mergeCell ref="DY3:EN3"/>
    <mergeCell ref="ET3:EU3"/>
    <mergeCell ref="EY3:EZ3"/>
    <mergeCell ref="FE3:FH3"/>
    <mergeCell ref="FL3:FQ3"/>
    <mergeCell ref="FU3:FX3"/>
    <mergeCell ref="GM3:GP3"/>
    <mergeCell ref="GW3:HG3"/>
    <mergeCell ref="IE3:IH3"/>
    <mergeCell ref="JH3:JM3"/>
    <mergeCell ref="JO3:KS3"/>
    <mergeCell ref="BT3:BW3"/>
    <mergeCell ref="BW4:CB4"/>
    <mergeCell ref="X3:Z3"/>
    <mergeCell ref="AI3:AN3"/>
    <mergeCell ref="AT3:AW3"/>
    <mergeCell ref="BB3:BC3"/>
    <mergeCell ref="BG3:BI3"/>
    <mergeCell ref="CB3:CH3"/>
    <mergeCell ref="AL4:AO4"/>
    <mergeCell ref="LL3:LO3"/>
    <mergeCell ref="LN4:LP4"/>
    <mergeCell ref="LA3:LB3"/>
    <mergeCell ref="LE3:LI3"/>
    <mergeCell ref="MH3:MP3"/>
    <mergeCell ref="JP4:JR4"/>
    <mergeCell ref="JV4:JY4"/>
    <mergeCell ref="KD4:KJ4"/>
    <mergeCell ref="KN4:KT4"/>
    <mergeCell ref="MH4:MK4"/>
  </mergeCells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Q3" s="86" t="str">
        <f>hyperlink("https://www.wildandscenicfilmfestival.org/", "Wild &amp; Scenic Film Festival")</f>
        <v>Wild &amp; Scenic Film Festival</v>
      </c>
      <c r="V3" s="43" t="s">
        <v>50</v>
      </c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83" t="str">
        <f>hyperlink("https://rvaeff.org/", "RVA Environmental Film Festival")</f>
        <v>RVA Environmental Film Festival</v>
      </c>
      <c r="AP3" s="43" t="s">
        <v>50</v>
      </c>
      <c r="AQ3" s="45"/>
      <c r="AR3" s="45"/>
      <c r="AS3" s="83" t="str">
        <f>hyperlink("http://www.cinemaverde.org", "Cinema Verde Environmental Film &amp; Arts Festival")</f>
        <v>Cinema Verde Environmental Film &amp; Arts Festival</v>
      </c>
      <c r="AW3" s="43" t="s">
        <v>50</v>
      </c>
      <c r="AX3" s="45"/>
      <c r="AY3" s="45"/>
      <c r="AZ3" s="83" t="str">
        <f>hyperlink("https://www.ceff.net/", "Colorado Environmental Film Festival")</f>
        <v>Colorado Environmental Film Festival</v>
      </c>
      <c r="BC3" s="43" t="s">
        <v>50</v>
      </c>
      <c r="BD3" s="45"/>
      <c r="BE3" s="45"/>
      <c r="BF3" s="45"/>
      <c r="BG3" s="83" t="str">
        <f>hyperlink("http://www.nywildfilmfestival.com/", "New York WILD Film Festival")</f>
        <v>New York WILD Film Festival</v>
      </c>
      <c r="BK3" s="43" t="s">
        <v>50</v>
      </c>
      <c r="BL3" s="45"/>
      <c r="BP3" s="86" t="str">
        <f>hyperlink("https://www.lttv.org/les-bois-film-festival/", "Les Bois Film Festival")</f>
        <v>Les Bois Film Festival</v>
      </c>
      <c r="BQ3" s="43" t="s">
        <v>50</v>
      </c>
      <c r="BT3" s="86" t="str">
        <f>hyperlink("https://dceff.org/", "Environmental Film Festival in the Nation's Capital")</f>
        <v>Environmental Film Festival in the Nation's Capital</v>
      </c>
      <c r="CE3" s="43" t="s">
        <v>50</v>
      </c>
      <c r="CF3" s="86" t="str">
        <f>hyperlink("http://conservationfilmfest.org/", "American Conservation Film Festival")</f>
        <v>American Conservation Film Festival</v>
      </c>
      <c r="CK3" s="43" t="s">
        <v>50</v>
      </c>
      <c r="CN3" s="86" t="str">
        <f>hyperlink("http://philaenvirofilmfest.org", "Philadelphia Environmental Film Festival")</f>
        <v>Philadelphia Environmental Film Festival</v>
      </c>
      <c r="CS3" s="43" t="s">
        <v>50</v>
      </c>
      <c r="CZ3" s="45"/>
      <c r="DA3" s="45"/>
      <c r="DB3" s="45"/>
      <c r="DC3" s="45"/>
      <c r="DD3" s="45"/>
      <c r="DE3" s="83" t="str">
        <f>hyperlink("http://wildlifefilms.org/", "International Wildlife Film Festival")</f>
        <v>International Wildlife Film Festival</v>
      </c>
      <c r="DM3" s="43" t="s">
        <v>50</v>
      </c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M3" s="86" t="str">
        <f>hyperlink("https://www.mountainfilm.org/", "Mountainfilm")</f>
        <v>Mountainfilm</v>
      </c>
      <c r="EQ3" s="43" t="s">
        <v>50</v>
      </c>
      <c r="HE3" s="86" t="str">
        <f>hyperlink("http://maineoutdoorfilmfestival.com/", "Maine Outdoor Film Festival")</f>
        <v>Maine Outdoor Film Festival</v>
      </c>
      <c r="HH3" s="43" t="s">
        <v>50</v>
      </c>
      <c r="IA3" s="45"/>
      <c r="IB3" s="45"/>
      <c r="IO3" s="45"/>
      <c r="IP3" s="45"/>
      <c r="IQ3" s="45"/>
      <c r="IR3" s="45"/>
      <c r="IS3" s="45"/>
      <c r="IT3" s="83" t="str">
        <f>hyperlink("https://www.greenfilmfest.org", "San Francisco Green Film Festival")</f>
        <v>San Francisco Green Film Festival</v>
      </c>
      <c r="JE3" s="43" t="s">
        <v>50</v>
      </c>
      <c r="JF3" s="45"/>
      <c r="JH3" s="86" t="str">
        <f>hyperlink("http://www.portlandecofilmfest.org/", "Portland Eco Film Festival")</f>
        <v>Portland Eco Film Festival</v>
      </c>
      <c r="JL3" s="43" t="s">
        <v>50</v>
      </c>
      <c r="JN3" s="45"/>
      <c r="KC3" s="86" t="str">
        <f>hyperlink("http://www.wcff.org/", "Wildlife Conservation Film Festival")</f>
        <v>Wildlife Conservation Film Festival</v>
      </c>
      <c r="KN3" s="43" t="s">
        <v>50</v>
      </c>
      <c r="KT3" s="45"/>
      <c r="KU3" s="45"/>
      <c r="KV3" s="45"/>
      <c r="KW3" s="45"/>
      <c r="LQ3" s="45"/>
      <c r="LR3" s="45"/>
      <c r="LS3" s="45"/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83" t="str">
        <f>hyperlink("https://lookoutfilmfestival.org/", "Lookout Wild Film Festival")</f>
        <v>Lookout Wild Film Festival</v>
      </c>
      <c r="U4" s="43" t="s">
        <v>50</v>
      </c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83" t="str">
        <f>hyperlink("https://crwp.net/", "Downstream Film Festival")</f>
        <v>Downstream Film Festival</v>
      </c>
      <c r="BC4" s="43" t="s">
        <v>50</v>
      </c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83" t="str">
        <f>hyperlink("http://www.earthdayfilmfest.org/", "Earth Day Film Festival, The ")</f>
        <v>Earth Day Film Festival, The </v>
      </c>
      <c r="BX4" s="43" t="s">
        <v>50</v>
      </c>
      <c r="BY4" s="45"/>
      <c r="BZ4" s="45"/>
      <c r="CA4" s="45"/>
      <c r="CB4" s="45"/>
      <c r="CC4" s="45"/>
      <c r="CD4" s="45"/>
      <c r="CE4" s="83" t="str">
        <f>hyperlink("http://www.wasatchfilmfestival.org/", "Wasatch Mountain Film Festival")</f>
        <v>Wasatch Mountain Film Festival</v>
      </c>
      <c r="CK4" s="43" t="s">
        <v>50</v>
      </c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83" t="str">
        <f>hyperlink("https://princetonlibrary.org/peff/", "Princeton Environmental Film Festival")</f>
        <v>Princeton Environmental Film Festival</v>
      </c>
      <c r="DG4" s="43" t="s">
        <v>50</v>
      </c>
      <c r="DH4" s="45"/>
      <c r="DI4" s="45"/>
      <c r="DJ4" s="45"/>
      <c r="DK4" s="83" t="str">
        <f>hyperlink("https://5pointfilm.org/", "5Point Adventure Film Festival")</f>
        <v>5Point Adventure Film Festival</v>
      </c>
      <c r="DN4" s="43" t="s">
        <v>50</v>
      </c>
      <c r="DO4" s="45"/>
      <c r="DP4" s="45"/>
      <c r="DQ4" s="45"/>
      <c r="DR4" s="45"/>
      <c r="DS4" s="45"/>
      <c r="DT4" s="45"/>
      <c r="DU4" s="45"/>
      <c r="DV4" s="45"/>
      <c r="DW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E4" s="45"/>
      <c r="JY4" s="45"/>
      <c r="KK4" s="86" t="str">
        <f>hyperlink("https://www.fhff.org/", "Friday Harbor Film Festival")</f>
        <v>Friday Harbor Film Festival</v>
      </c>
      <c r="KN4" s="43" t="s">
        <v>50</v>
      </c>
      <c r="KZ4" s="45"/>
      <c r="LC4" s="45"/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T5" s="86" t="str">
        <f>hyperlink("http://intloceanfilmfest.org/", "International Oceean Film Festival")</f>
        <v>International Oceean Film Festival</v>
      </c>
      <c r="BX5" s="43" t="s">
        <v>50</v>
      </c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83" t="str">
        <f>hyperlink("https://www.earthportfilm.org/", "Earth Port Film Festival")</f>
        <v>Earth Port Film Festival</v>
      </c>
      <c r="DN5" s="43" t="s">
        <v>50</v>
      </c>
      <c r="DO5" s="45"/>
      <c r="DP5" s="45"/>
      <c r="DQ5" s="45"/>
      <c r="DR5" s="45"/>
      <c r="DS5" s="45"/>
      <c r="DT5" s="45"/>
      <c r="DU5" s="45"/>
      <c r="DV5" s="45"/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O5" s="45"/>
      <c r="JS5" s="45"/>
      <c r="JT5" s="45"/>
      <c r="KA5" s="45"/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34"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DE3:DL3"/>
    <mergeCell ref="EM3:EP3"/>
    <mergeCell ref="HE3:HG3"/>
    <mergeCell ref="IT3:JD3"/>
    <mergeCell ref="JH3:JK3"/>
    <mergeCell ref="KC3:KM3"/>
    <mergeCell ref="AZ3:BB3"/>
    <mergeCell ref="AZ4:BB4"/>
    <mergeCell ref="CF3:CJ3"/>
    <mergeCell ref="CE4:CJ4"/>
    <mergeCell ref="BT5:BW5"/>
    <mergeCell ref="CZ4:DF4"/>
    <mergeCell ref="DK4:DM4"/>
    <mergeCell ref="KK4:KM4"/>
    <mergeCell ref="Q3:U3"/>
    <mergeCell ref="AS3:AV3"/>
    <mergeCell ref="BG3:BJ3"/>
    <mergeCell ref="BT3:CD3"/>
    <mergeCell ref="CN3:CR3"/>
    <mergeCell ref="Q4:T4"/>
    <mergeCell ref="BT4:BW4"/>
  </mergeCells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253" t="str">
        <f>hyperlink("https://bhrff.webs.com", "Bellingham Human Rights Film Festival")</f>
        <v>Bellingham Human Rights Film Festival</v>
      </c>
      <c r="BJ3" s="43" t="s">
        <v>50</v>
      </c>
      <c r="BK3" s="45"/>
      <c r="BL3" s="45"/>
      <c r="BN3" s="207" t="str">
        <f>hyperlink("https://genders.nmsu.edu/film-festival/", "Feminist Border Arts Film Festival")</f>
        <v>Feminist Border Arts Film Festival</v>
      </c>
      <c r="BP3" s="43" t="s">
        <v>50</v>
      </c>
      <c r="CN3" s="207" t="str">
        <f>hyperlink("http://www.showmejusticefilmfestival.com/", "Show Me Justice Film Festival")</f>
        <v>Show Me Justice Film Festival</v>
      </c>
      <c r="CO3" s="43" t="s">
        <v>50</v>
      </c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N3" s="207" t="str">
        <f>hyperlink("https://wrrc.ucdavis.edu/programs/community/davis-feminist-film-festival", "Davis Feminist Film Festival")</f>
        <v>Davis Feminist Film Festival</v>
      </c>
      <c r="EO3" s="43" t="s">
        <v>50</v>
      </c>
      <c r="HB3" s="207" t="str">
        <f>hyperlink("www.WhistleblowerSummit.com ", "Whistleblower Summit &amp; Film Festival ")</f>
        <v>Whistleblower Summit &amp; Film Festival </v>
      </c>
      <c r="HG3" s="43" t="s">
        <v>50</v>
      </c>
      <c r="IA3" s="45"/>
      <c r="IB3" s="45"/>
      <c r="IG3" s="207" t="str">
        <f>hyperlink("https://globalimpactdc.org/", "Global Impact Film Festival")</f>
        <v>Global Impact Film Festival</v>
      </c>
      <c r="IJ3" s="43" t="s">
        <v>50</v>
      </c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253" t="str">
        <f>hyperlink("http://loveinternationalfilmfestival.com/", "Love International Film Festival")</f>
        <v>Love International Film Festival</v>
      </c>
      <c r="JF3" s="43" t="s">
        <v>50</v>
      </c>
      <c r="JN3" s="45"/>
      <c r="JO3" s="207" t="str">
        <f>hyperlink("https://awarenessfestival.org/", "Awareness Festival")</f>
        <v>Awareness Festival</v>
      </c>
      <c r="JZ3" s="43" t="s">
        <v>50</v>
      </c>
      <c r="KT3" s="45"/>
      <c r="KU3" s="45"/>
      <c r="KV3" s="45"/>
      <c r="KW3" s="45"/>
      <c r="LQ3" s="45"/>
      <c r="LR3" s="45"/>
      <c r="LS3" s="45"/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253" t="str">
        <f>hyperlink("https://www.spenational.org/spe-media-festival ", "SPE Media Festival")</f>
        <v>SPE Media Festival</v>
      </c>
      <c r="BQ4" s="43" t="s">
        <v>50</v>
      </c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E4" s="45"/>
      <c r="JO4" s="207" t="str">
        <f>hyperlink("http://www.socialjusticefilmfestival.org/", "Social Justice Film Festival")</f>
        <v>Social Justice Film Festival</v>
      </c>
      <c r="JY4" s="43" t="s">
        <v>50</v>
      </c>
      <c r="KZ4" s="45"/>
      <c r="LC4" s="45"/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M5" s="207" t="str">
        <f>hyperlink("https://peacefilmfest.org/", "Global Peace Film Festival")</f>
        <v>Global Peace Film Festival</v>
      </c>
      <c r="JS5" s="43" t="s">
        <v>50</v>
      </c>
      <c r="JT5" s="45"/>
      <c r="KA5" s="45"/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22"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JO4:JX4"/>
    <mergeCell ref="JM5:JR5"/>
    <mergeCell ref="AZ3:BI3"/>
    <mergeCell ref="BN3:BO3"/>
    <mergeCell ref="HB3:HF3"/>
    <mergeCell ref="IG3:II3"/>
    <mergeCell ref="JB3:JE3"/>
    <mergeCell ref="JO3:JY3"/>
    <mergeCell ref="BO4:BP4"/>
  </mergeCells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V3" s="45"/>
      <c r="W3" s="45"/>
      <c r="X3" s="45"/>
      <c r="Y3" s="45"/>
      <c r="Z3" s="147" t="str">
        <f>hyperlink("http://www.usafilmfestival.com/", "KidFilm Festival")</f>
        <v>KidFilm Festival</v>
      </c>
      <c r="AB3" s="43" t="s">
        <v>50</v>
      </c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147" t="str">
        <f>hyperlink("http://providencechildrensfilmfestival.org/", "Providence Children's Film Festival")</f>
        <v>Providence Children's Film Festival</v>
      </c>
      <c r="BF3" s="43" t="s">
        <v>50</v>
      </c>
      <c r="BG3" s="45"/>
      <c r="BH3" s="45"/>
      <c r="BI3" s="45"/>
      <c r="BJ3" s="45"/>
      <c r="BK3" s="45"/>
      <c r="BL3" s="45"/>
      <c r="BP3" s="51" t="str">
        <f>hyperlink("https://www.childrensfilmla.org/", "Los Angeles International Children’s Film Festival")</f>
        <v>Los Angeles International Children’s Film Festival</v>
      </c>
      <c r="CZ3" s="43" t="s">
        <v>50</v>
      </c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U3" s="51" t="str">
        <f>hyperlink("http://www.kidsfilmfest.org/", "KidsFilmFest")</f>
        <v>KidsFilmFest</v>
      </c>
      <c r="EV3" s="43" t="s">
        <v>50</v>
      </c>
      <c r="FG3" s="51" t="str">
        <f>hyperlink("http://kidsvideoconnection.org/", "Kids' Video Connection Children's Film Festival")</f>
        <v>Kids' Video Connection Children's Film Festival</v>
      </c>
      <c r="FX3" s="43" t="s">
        <v>50</v>
      </c>
      <c r="HZ3" s="51" t="str">
        <f>hyperlink("https://www.sdkidsfilms.org/", "San Diego International Kids Film Festival")</f>
        <v>San Diego International Kids Film Festival</v>
      </c>
      <c r="IC3" s="43" t="s">
        <v>50</v>
      </c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N3" s="45"/>
      <c r="KT3" s="45"/>
      <c r="KU3" s="45"/>
      <c r="KV3" s="45"/>
      <c r="KW3" s="45"/>
      <c r="LG3" s="51" t="str">
        <f>hyperlink("https://festival.facets.org/", "Chicago International Children's Film Festival")</f>
        <v>Chicago International Children's Film Festival</v>
      </c>
      <c r="LQ3" s="43" t="s">
        <v>50</v>
      </c>
      <c r="LR3" s="45"/>
      <c r="LS3" s="45"/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147" t="str">
        <f>hyperlink("http://baicff.com/", "Bay Area International Childrens Film Festival")</f>
        <v>Bay Area International Childrens Film Festival</v>
      </c>
      <c r="AW4" s="43" t="s">
        <v>50</v>
      </c>
      <c r="AX4" s="45"/>
      <c r="AY4" s="45"/>
      <c r="AZ4" s="45"/>
      <c r="BA4" s="147" t="str">
        <f>hyperlink("https://nyicff.org/", "New York International Children’s Film Festival")</f>
        <v>New York International Children’s Film Festival</v>
      </c>
      <c r="BX4" s="43" t="s">
        <v>50</v>
      </c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E4" s="45"/>
      <c r="JY4" s="45"/>
      <c r="KZ4" s="45"/>
      <c r="LC4" s="45"/>
      <c r="LO4" s="51" t="str">
        <f>hyperlink("http://bikff.org/", "Boston International Kids Film Festival")</f>
        <v>Boston International Kids Film Festival</v>
      </c>
      <c r="LQ4" s="43" t="s">
        <v>50</v>
      </c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147" t="str">
        <f>hyperlink("http://www.childrensfilmfestivalseattle.org", "Children's Film Festival Seattle")</f>
        <v>Children's Film Festival Seattle</v>
      </c>
      <c r="BR5" s="43" t="s">
        <v>50</v>
      </c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O5" s="45"/>
      <c r="JS5" s="45"/>
      <c r="JT5" s="45"/>
      <c r="KA5" s="45"/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23"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LG3:LP3"/>
    <mergeCell ref="LO4:LP4"/>
    <mergeCell ref="Z3:AA3"/>
    <mergeCell ref="AT3:BE3"/>
    <mergeCell ref="BP3:CY3"/>
    <mergeCell ref="FG3:FW3"/>
    <mergeCell ref="HZ3:IB3"/>
    <mergeCell ref="AU4:AV4"/>
    <mergeCell ref="BA4:BW4"/>
    <mergeCell ref="BG5:BQ5"/>
  </mergeCells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J3" s="60" t="str">
        <f>hyperlink("http://www.dancecamerawest.org/", "Dance Camera West")</f>
        <v>Dance Camera West</v>
      </c>
      <c r="N3" s="43" t="s">
        <v>50</v>
      </c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78" t="str">
        <f>hyperlink("http://ladancefilmfest.org/", "LA Dance Film Festival")</f>
        <v>LA Dance Film Festival</v>
      </c>
      <c r="AO3" s="43" t="s">
        <v>50</v>
      </c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78" t="str">
        <f>hyperlink("http://www.inmotionfestival.com/", "In/Motion Chicago's International Dance Film Festival")</f>
        <v>In/Motion Chicago's International Dance Film Festival</v>
      </c>
      <c r="BD3" s="43" t="s">
        <v>50</v>
      </c>
      <c r="BE3" s="45"/>
      <c r="BF3" s="45"/>
      <c r="BG3" s="45"/>
      <c r="BH3" s="45"/>
      <c r="BI3" s="45"/>
      <c r="BJ3" s="45"/>
      <c r="BK3" s="45"/>
      <c r="BL3" s="45"/>
      <c r="CB3" s="60" t="str">
        <f>hyperlink("http://www.detourdance.com/tdff/", "Tiny Dance Film Festival")</f>
        <v>Tiny Dance Film Festival</v>
      </c>
      <c r="CD3" s="43" t="s">
        <v>50</v>
      </c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78" t="str">
        <f>hyperlink("https://www.dogtowndancetheatre.com/", "Richmond Dance Festival")</f>
        <v>Richmond Dance Festival</v>
      </c>
      <c r="EA3" s="43" t="s">
        <v>50</v>
      </c>
      <c r="EB3" s="45"/>
      <c r="EC3" s="45"/>
      <c r="ED3" s="45"/>
      <c r="FB3" s="60" t="str">
        <f>hyperlink("http://www.americandancefestival.org/projects/moviesbymovers/", "ADF's Movies by Movers")</f>
        <v>ADF's Movies by Movers</v>
      </c>
      <c r="GS3" s="43" t="s">
        <v>50</v>
      </c>
      <c r="HR3" s="60" t="str">
        <f>hyperlink("https://sanssoucifest.org", "Sans Souci Festival of Dance Cinema")</f>
        <v>Sans Souci Festival of Dance Cinema</v>
      </c>
      <c r="LY3" s="43" t="s">
        <v>50</v>
      </c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78" t="str">
        <f>hyperlink("https://kinetoscopefilmfestival.org/", "Kinetiscope: International Screendance Film Festival")</f>
        <v>Kinetiscope: International Screendance Film Festival</v>
      </c>
      <c r="N4" s="43" t="s">
        <v>50</v>
      </c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78" t="str">
        <f>hyperlink("http://www.utahdancefilmfestival.org/", "Utah Dance Film Festival")</f>
        <v>Utah Dance Film Festival</v>
      </c>
      <c r="BC4" s="43" t="s">
        <v>50</v>
      </c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78" t="str">
        <f>hyperlink("https://www.dancefilms.org", "Dance on Camera")</f>
        <v>Dance on Camera</v>
      </c>
      <c r="GU4" s="43" t="s">
        <v>50</v>
      </c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E4" s="45"/>
      <c r="JY4" s="45"/>
      <c r="KZ4" s="45"/>
      <c r="LC4" s="45"/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78" t="str">
        <f>hyperlink("https://www.lifeartdance.org/film-festival", "Life In Motion: A Colorado Dance Film Festival")</f>
        <v>Life In Motion: A Colorado Dance Film Festival</v>
      </c>
      <c r="BC5" s="43" t="s">
        <v>50</v>
      </c>
      <c r="BD5" s="45"/>
      <c r="BE5" s="45"/>
      <c r="BF5" s="45"/>
      <c r="BG5" s="45"/>
      <c r="BH5" s="45"/>
      <c r="BI5" s="45"/>
      <c r="BJ5" s="45"/>
      <c r="BK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O5" s="45"/>
      <c r="JS5" s="45"/>
      <c r="JT5" s="45"/>
      <c r="KA5" s="45"/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22"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FB3:GR3"/>
    <mergeCell ref="GQ4:GT4"/>
    <mergeCell ref="J3:M3"/>
    <mergeCell ref="BA3:BC3"/>
    <mergeCell ref="CB3:CC3"/>
    <mergeCell ref="DK3:DZ3"/>
    <mergeCell ref="HR3:LX3"/>
    <mergeCell ref="L4:M4"/>
    <mergeCell ref="BA4:BB4"/>
  </mergeCells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294" t="str">
        <f>hyperlink("http://ldsfilmfest.com/", "LDS Film Festival")</f>
        <v>LDS Film Festival</v>
      </c>
      <c r="BJ3" s="43" t="s">
        <v>50</v>
      </c>
      <c r="BK3" s="45"/>
      <c r="BL3" s="45"/>
      <c r="BP3" s="247" t="str">
        <f>hyperlink("http://www.christianyouthfilmfestival.org/", "Chistian Youth Film Festival")</f>
        <v>Chistian Youth Film Festival</v>
      </c>
      <c r="BR3" s="43" t="s">
        <v>50</v>
      </c>
      <c r="CO3" s="247" t="str">
        <f>hyperlink("http://www.sonscreen.com/", "SONscreen Film Festival")</f>
        <v>SONscreen Film Festival</v>
      </c>
      <c r="CR3" s="43" t="s">
        <v>50</v>
      </c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294" t="str">
        <f>hyperlink("http://www.internationalcff.org/", "International Christian Film Festival")</f>
        <v>International Christian Film Festival</v>
      </c>
      <c r="EH3" s="43" t="s">
        <v>50</v>
      </c>
      <c r="HD3" s="247" t="str">
        <f>hyperlink("https://glcff.com/", "Great Lakes Christrian Film Festival")</f>
        <v>Great Lakes Christrian Film Festival</v>
      </c>
      <c r="HH3" s="43" t="s">
        <v>50</v>
      </c>
      <c r="IA3" s="45"/>
      <c r="IB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N3" s="45"/>
      <c r="KT3" s="45"/>
      <c r="KU3" s="45"/>
      <c r="KV3" s="45"/>
      <c r="KW3" s="45"/>
      <c r="LQ3" s="45"/>
      <c r="LR3" s="45"/>
      <c r="LS3" s="45"/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E4" s="45"/>
      <c r="JY4" s="45"/>
      <c r="KZ4" s="45"/>
      <c r="LC4" s="45"/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O5" s="45"/>
      <c r="JS5" s="45"/>
      <c r="JT5" s="45"/>
      <c r="KA5" s="45"/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18">
    <mergeCell ref="GA1:HE1"/>
    <mergeCell ref="HF1:IJ1"/>
    <mergeCell ref="IK1:JN1"/>
    <mergeCell ref="JO1:KS1"/>
    <mergeCell ref="KT1:LW1"/>
    <mergeCell ref="LX1:NB1"/>
    <mergeCell ref="BD3:BI3"/>
    <mergeCell ref="BP3:BQ3"/>
    <mergeCell ref="CO3:CQ3"/>
    <mergeCell ref="ED3:EG3"/>
    <mergeCell ref="HD3:HG3"/>
    <mergeCell ref="A1:A2"/>
    <mergeCell ref="B1:AF1"/>
    <mergeCell ref="AG1:BH1"/>
    <mergeCell ref="BI1:CM1"/>
    <mergeCell ref="CN1:DQ1"/>
    <mergeCell ref="DR1:EV1"/>
    <mergeCell ref="EW1:FZ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C3" s="41" t="str">
        <f>hyperlink("http://www.jccslo.com/slojff.html", "San Luis Obispo Jewish Film Festival")</f>
        <v>San Luis Obispo Jewish Film Festival</v>
      </c>
      <c r="G3" s="43" t="s">
        <v>50</v>
      </c>
      <c r="J3" s="41" t="str">
        <f>hyperlink("https://miamijewishfilmfestival.org/", "Miami Jewish Film Festival ")</f>
        <v>Miami Jewish Film Festival </v>
      </c>
      <c r="V3" s="43" t="s">
        <v>50</v>
      </c>
      <c r="W3" s="45"/>
      <c r="X3" s="45"/>
      <c r="Y3" s="47" t="str">
        <f>hyperlink("http://www.njfilmfest.com/", "New Jersey International Film Festival")</f>
        <v>New Jersey International Film Festival</v>
      </c>
      <c r="BD3" s="43" t="s">
        <v>50</v>
      </c>
      <c r="BE3" s="45"/>
      <c r="BF3" s="49" t="str">
        <f>hyperlink("http://shortsweetfilmfest.com/", "Short. Sweet. Film Fest. ")</f>
        <v>Short. Sweet. Film Fest. </v>
      </c>
      <c r="BK3" s="43" t="s">
        <v>50</v>
      </c>
      <c r="BL3" s="45"/>
      <c r="BP3" s="51" t="str">
        <f>hyperlink("https://www.childrensfilmla.org/", "Los Angeles International Children’s Film Festival")</f>
        <v>Los Angeles International Children’s Film Festival</v>
      </c>
      <c r="CZ3" s="43" t="s">
        <v>50</v>
      </c>
      <c r="DA3" s="45"/>
      <c r="DB3" s="45"/>
      <c r="DC3" s="53" t="str">
        <f>hyperlink("https://chicagolatinofilmfestival.org/", "Chicago Latino Film Festival")</f>
        <v>Chicago Latino Film Festival</v>
      </c>
      <c r="DR3" s="43" t="s">
        <v>50</v>
      </c>
      <c r="DS3" s="49" t="str">
        <f>hyperlink("http://hangontoyourshortsfilmfestival.com/", "Hang On To Your Shorts! Film Festival")</f>
        <v>Hang On To Your Shorts! Film Festival</v>
      </c>
      <c r="DU3" s="43" t="s">
        <v>50</v>
      </c>
      <c r="DV3" s="45"/>
      <c r="DW3" s="45"/>
      <c r="DX3" s="45"/>
      <c r="DY3" s="45"/>
      <c r="DZ3" s="56" t="str">
        <f>hyperlink("http://garifunafilmfestival.com/", "Garifuna International Indigenous Film Festival")</f>
        <v>Garifuna International Indigenous Film Festival</v>
      </c>
      <c r="EW3" s="43" t="s">
        <v>50</v>
      </c>
      <c r="EY3" s="58" t="str">
        <f>hyperlink("https://www.newmediafilmfestival.com/", "New Media Film Festival")</f>
        <v>New Media Film Festival</v>
      </c>
      <c r="FA3" s="43" t="s">
        <v>50</v>
      </c>
      <c r="FB3" s="60" t="str">
        <f>hyperlink("http://www.americandancefestival.org/projects/moviesbymovers/", "ADF's Movies by Movers")</f>
        <v>ADF's Movies by Movers</v>
      </c>
      <c r="GS3" s="43" t="s">
        <v>50</v>
      </c>
      <c r="GW3" s="58" t="str">
        <f>hyperlink("https://www.actiononfilmfest.com/", "Action On Film Festival")</f>
        <v>Action On Film Festival</v>
      </c>
      <c r="HH3" s="43" t="s">
        <v>50</v>
      </c>
      <c r="HI3" s="63" t="str">
        <f>hyperlink("http://www.film-festival.org/", "Flickers' Rhode Island International Film Festival")</f>
        <v>Flickers' Rhode Island International Film Festival</v>
      </c>
      <c r="HO3" s="43" t="s">
        <v>50</v>
      </c>
      <c r="HR3" s="60" t="str">
        <f>hyperlink("https://sanssoucifest.org", "Sans Souci Festival of Dance Cinema")</f>
        <v>Sans Souci Festival of Dance Cinema</v>
      </c>
      <c r="LY3" s="43" t="s">
        <v>50</v>
      </c>
      <c r="MA3" s="66" t="str">
        <f>hyperlink("http://mononoawarefilm.com/", "MONO NO AWARE")</f>
        <v>MONO NO AWARE</v>
      </c>
      <c r="MK3" s="43" t="s">
        <v>50</v>
      </c>
      <c r="ML3" s="45"/>
      <c r="MM3" s="45"/>
      <c r="NB3" s="74"/>
    </row>
    <row r="4">
      <c r="A4" s="75" t="s">
        <v>48</v>
      </c>
      <c r="E4" s="76" t="str">
        <f>hyperlink("http://www.lowkeyarts.org", "Arkansas Shorts")</f>
        <v>Arkansas Shorts</v>
      </c>
      <c r="F4" s="43" t="s">
        <v>50</v>
      </c>
      <c r="G4" s="45"/>
      <c r="H4" s="45"/>
      <c r="I4" s="45"/>
      <c r="J4" s="78" t="str">
        <f>hyperlink("http://www.dancecamerawest.org/", "Dance Camera West")</f>
        <v>Dance Camera West</v>
      </c>
      <c r="N4" s="43" t="s">
        <v>50</v>
      </c>
      <c r="O4" s="45"/>
      <c r="P4" s="80" t="str">
        <f>hyperlink("https://www.filmlinc.org/festivals/new-york-jewish-film-festival/", "New York Jewish Film Festival")</f>
        <v>New York Jewish Film Festival</v>
      </c>
      <c r="AD4" s="43" t="s">
        <v>50</v>
      </c>
      <c r="AE4" s="45"/>
      <c r="AF4" s="45"/>
      <c r="AG4" s="45"/>
      <c r="AH4" s="49" t="str">
        <f>hyperlink("http://dakotafilmfestival.org/", "Dakota Film Festival")</f>
        <v>Dakota Film Festival</v>
      </c>
      <c r="AK4" s="43" t="s">
        <v>50</v>
      </c>
      <c r="AL4" s="47" t="str">
        <f>hyperlink("https://www.gbfilmfestival.org/", "Green Bay Film Festival")</f>
        <v>Green Bay Film Festival</v>
      </c>
      <c r="BR4" s="43" t="s">
        <v>50</v>
      </c>
      <c r="BS4" s="45"/>
      <c r="BT4" s="83" t="str">
        <f>hyperlink("https://dceff.org/", "Environmental Film Festival in the Nation's Capital")</f>
        <v>Environmental Film Festival in the Nation's Capital</v>
      </c>
      <c r="CE4" s="43" t="s">
        <v>50</v>
      </c>
      <c r="CF4" s="45"/>
      <c r="CG4" s="45"/>
      <c r="CH4" s="45"/>
      <c r="CI4" s="45"/>
      <c r="CJ4" s="45"/>
      <c r="CK4" s="80" t="str">
        <f>hyperlink("https://jccrockland.org/film-festival/", "Rockland Jewish Film Festival")</f>
        <v>Rockland Jewish Film Festival</v>
      </c>
      <c r="DR4" s="43" t="s">
        <v>50</v>
      </c>
      <c r="DS4" s="45"/>
      <c r="DT4" s="80" t="str">
        <f>hyperlink("https://detroitjewishfilmfestival.com/", "Detroit Jewish Film Festival")</f>
        <v>Detroit Jewish Film Festival</v>
      </c>
      <c r="EE4" s="43" t="s">
        <v>50</v>
      </c>
      <c r="EF4" s="63" t="str">
        <f>hyperlink("https://www.rooftopfilms.com/", "Rooftop Films Summer Series")</f>
        <v>Rooftop Films Summer Series</v>
      </c>
      <c r="IA4" s="43" t="s">
        <v>50</v>
      </c>
      <c r="IB4" s="45"/>
      <c r="IC4" s="45"/>
      <c r="ID4" s="45"/>
      <c r="IE4" s="45"/>
      <c r="IF4" s="45"/>
      <c r="IG4" s="45"/>
      <c r="IH4" s="47" t="str">
        <f>hyperlink("http://www.vobfilmfestival.com/", "VOB Film Festival")</f>
        <v>VOB Film Festival</v>
      </c>
      <c r="IQ4" s="43" t="s">
        <v>50</v>
      </c>
      <c r="IT4" s="86" t="str">
        <f>hyperlink("https://www.greenfilmfest.org", "San Francisco Green Film Festival")</f>
        <v>San Francisco Green Film Festival</v>
      </c>
      <c r="JE4" s="43" t="s">
        <v>50</v>
      </c>
      <c r="JH4" s="58" t="str">
        <f>hyperlink("http://gifilmfestivalsd.org", "GI Film Festival San Diego")</f>
        <v>GI Film Festival San Diego</v>
      </c>
      <c r="JN4" s="43" t="s">
        <v>50</v>
      </c>
      <c r="JO4" s="76" t="str">
        <f>hyperlink("https://www.txdisabilities.org/news-events/film-festival/filmfestival-2018/about6", "Cinema Touching Disability")</f>
        <v>Cinema Touching Disability</v>
      </c>
      <c r="KT4" s="43" t="s">
        <v>50</v>
      </c>
      <c r="KZ4" s="47" t="str">
        <f>hyperlink("http://www.fliff.com/", "Fort Lauderdale International Film Festival")</f>
        <v>Fort Lauderdale International Film Festival</v>
      </c>
      <c r="LQ4" s="43" t="s">
        <v>50</v>
      </c>
      <c r="LR4" s="45"/>
      <c r="LW4" s="63" t="str">
        <f>hyperlink("https://www.ahith.com/", "Another Hole in the Head Film Festival")</f>
        <v>Another Hole in the Head Film Festival</v>
      </c>
      <c r="ML4" s="43" t="s">
        <v>50</v>
      </c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94" t="str">
        <f>hyperlink("https://www.covenfilmfest.com", "Coven Film Festival")</f>
        <v>Coven Film Festival</v>
      </c>
      <c r="N5" s="43" t="s">
        <v>50</v>
      </c>
      <c r="O5" s="45"/>
      <c r="P5" s="47" t="str">
        <f>hyperlink("http://sbiff.org/", "Santa Barbara International Film Festival")</f>
        <v>Santa Barbara International Film Festival</v>
      </c>
      <c r="AA5" s="43" t="s">
        <v>50</v>
      </c>
      <c r="AB5" s="45"/>
      <c r="AC5" s="45"/>
      <c r="AD5" s="96" t="str">
        <f>hyperlink("https://www.facebook.com/groups/ncisaff/", "NC South Asian Film Festival")</f>
        <v>NC South Asian Film Festival</v>
      </c>
      <c r="AE5" s="43" t="s">
        <v>50</v>
      </c>
      <c r="AF5" s="98" t="str">
        <f>hyperlink("https://www.africanfilmfestival.org/", "Cascade Festival of African Films")</f>
        <v>Cascade Festival of African Films</v>
      </c>
      <c r="BJ5" s="43" t="s">
        <v>50</v>
      </c>
      <c r="BK5" s="45"/>
      <c r="BN5" s="63" t="str">
        <f>hyperlink("http://www.nwfilm.org/festivals/piff", "Portland International Film Festival")</f>
        <v>Portland International Film Festival</v>
      </c>
      <c r="CB5" s="43" t="s">
        <v>50</v>
      </c>
      <c r="CC5" s="49" t="str">
        <f>hyperlink("http://www.albanyfilmfest.org/", "Albany Film Fest")</f>
        <v>Albany Film Fest</v>
      </c>
      <c r="CL5" s="43" t="s">
        <v>50</v>
      </c>
      <c r="CM5" s="45"/>
      <c r="CN5" s="102" t="str">
        <f>hyperlink("http://www.italianfilmfests.org", "Italian Film Festival USA")</f>
        <v>Italian Film Festival USA</v>
      </c>
      <c r="DR5" s="43" t="s">
        <v>50</v>
      </c>
      <c r="DS5" s="47" t="str">
        <f>hyperlink("http://www.acbv.org/events/2019/red-wasp-film-festival-2019", "Red Wasp Film Festival")</f>
        <v>Red Wasp Film Festival</v>
      </c>
      <c r="DU5" s="43" t="s">
        <v>50</v>
      </c>
      <c r="DV5" s="45"/>
      <c r="DX5" s="41" t="str">
        <f>hyperlink("https://www.wjff.org/", "Washington Jewish Film Festival")</f>
        <v>Washington Jewish Film Festival</v>
      </c>
      <c r="EP5" s="43" t="s">
        <v>50</v>
      </c>
      <c r="ET5" s="106" t="str">
        <f>hyperlink("http://www.buddhistfilmfoundation.org", "International Buddhist Film Festival")</f>
        <v>International Buddhist Film Festival</v>
      </c>
      <c r="FY5" s="43" t="s">
        <v>50</v>
      </c>
      <c r="FZ5" s="45"/>
      <c r="GA5" s="45"/>
      <c r="GC5" s="108" t="str">
        <f>hyperlink("http://www.roswellfilmcon.com/", "Roswell Sci-Fi Film Festival")</f>
        <v>Roswell Sci-Fi Film Festival</v>
      </c>
      <c r="GF5" s="43" t="s">
        <v>50</v>
      </c>
      <c r="GG5" s="45"/>
      <c r="GI5" s="110" t="str">
        <f>hyperlink("https://www.newarkmuseum.org/nbff", "Newark Black Film Festival")</f>
        <v>Newark Black Film Festival</v>
      </c>
      <c r="GL5" s="43" t="s">
        <v>50</v>
      </c>
      <c r="GM5" s="45"/>
      <c r="GN5" s="45"/>
      <c r="GP5" s="41" t="str">
        <f>hyperlink("https://jfi.org/film-festival", "San Francisco Jewish Film Festival")</f>
        <v>San Francisco Jewish Film Festival</v>
      </c>
      <c r="HH5" s="43" t="s">
        <v>50</v>
      </c>
      <c r="HI5" s="45"/>
      <c r="HJ5" s="45"/>
      <c r="HK5" s="63" t="str">
        <f>hyperlink("http://www.chainfilmfestival.com/", "Chain NYC Film Festival")</f>
        <v>Chain NYC Film Festival</v>
      </c>
      <c r="HV5" s="43" t="s">
        <v>50</v>
      </c>
      <c r="HW5" s="45"/>
      <c r="HZ5" s="63" t="str">
        <f>hyperlink("https://www.caiff.org/", "California Independent Film Festival")</f>
        <v>California Independent Film Festival</v>
      </c>
      <c r="II5" s="43" t="s">
        <v>50</v>
      </c>
      <c r="IJ5" s="45"/>
      <c r="IN5" s="63" t="str">
        <f>hyperlink("https://www.royalstarr.org/", "Royal Starr Film Festival")</f>
        <v>Royal Starr Film Festival</v>
      </c>
      <c r="IX5" s="43" t="s">
        <v>50</v>
      </c>
      <c r="JA5" s="63" t="str">
        <f>hyperlink("https://www.breckfilmfest.org/", "Breckenridge Film Festival")</f>
        <v>Breckenridge Film Festival</v>
      </c>
      <c r="JE5" s="43" t="s">
        <v>50</v>
      </c>
      <c r="JH5" s="63" t="str">
        <f>hyperlink("http://greatlakesfilmfest.com/", "Great Lakes International Film Festival")</f>
        <v>Great Lakes International Film Festival</v>
      </c>
      <c r="JY5" s="43" t="s">
        <v>50</v>
      </c>
      <c r="KA5" s="80" t="str">
        <f>hyperlink("http://nashvillejff.net/", "Nashville Jewish Film Festival")</f>
        <v>Nashville Jewish Film Festival</v>
      </c>
      <c r="KZ5" s="43" t="s">
        <v>50</v>
      </c>
      <c r="LA5" s="41" t="str">
        <f>hyperlink("https://pjff.org/", "Philadelphia Jewish Film Festival")</f>
        <v>Philadelphia Jewish Film Festival</v>
      </c>
      <c r="LP5" s="43" t="s">
        <v>50</v>
      </c>
      <c r="LQ5" s="45"/>
      <c r="LR5" s="45"/>
      <c r="LX5" s="63" t="str">
        <f>hyperlink("https://www.smff.org/", "Santa Monica International Film Festival")</f>
        <v>Santa Monica International Film Festival</v>
      </c>
      <c r="LY5" s="43" t="s">
        <v>50</v>
      </c>
      <c r="MB5" s="63" t="str">
        <f>hyperlink("http://anchoragefilmfestival.org/", "Anchorage International Film Festival")</f>
        <v>Anchorage International Film Festival</v>
      </c>
      <c r="ML5" s="43" t="s">
        <v>50</v>
      </c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7" t="str">
        <f>hyperlink("http://www.sunshinecityfilmfestival.com/", "Sunshine City Film Festival")</f>
        <v>Sunshine City Film Festival</v>
      </c>
      <c r="V6" s="43" t="s">
        <v>50</v>
      </c>
      <c r="W6" s="45"/>
      <c r="X6" s="47" t="str">
        <f>hyperlink("http://www.sundance.org/festivals/sundance-film-festival#/", "Sundance Film Festival ")</f>
        <v>Sundance Film Festival </v>
      </c>
      <c r="AI6" s="43" t="s">
        <v>50</v>
      </c>
      <c r="AJ6" s="45"/>
      <c r="AK6" s="45"/>
      <c r="AL6" s="45"/>
      <c r="AM6" s="45"/>
      <c r="AN6" s="80" t="str">
        <f>hyperlink("https://jewishlouisville.org/the-j/j-arts-ideas/film-festival/", "Louisville Jewish Film Festival")</f>
        <v>Louisville Jewish Film Festival</v>
      </c>
      <c r="BM6" s="43" t="s">
        <v>50</v>
      </c>
      <c r="BN6" s="80" t="str">
        <f>hyperlink("https://hjff2019.eventive.org/welcome", "Hartford Jewish Film Festival")</f>
        <v>Hartford Jewish Film Festival</v>
      </c>
      <c r="BX6" s="43" t="s">
        <v>50</v>
      </c>
      <c r="BY6" s="45"/>
      <c r="BZ6" s="45"/>
      <c r="CA6" s="45"/>
      <c r="CB6" s="45"/>
      <c r="CC6" s="80" t="str">
        <f>hyperlink("http://www.seattlejewishfilmfestival.org/", "Seattle Jewish Film Festival")</f>
        <v>Seattle Jewish Film Festival</v>
      </c>
      <c r="CS6" s="43" t="s">
        <v>50</v>
      </c>
      <c r="CT6" s="45"/>
      <c r="CU6" s="45"/>
      <c r="CV6" s="47" t="str">
        <f>hyperlink("https://mspfilm.org/festivals/mspiff/", "Minneapolis-St. Paul International Film Festival")</f>
        <v>Minneapolis-St. Paul International Film Festival</v>
      </c>
      <c r="DR6" s="43" t="s">
        <v>50</v>
      </c>
      <c r="DS6" s="110" t="str">
        <f>hyperlink("http://www.brooklynartscouncil.org/forum/4994 ", "Women of African Descent Film Festival")</f>
        <v>Women of African Descent Film Festival</v>
      </c>
      <c r="DT6" s="43" t="s">
        <v>50</v>
      </c>
      <c r="DW6" s="125" t="str">
        <f>hyperlink("http://www.cinelasamericas.org", "Cine Las Americas International Film Festival")</f>
        <v>Cine Las Americas International Film Festival</v>
      </c>
      <c r="EB6" s="43" t="s">
        <v>50</v>
      </c>
      <c r="EE6" s="45"/>
      <c r="EF6" s="98" t="str">
        <f>hyperlink("http://africanfilmny.org", "New York African Film Festival")</f>
        <v>New York African Film Festival</v>
      </c>
      <c r="EW6" s="43" t="s">
        <v>50</v>
      </c>
      <c r="FA6" s="63" t="str">
        <f>hyperlink("http://miamindiefest.com/", "Miami Independent Film Festival")</f>
        <v>Miami Independent Film Festival</v>
      </c>
      <c r="GF6" s="43" t="s">
        <v>50</v>
      </c>
      <c r="GH6" s="45"/>
      <c r="GJ6" s="129" t="str">
        <f>hyperlink("https://www.utahfilmcenter.org/", "Damn These Heels LGBTQ Film Festival")</f>
        <v>Damn These Heels LGBTQ Film Festival</v>
      </c>
      <c r="GM6" s="43" t="s">
        <v>50</v>
      </c>
      <c r="GP6" s="129" t="str">
        <f>hyperlink("https://www.outfest.org//", "Outfest Los Angeles LGBTQ Film Festival")</f>
        <v>Outfest Los Angeles LGBTQ Film Festival</v>
      </c>
      <c r="HA6" s="43" t="s">
        <v>50</v>
      </c>
      <c r="HB6" s="63" t="str">
        <f>hyperlink("http://safilm.com/", "San Antonio Film Festival")</f>
        <v>San Antonio Film Festival</v>
      </c>
      <c r="HH6" s="43" t="s">
        <v>50</v>
      </c>
      <c r="HI6" s="45"/>
      <c r="HJ6" s="45"/>
      <c r="HK6" s="45"/>
      <c r="HL6" s="47" t="str">
        <f>hyperlink("http://www.festivalofcinemanyc.com/", "Festival of Cinema NYC")</f>
        <v>Festival of Cinema NYC</v>
      </c>
      <c r="HV6" s="43" t="s">
        <v>50</v>
      </c>
      <c r="HZ6" s="63" t="str">
        <f>hyperlink("https://www.defyfilmfestival.com/", "Defy Film Festival")</f>
        <v>Defy Film Festival</v>
      </c>
      <c r="IB6" s="43" t="s">
        <v>50</v>
      </c>
      <c r="IC6" s="47" t="str">
        <f>hyperlink("https://www.sidewalkfest.com/", "Sidewalk Film Festival")</f>
        <v>Sidewalk Film Festival</v>
      </c>
      <c r="IJ6" s="43" t="s">
        <v>50</v>
      </c>
      <c r="IN6" s="133" t="str">
        <f>hyperlink("http://www.filmquestfest.com/", "FilmQuest")</f>
        <v>FilmQuest</v>
      </c>
      <c r="IW6" s="43" t="s">
        <v>50</v>
      </c>
      <c r="IX6" s="45"/>
      <c r="IY6" s="47" t="str">
        <f>hyperlink("http://www.oregonindependentfilmfest.com/", "Oregon Independent Film Festival ")</f>
        <v>Oregon Independent Film Festival </v>
      </c>
      <c r="JO6" s="43" t="s">
        <v>50</v>
      </c>
      <c r="JP6" s="136" t="str">
        <f>hyperlink("http://tsaff.tasveer.org", "Tasveer South Asian Film Festival")</f>
        <v>Tasveer South Asian Film Festival</v>
      </c>
      <c r="JZ6" s="43" t="s">
        <v>50</v>
      </c>
      <c r="KC6" s="58" t="str">
        <f>hyperlink("http://www.fashionfilmfestivalchicago.com/", "Fashion Film Festival of Chicago")</f>
        <v>Fashion Film Festival of Chicago</v>
      </c>
      <c r="KD6" s="43" t="s">
        <v>50</v>
      </c>
      <c r="KE6" s="41" t="str">
        <f>hyperlink("http://tcjfilmfest.org/", "Twin Cities Jewish Film Festival")</f>
        <v>Twin Cities Jewish Film Festival</v>
      </c>
      <c r="KU6" s="43" t="s">
        <v>50</v>
      </c>
      <c r="KV6" s="45"/>
      <c r="KW6" s="45"/>
      <c r="KX6" s="47" t="str">
        <f>hyperlink("https://denverfilmfestival.denverfilm.org/?detect=yes", "Denver Film Festival")</f>
        <v>Denver Film Festival</v>
      </c>
      <c r="LJ6" s="43" t="s">
        <v>50</v>
      </c>
      <c r="LL6" s="63" t="str">
        <f>hyperlink("https://kwfilmfest.com/", "Key West Film Festival")</f>
        <v>Key West Film Festival</v>
      </c>
      <c r="LQ6" s="43" t="s">
        <v>50</v>
      </c>
      <c r="LR6" s="45"/>
      <c r="MA6" s="139" t="str">
        <f>hyperlink("https://www.hamptonsdocfest.com/", "Hamptons Doc Fest")</f>
        <v>Hamptons Doc Fest</v>
      </c>
      <c r="MF6" s="43" t="s">
        <v>50</v>
      </c>
      <c r="MH6" s="58" t="str">
        <f>hyperlink("http://www.nihilists.net/film.html ", "Nihilist International Film Festival, The")</f>
        <v>Nihilist International Film Festival, The</v>
      </c>
      <c r="MQ6" s="43" t="s">
        <v>50</v>
      </c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94" t="str">
        <f>hyperlink("http://www.lawomensfest.com/", "Los Angeles Women's International Film Festival")</f>
        <v>Los Angeles Women's International Film Festival</v>
      </c>
      <c r="N7" s="43" t="s">
        <v>50</v>
      </c>
      <c r="O7" s="80" t="str">
        <f>hyperlink("https://tucsonjcc.org/arts/tijff/", "Tucson International Jewish Film Festival")</f>
        <v>Tucson International Jewish Film Festival</v>
      </c>
      <c r="U7" s="43" t="s">
        <v>50</v>
      </c>
      <c r="V7" s="45"/>
      <c r="W7" s="45"/>
      <c r="X7" s="45"/>
      <c r="Y7" s="45"/>
      <c r="Z7" s="45"/>
      <c r="AA7" s="80" t="str">
        <f>hyperlink("http://palmbeachjewishfilm.org/index.html", "Palm Beach Jewish Film Festival")</f>
        <v>Palm Beach Jewish Film Festival</v>
      </c>
      <c r="AW7" s="43" t="s">
        <v>50</v>
      </c>
      <c r="AX7" s="45"/>
      <c r="AY7" s="45"/>
      <c r="AZ7" s="45"/>
      <c r="BA7" s="147" t="str">
        <f>hyperlink("https://nyicff.org/", "New York International Children’s Film Festival")</f>
        <v>New York International Children’s Film Festival</v>
      </c>
      <c r="BX7" s="43" t="s">
        <v>50</v>
      </c>
      <c r="BY7" s="45"/>
      <c r="BZ7" s="45"/>
      <c r="CA7" s="45"/>
      <c r="CB7" s="45"/>
      <c r="CC7" s="80" t="str">
        <f>hyperlink("https://www.erjcchouston.org/arts/houston-jewish-film-festival/", "Houston Jewish Film Festival")</f>
        <v>Houston Jewish Film Festival</v>
      </c>
      <c r="CO7" s="43" t="s">
        <v>50</v>
      </c>
      <c r="CP7" s="96" t="str">
        <f>hyperlink("http://www.faaim.org", "Asian American Showcase, The")</f>
        <v>Asian American Showcase, The</v>
      </c>
      <c r="DD7" s="43" t="s">
        <v>50</v>
      </c>
      <c r="DE7" s="76" t="str">
        <f>hyperlink("http://gadaboutfilmfest.com/", "Gadabout Film Festival")</f>
        <v>Gadabout Film Festival</v>
      </c>
      <c r="DF7" s="43" t="s">
        <v>50</v>
      </c>
      <c r="DK7" s="60" t="str">
        <f>hyperlink("https://www.dogtowndancetheatre.com/", "Richmond Dance Festival")</f>
        <v>Richmond Dance Festival</v>
      </c>
      <c r="EA7" s="43" t="s">
        <v>50</v>
      </c>
      <c r="EB7" s="45"/>
      <c r="EC7" s="45"/>
      <c r="ED7" s="45"/>
      <c r="EE7" s="47" t="str">
        <f>hyperlink("https://www.siff.net/", "Seattle International Film Festival")</f>
        <v>Seattle International Film Festival</v>
      </c>
      <c r="FD7" s="43" t="s">
        <v>50</v>
      </c>
      <c r="FE7" s="41" t="str">
        <f>hyperlink("https://jewishdayton.org/program/dayton-jewish-film-festival/", "Dayton Jewish Film Festival")</f>
        <v>Dayton Jewish Film Festival</v>
      </c>
      <c r="GA7" s="43" t="s">
        <v>50</v>
      </c>
      <c r="GH7" s="45"/>
      <c r="GJ7" s="63" t="str">
        <f>hyperlink("https://www.miff.org/", "Maine International Film Festival")</f>
        <v>Maine International Film Festival</v>
      </c>
      <c r="GT7" s="43" t="s">
        <v>50</v>
      </c>
      <c r="GY7" s="63" t="str">
        <f>hyperlink("http://www.woo...festival.org/", "Woods Hole Film Festival")</f>
        <v>Woods Hole Film Festival</v>
      </c>
      <c r="HG7" s="43" t="s">
        <v>50</v>
      </c>
      <c r="HH7" s="45"/>
      <c r="HI7" s="45"/>
      <c r="HJ7" s="45"/>
      <c r="HK7" s="45"/>
      <c r="HL7" s="47" t="str">
        <f>hyperlink("http://www.festivalofcinemanyc.com", "Kew Gardens Festival of Cinema")</f>
        <v>Kew Gardens Festival of Cinema</v>
      </c>
      <c r="HV7" s="43" t="s">
        <v>50</v>
      </c>
      <c r="HW7" s="45"/>
      <c r="HX7" s="45"/>
      <c r="HY7" s="154" t="str">
        <f>hyperlink("https://www.sdundergroundarts.org/", "San Diego Underground Film Festival")</f>
        <v>San Diego Underground Film Festival</v>
      </c>
      <c r="IC7" s="43" t="s">
        <v>50</v>
      </c>
      <c r="ID7" s="45"/>
      <c r="IE7" s="45"/>
      <c r="IF7" s="45"/>
      <c r="IG7" s="47" t="str">
        <f>hyperlink("http://www.nevadacityfilmfestival.com/", "Nevada City Film Festival")</f>
        <v>Nevada City Film Festival</v>
      </c>
      <c r="IO7" s="43" t="s">
        <v>50</v>
      </c>
      <c r="IT7" s="76" t="str">
        <f>hyperlink("https://dcshorts.com/", "DC Shorts Film Festival")</f>
        <v>DC Shorts Film Festival</v>
      </c>
      <c r="JD7" s="43" t="s">
        <v>50</v>
      </c>
      <c r="JE7" s="45"/>
      <c r="JF7" s="45"/>
      <c r="JG7" s="45"/>
      <c r="JH7" s="49" t="str">
        <f>hyperlink("http://www.msfilmfest.com/", "Manhattan Short Film Festival")</f>
        <v>Manhattan Short Film Festival</v>
      </c>
      <c r="JS7" s="43" t="s">
        <v>50</v>
      </c>
      <c r="JU7" s="110" t="str">
        <f>hyperlink("http://www.bibff.com/", "Baltimore International Black Film Festival")</f>
        <v>Baltimore International Black Film Festival</v>
      </c>
      <c r="KA7" s="43" t="s">
        <v>50</v>
      </c>
      <c r="KC7" s="63" t="str">
        <f>hyperlink("https://mkefilm.org/", "Milwaukee Film Festival ")</f>
        <v>Milwaukee Film Festival </v>
      </c>
      <c r="KR7" s="43" t="s">
        <v>50</v>
      </c>
      <c r="KT7" s="160" t="str">
        <f>hyperlink("https://www.rednationff.com/", "Red Nation International Film Festival")</f>
        <v>Red Nation International Film Festival</v>
      </c>
      <c r="LJ7" s="43" t="s">
        <v>50</v>
      </c>
      <c r="LL7" s="58" t="str">
        <f>hyperlink("http://societyforvisualanthropology.org", "Society for Visual Anthropology Film and Media Festival")</f>
        <v>Society for Visual Anthropology Film and Media Festival</v>
      </c>
      <c r="LP7" s="43" t="s">
        <v>50</v>
      </c>
      <c r="LQ7" s="45"/>
      <c r="MA7" s="162" t="str">
        <f>hyperlink("https://nychorrorfest.com/", "New York City Horror Film Festival, The")</f>
        <v>New York City Horror Film Festival, The</v>
      </c>
      <c r="ME7" s="43" t="s">
        <v>50</v>
      </c>
      <c r="MH7" s="58" t="str">
        <f>hyperlink("https://www.interfaithfilmfest.com", "InterFaith Film &amp; Music Festival")</f>
        <v>InterFaith Film &amp; Music Festival</v>
      </c>
      <c r="ML7" s="43" t="s">
        <v>50</v>
      </c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78" t="str">
        <f>hyperlink("https://kinetoscopefilmfestival.org/", "Kinetiscope: International Screendance Film Festival")</f>
        <v>Kinetiscope: International Screendance Film Festival</v>
      </c>
      <c r="N8" s="43" t="s">
        <v>50</v>
      </c>
      <c r="O8" s="45"/>
      <c r="P8" s="80" t="str">
        <f>hyperlink("https://brjff.com/", "Baton Rouge Jewish Film Festival")</f>
        <v>Baton Rouge Jewish Film Festival</v>
      </c>
      <c r="V8" s="43" t="s">
        <v>50</v>
      </c>
      <c r="W8" s="47" t="str">
        <f>hyperlink("http://cinemaonthebayou.com/", "Cinema on the Bayou")</f>
        <v>Cinema on the Bayou</v>
      </c>
      <c r="AE8" s="43" t="s">
        <v>50</v>
      </c>
      <c r="AF8" s="45"/>
      <c r="AG8" s="80" t="str">
        <f>hyperlink("https://charlottejewishfilm.com/", "Charlotte Jewish Film Festival")</f>
        <v>Charlotte Jewish Film Festival</v>
      </c>
      <c r="BD8" s="43" t="s">
        <v>50</v>
      </c>
      <c r="BE8" s="45"/>
      <c r="BF8" s="49" t="str">
        <f>hyperlink("https://www.onescreen.org/", "One Screen Short Film Festival")</f>
        <v>One Screen Short Film Festival</v>
      </c>
      <c r="BG8" s="43" t="s">
        <v>50</v>
      </c>
      <c r="BH8" s="80" t="str">
        <f>hyperlink("https://jccfilmfest.jccchicago.org/", "Chicago Jewish Film Festival")</f>
        <v>Chicago Jewish Film Festival</v>
      </c>
      <c r="BX8" s="43" t="s">
        <v>50</v>
      </c>
      <c r="BY8" s="47" t="str">
        <f>hyperlink("http://www.gasparillafilmfestival.com/", "Gasparilla International Film Festival")</f>
        <v>Gasparilla International Film Festival</v>
      </c>
      <c r="CE8" s="43" t="s">
        <v>50</v>
      </c>
      <c r="CF8" s="45"/>
      <c r="CG8" s="47" t="str">
        <f>hyperlink("https://www.clevelandfilm.org/", "Cleveland International Film Festival")</f>
        <v>Cleveland International Film Festival</v>
      </c>
      <c r="CS8" s="43" t="s">
        <v>50</v>
      </c>
      <c r="CU8" s="63" t="str">
        <f>hyperlink("https://www.sffilm.org", "San Francisco International Film Festival")</f>
        <v>San Francisco International Film Festival</v>
      </c>
      <c r="DI8" s="43" t="s">
        <v>50</v>
      </c>
      <c r="DJ8" s="63" t="str">
        <f>hyperlink("http://www.filmfestdc.org/", "FilmFest DC ")</f>
        <v>FilmFest DC </v>
      </c>
      <c r="DU8" s="43" t="s">
        <v>50</v>
      </c>
      <c r="DY8" s="171" t="str">
        <f>hyperlink("https://www.workersunitefilmfestival.org/", "Workers Unite Film Festival, The ")</f>
        <v>Workers Unite Film Festival, The </v>
      </c>
      <c r="EO8" s="43" t="s">
        <v>50</v>
      </c>
      <c r="EP8" s="98" t="str">
        <f>hyperlink("http://www.orlandouff.com/", "Orlando Urban Film Festival")</f>
        <v>Orlando Urban Film Festival</v>
      </c>
      <c r="EQ8" s="43" t="s">
        <v>50</v>
      </c>
      <c r="ER8" s="45"/>
      <c r="ES8" s="45"/>
      <c r="ET8" s="47" t="str">
        <f>hyperlink("http://www.brooklynfilmfestival.org/", "Brooklyn Film Festival")</f>
        <v>Brooklyn Film Festival</v>
      </c>
      <c r="FD8" s="43" t="s">
        <v>50</v>
      </c>
      <c r="FE8" s="45"/>
      <c r="FF8" s="45"/>
      <c r="FG8" s="147" t="str">
        <f>hyperlink("http://kidsvideoconnection.org/", "Kids' Video Connection Children's Film Festival")</f>
        <v>Kids' Video Connection Children's Film Festival</v>
      </c>
      <c r="FX8" s="43" t="s">
        <v>50</v>
      </c>
      <c r="FY8" s="133" t="str">
        <f>hyperlink("http://www.etheriafilmnight.com/", "Etheria Film Night ")</f>
        <v>Etheria Film Night </v>
      </c>
      <c r="FZ8" s="43" t="s">
        <v>50</v>
      </c>
      <c r="GA8" s="45"/>
      <c r="GQ8" s="63" t="str">
        <f>hyperlink("https://newhopefilmfestival.com/", "New Hope Film Festival")</f>
        <v>New Hope Film Festival</v>
      </c>
      <c r="HA8" s="43" t="s">
        <v>50</v>
      </c>
      <c r="HB8" s="63" t="str">
        <f>hyperlink("https://www.traversecityfilmfest.org/", "Traverse City Film Festival")</f>
        <v>Traverse City Film Festival</v>
      </c>
      <c r="HH8" s="43" t="s">
        <v>50</v>
      </c>
      <c r="HI8" s="45"/>
      <c r="HK8" s="129" t="str">
        <f>hyperlink("https://www.agliff.org/", "All Genders, Lifestyles, and Identities Film Festival ")</f>
        <v>All Genders, Lifestyles, and Identities Film Festival </v>
      </c>
      <c r="HO8" s="43" t="s">
        <v>50</v>
      </c>
      <c r="HR8" s="76" t="str">
        <f>hyperlink("http://www.hollyshorts.com/", "HollyShorts ")</f>
        <v>HollyShorts </v>
      </c>
      <c r="IB8" s="43" t="s">
        <v>50</v>
      </c>
      <c r="IC8" s="45"/>
      <c r="IG8" s="63" t="str">
        <f>hyperlink("http://buffalodreamsfilmfest.com/", "Buffalo Dreams Fantastic Film Festival")</f>
        <v>Buffalo Dreams Fantastic Film Festival</v>
      </c>
      <c r="IN8" s="43" t="s">
        <v>50</v>
      </c>
      <c r="IO8" s="47" t="str">
        <f>hyperlink("http://www.valleyfilmfest.com/", "Valley Film Festival, The")</f>
        <v>Valley Film Festival, The</v>
      </c>
      <c r="IX8" s="43" t="s">
        <v>50</v>
      </c>
      <c r="IY8" s="45"/>
      <c r="IZ8" s="45"/>
      <c r="JA8" s="129" t="str">
        <f>hyperlink("https://palmspringsculturalcenter.org/programs/the-palm-springs-cinema-diverse-lgbtq-film-festival/", "Cinema Diverse: The Palm Springs LGBTQ Film Festival")</f>
        <v>Cinema Diverse: The Palm Springs LGBTQ Film Festival</v>
      </c>
      <c r="JE8" s="43" t="s">
        <v>50</v>
      </c>
      <c r="JF8" s="45"/>
      <c r="JH8" s="129" t="str">
        <f>hyperlink("http://reelingfilmfestival.org/2018/", "Reeling: The Chicago LGBTQ+ International Film Festival")</f>
        <v>Reeling: The Chicago LGBTQ+ International Film Festival</v>
      </c>
      <c r="JS8" s="43" t="s">
        <v>50</v>
      </c>
      <c r="JT8" s="45"/>
      <c r="JU8" s="139" t="str">
        <f>hyperlink("https://www.chagrinfilmfest.org/", "Chagrin Documentary Film Festival")</f>
        <v>Chagrin Documentary Film Festival</v>
      </c>
      <c r="JZ8" s="43" t="s">
        <v>50</v>
      </c>
      <c r="KB8" s="63" t="str">
        <f>hyperlink("https://www.chicagofilmfestival.com/", "Chicago International Film Festival")</f>
        <v>Chicago International Film Festival</v>
      </c>
      <c r="KN8" s="43" t="s">
        <v>50</v>
      </c>
      <c r="KR8" s="180" t="str">
        <f>hyperlink("http://www.desmonddistrictdemons.com/", "Desmond District Demons Film Festival")</f>
        <v>Desmond District Demons Film Festival</v>
      </c>
      <c r="KT8" s="43" t="s">
        <v>50</v>
      </c>
      <c r="KX8" s="45"/>
      <c r="KY8" s="63" t="str">
        <f>hyperlink("https://www.hiff.org/", "Hawaii International Film Festival")</f>
        <v>Hawaii International Film Festival</v>
      </c>
      <c r="LJ8" s="43" t="s">
        <v>50</v>
      </c>
      <c r="LK8" s="45"/>
      <c r="LL8" s="45"/>
      <c r="LM8" s="63" t="str">
        <f>hyperlink("http://www.willfilm.org/", "Williamsburg Independent Film Festival")</f>
        <v>Williamsburg Independent Film Festival</v>
      </c>
      <c r="LQ8" s="43" t="s">
        <v>50</v>
      </c>
      <c r="MA8" s="188" t="str">
        <f>hyperlink("http://tbuff.org/", "Tampa Bay Underground Film Festival")</f>
        <v>Tampa Bay Underground Film Festival</v>
      </c>
      <c r="ME8" s="43" t="s">
        <v>50</v>
      </c>
      <c r="MI8" s="63" t="str">
        <f>hyperlink("http://siliconvalleyfilm.com", "Silicon Valley International Film Festival")</f>
        <v>Silicon Valley International Film Festival</v>
      </c>
      <c r="MK8" s="43" t="s">
        <v>50</v>
      </c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180" t="str">
        <f>hyperlink("http://www.americanhorrorfilmfestival.com/", "American Horror Film Festival")</f>
        <v>American Horror Film Festival</v>
      </c>
      <c r="M9" s="43" t="s">
        <v>50</v>
      </c>
      <c r="N9" s="45"/>
      <c r="O9" s="45"/>
      <c r="P9" s="45"/>
      <c r="Q9" s="47" t="str">
        <f>hyperlink("http://www.borregospringsfilmfestival.org/", "Borrego Springs Film Festival")</f>
        <v>Borrego Springs Film Festival</v>
      </c>
      <c r="V9" s="43" t="s">
        <v>50</v>
      </c>
      <c r="W9" s="45"/>
      <c r="X9" s="45"/>
      <c r="Y9" s="180" t="str">
        <f>hyperlink("https://www.panicfilmfest.com/", "Panic Fest")</f>
        <v>Panic Fest</v>
      </c>
      <c r="AF9" s="43" t="s">
        <v>50</v>
      </c>
      <c r="AG9" s="45"/>
      <c r="AH9" s="45"/>
      <c r="AI9" s="45"/>
      <c r="AJ9" s="45"/>
      <c r="AK9" s="80" t="str">
        <f>hyperlink("https://www.ajff.org/", "Atlanta Jewish Film Festival")</f>
        <v>Atlanta Jewish Film Festival</v>
      </c>
      <c r="BF9" s="43" t="s">
        <v>50</v>
      </c>
      <c r="BG9" s="94" t="str">
        <f>hyperlink("https://athenafilmfestival.com/", "Athena Film Festival ")</f>
        <v>Athena Film Festival </v>
      </c>
      <c r="BK9" s="43" t="s">
        <v>50</v>
      </c>
      <c r="BL9" s="47" t="str">
        <f>hyperlink("https://www.cinequest.org/", "Cinequest")</f>
        <v>Cinequest</v>
      </c>
      <c r="BX9" s="43" t="s">
        <v>50</v>
      </c>
      <c r="BY9" s="63" t="str">
        <f>hyperlink("https://slofilmfest.org/", "San Luis Obispo International Film Festival")</f>
        <v>San Luis Obispo International Film Festival</v>
      </c>
      <c r="CE9" s="43" t="s">
        <v>50</v>
      </c>
      <c r="CG9" s="63" t="str">
        <f>hyperlink("http://www.newdirectors.org/", "New Directors/New Films")</f>
        <v>New Directors/New Films</v>
      </c>
      <c r="CS9" s="43" t="s">
        <v>50</v>
      </c>
      <c r="CV9" s="63" t="str">
        <f>hyperlink("https://capitalcityfilmfest.com/", "Capital City Film Festival")</f>
        <v>Capital City Film Festival</v>
      </c>
      <c r="DF9" s="43" t="s">
        <v>50</v>
      </c>
      <c r="DI9" s="45"/>
      <c r="DJ9" s="63" t="str">
        <f>hyperlink("http://manhattanff.com/", "Manhattan Film Festival")</f>
        <v>Manhattan Film Festival</v>
      </c>
      <c r="DY9" s="43" t="s">
        <v>50</v>
      </c>
      <c r="DZ9" s="63" t="str">
        <f>hyperlink("http://www.niagaracc.suny.edu/ncccfilmfestival/", "NCCC Film &amp; Animation Festival")</f>
        <v>NCCC Film &amp; Animation Festival</v>
      </c>
      <c r="EA9" s="43" t="s">
        <v>50</v>
      </c>
      <c r="EE9" s="136" t="str">
        <f>hyperlink("https://caamfest.com/", "CAAM Fest")</f>
        <v>CAAM Fest</v>
      </c>
      <c r="EP9" s="43" t="s">
        <v>50</v>
      </c>
      <c r="EQ9" s="45"/>
      <c r="ER9" s="47" t="str">
        <f>hyperlink("https://www.ds-ff.com/", "Duluth-Superior Film Festival")</f>
        <v>Duluth-Superior Film Festival</v>
      </c>
      <c r="EW9" s="43" t="s">
        <v>50</v>
      </c>
      <c r="EX9" s="45"/>
      <c r="EY9" s="45"/>
      <c r="EZ9" s="198" t="str">
        <f>hyperlink("http://sfindie.com/", "San Francisco Documentary Festival")</f>
        <v>San Francisco Documentary Festival</v>
      </c>
      <c r="FO9" s="43" t="s">
        <v>50</v>
      </c>
      <c r="FQ9" s="63" t="str">
        <f>hyperlink("https://liftoff.network/", "New York Lift-Off Film Festival")</f>
        <v>New York Lift-Off Film Festival</v>
      </c>
      <c r="FY9" s="43" t="s">
        <v>50</v>
      </c>
      <c r="FZ9" s="45"/>
      <c r="GA9" s="45"/>
      <c r="GO9" s="76" t="str">
        <f>hyperlink("http://lashortsfest.com/content.asp?PageID=2", "LA Shorts International Film Festival")</f>
        <v>LA Shorts International Film Festival</v>
      </c>
      <c r="GX9" s="43" t="s">
        <v>50</v>
      </c>
      <c r="GY9" s="45"/>
      <c r="GZ9" s="45"/>
      <c r="HA9" s="45"/>
      <c r="HB9" s="171" t="str">
        <f>hyperlink("www.WhistleblowerSummit.com ", "Whistleblower Summit &amp; Film Festival ")</f>
        <v>Whistleblower Summit &amp; Film Festival </v>
      </c>
      <c r="HG9" s="43" t="s">
        <v>50</v>
      </c>
      <c r="HH9" s="45"/>
      <c r="HK9" s="180" t="str">
        <f>hyperlink("https://www.popcornfrights.com/", "Popcorn Frights Film Festival")</f>
        <v>Popcorn Frights Film Festival</v>
      </c>
      <c r="HT9" s="43" t="s">
        <v>50</v>
      </c>
      <c r="HU9" s="45"/>
      <c r="HV9" s="45"/>
      <c r="HW9" s="45"/>
      <c r="HX9" s="45"/>
      <c r="HY9" s="63" t="str">
        <f>hyperlink("http://trinityinternationalfilmfest.blogspot.com/", "Trinity International Film Festival")</f>
        <v>Trinity International Film Festival</v>
      </c>
      <c r="IC9" s="43" t="s">
        <v>50</v>
      </c>
      <c r="IE9" s="98" t="str">
        <f>hyperlink("https://bronzelens.com/", "BronzeLens Film Festival")</f>
        <v>BronzeLens Film Festival</v>
      </c>
      <c r="IJ9" s="43" t="s">
        <v>50</v>
      </c>
      <c r="IL9" s="45"/>
      <c r="IM9" s="205" t="str">
        <f>hyperlink("https://www.broadhumorfilmfest.com/", "Broad Humor Film Festival, The ")</f>
        <v>Broad Humor Film Festival, The </v>
      </c>
      <c r="IQ9" s="43" t="s">
        <v>50</v>
      </c>
      <c r="IR9" s="47" t="str">
        <f>hyperlink("http://mvfilmsociety.com/festivals/marthas-vineyard-international-film-festival/", "Martha's Vinyard International Film Festival")</f>
        <v>Martha's Vinyard International Film Festival</v>
      </c>
      <c r="IX9" s="43" t="s">
        <v>50</v>
      </c>
      <c r="IY9" s="45"/>
      <c r="JC9" s="63" t="str">
        <f>hyperlink("http://goldendoorfilmfestival.org/", "Golden Door Film Festival")</f>
        <v>Golden Door Film Festival</v>
      </c>
      <c r="JK9" s="43" t="s">
        <v>50</v>
      </c>
      <c r="JO9" s="207" t="str">
        <f>hyperlink("https://awarenessfestival.org/", "Awareness Festival")</f>
        <v>Awareness Festival</v>
      </c>
      <c r="JZ9" s="43" t="s">
        <v>50</v>
      </c>
      <c r="KA9" s="45"/>
      <c r="KB9" s="45"/>
      <c r="KC9" s="198" t="str">
        <f>hyperlink("http://www.unaff.org/", "United Nations Association Film Festival (UNAFF)")</f>
        <v>United Nations Association Film Festival (UNAFF)</v>
      </c>
      <c r="KN9" s="43" t="s">
        <v>50</v>
      </c>
      <c r="KT9" s="45"/>
      <c r="KU9" s="45"/>
      <c r="KV9" s="45"/>
      <c r="KW9" s="45"/>
      <c r="KY9" s="63" t="str">
        <f>hyperlink("https://www.lakecountyfilmfestival.org", "Lake County Film Festival, The")</f>
        <v>Lake County Film Festival, The</v>
      </c>
      <c r="LJ9" s="43" t="s">
        <v>50</v>
      </c>
      <c r="LK9" s="45"/>
      <c r="LN9" s="58" t="str">
        <f>hyperlink("https://www.carrborofilm.org", "Carrboro Film Fest")</f>
        <v>Carrboro Film Fest</v>
      </c>
      <c r="LQ9" s="43" t="s">
        <v>50</v>
      </c>
      <c r="LR9" s="45"/>
      <c r="MC9" s="210" t="str">
        <f>hyperlink("http://blog.laafest.com/", "Los Angeles Animation Festival")</f>
        <v>Los Angeles Animation Festival</v>
      </c>
      <c r="ME9" s="43" t="s">
        <v>50</v>
      </c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9" t="str">
        <f>hyperlink("https://www.hollywoodsff.org/", "Hollywood Short Film Festival")</f>
        <v>Hollywood Short Film Festival</v>
      </c>
      <c r="M10" s="43" t="s">
        <v>50</v>
      </c>
      <c r="N10" s="45"/>
      <c r="O10" s="45"/>
      <c r="P10" s="45"/>
      <c r="Q10" s="83" t="str">
        <f>hyperlink("https://www.wildandscenicfilmfestival.org/", "Wild &amp; Scenic Film Festival")</f>
        <v>Wild &amp; Scenic Film Festival</v>
      </c>
      <c r="V10" s="43" t="s">
        <v>50</v>
      </c>
      <c r="W10" s="98" t="str">
        <f>hyperlink("http://dentonbff.com/", "Denton Black Film Festival ")</f>
        <v>Denton Black Film Festival </v>
      </c>
      <c r="AB10" s="43" t="s">
        <v>50</v>
      </c>
      <c r="AC10" s="45"/>
      <c r="AD10" s="45"/>
      <c r="AE10" s="47" t="str">
        <f>hyperlink("http://sfindie.com/festivals/sf-indiefest/", "San Francisco Independent Film Festival")</f>
        <v>San Francisco Independent Film Festival</v>
      </c>
      <c r="AT10" s="43" t="s">
        <v>50</v>
      </c>
      <c r="AU10" s="147" t="str">
        <f>hyperlink("http://baicff.com/", "Bay Area International Childrens Film Festival")</f>
        <v>Bay Area International Childrens Film Festival</v>
      </c>
      <c r="AW10" s="43" t="s">
        <v>50</v>
      </c>
      <c r="AX10" s="47" t="str">
        <f>hyperlink("https://www.beaufortfilmfestival.com/", "Beaufort International Film Festival")</f>
        <v>Beaufort International Film Festival</v>
      </c>
      <c r="BD10" s="43" t="s">
        <v>50</v>
      </c>
      <c r="BE10" s="45"/>
      <c r="BF10" s="45"/>
      <c r="BG10" s="147" t="str">
        <f>hyperlink("http://www.childrensfilmfestivalseattle.org", "Children's Film Festival Seattle")</f>
        <v>Children's Film Festival Seattle</v>
      </c>
      <c r="BR10" s="43" t="s">
        <v>50</v>
      </c>
      <c r="BS10" s="45"/>
      <c r="BT10" s="53" t="str">
        <f>hyperlink("http://sdlatinofilm.com/", "San Diego Latino Film Festival")</f>
        <v>San Diego Latino Film Festival</v>
      </c>
      <c r="CE10" s="43" t="s">
        <v>50</v>
      </c>
      <c r="CF10" s="45"/>
      <c r="CG10" s="80" t="str">
        <f>hyperlink("http://pvjff.org/contact", "Pioneer Valley Jewish Film Festival")</f>
        <v>Pioneer Valley Jewish Film Festival</v>
      </c>
      <c r="CS10" s="43" t="s">
        <v>50</v>
      </c>
      <c r="CT10" s="45"/>
      <c r="CU10" s="106" t="str">
        <f>hyperlink("https://www.bhffnyc.org/", "Bosnian-Herzegovinian Film Festival")</f>
        <v>Bosnian-Herzegovinian Film Festival</v>
      </c>
      <c r="CY10" s="43" t="s">
        <v>50</v>
      </c>
      <c r="CZ10" s="45"/>
      <c r="DA10" s="45"/>
      <c r="DB10" s="47" t="str">
        <f>hyperlink("http://www.filmfestivalarizona.com/", "Arizona International Film Festival")</f>
        <v>Arizona International Film Festival</v>
      </c>
      <c r="DN10" s="43" t="s">
        <v>50</v>
      </c>
      <c r="DO10" s="45"/>
      <c r="DP10" s="45"/>
      <c r="DQ10" s="47" t="str">
        <f>hyperlink("http://atlantafilmfestival.com/", "Atlanta Film Festival")</f>
        <v>Atlanta Film Festival</v>
      </c>
      <c r="EB10" s="43" t="s">
        <v>50</v>
      </c>
      <c r="EC10" s="45"/>
      <c r="ED10" s="45"/>
      <c r="EE10" s="47" t="str">
        <f>hyperlink("https://www.chicoindie.com/", "Chico Independent Film Festival, The")</f>
        <v>Chico Independent Film Festival, The</v>
      </c>
      <c r="EP10" s="43" t="s">
        <v>50</v>
      </c>
      <c r="EQ10" s="45"/>
      <c r="ER10" s="45"/>
      <c r="ES10" s="47" t="str">
        <f>hyperlink("https://www.biffma.org/", "Berkshire International Film Festival")</f>
        <v>Berkshire International Film Festival</v>
      </c>
      <c r="EW10" s="43" t="s">
        <v>50</v>
      </c>
      <c r="EX10" s="45"/>
      <c r="EY10" s="45"/>
      <c r="EZ10" s="45"/>
      <c r="FA10" s="221" t="str">
        <f>hyperlink("http://www.arabamericanmuseum.org/", "Arab Film Festival @ Arab National Museum")</f>
        <v>Arab Film Festival @ Arab National Museum</v>
      </c>
      <c r="FK10" s="43" t="s">
        <v>50</v>
      </c>
      <c r="FL10" s="80" t="str">
        <f>hyperlink("https://nwfilm.org/festival-family/pjff/", "Portland Jewish Film Festival")</f>
        <v>Portland Jewish Film Festival</v>
      </c>
      <c r="GA10" s="43" t="s">
        <v>50</v>
      </c>
      <c r="GP10" s="63" t="str">
        <f>hyperlink("https://www.stonybrookfilmfestival.com/", "Stony Brook Film Festival")</f>
        <v>Stony Brook Film Festival</v>
      </c>
      <c r="GY10" s="43" t="s">
        <v>50</v>
      </c>
      <c r="HA10" s="45"/>
      <c r="HC10" s="47" t="str">
        <f>hyperlink("http://www.longbeachfilm.com/", "Long Beach International Film Festival")</f>
        <v>Long Beach International Film Festival</v>
      </c>
      <c r="HH10" s="43" t="s">
        <v>50</v>
      </c>
      <c r="HJ10" s="45"/>
      <c r="HK10" s="45"/>
      <c r="HL10" s="98" t="str">
        <f>hyperlink("http://www.mvaaff.com/", "RSF Martha's Vinyard African American Film Festival, The")</f>
        <v>RSF Martha's Vinyard African American Film Festival, The</v>
      </c>
      <c r="HU10" s="43" t="s">
        <v>50</v>
      </c>
      <c r="HV10" s="45"/>
      <c r="HW10" s="45"/>
      <c r="HX10" s="45"/>
      <c r="HZ10" s="63" t="str">
        <f>hyperlink("http://www.lcnaugusta.com/black-cat-picture-show/", "Black Cat Picture Show")</f>
        <v>Black Cat Picture Show</v>
      </c>
      <c r="IC10" s="43" t="s">
        <v>50</v>
      </c>
      <c r="IE10" s="171" t="str">
        <f>hyperlink("https://www.ladff.com/", "Los Angeles Diversity Film Festival")</f>
        <v>Los Angeles Diversity Film Festival</v>
      </c>
      <c r="II10" s="43" t="s">
        <v>50</v>
      </c>
      <c r="IJ10" s="45"/>
      <c r="IL10" s="45"/>
      <c r="IN10" s="63" t="str">
        <f>hyperlink("http://oilvalleyfilmfestival.weebly.com/", "Oil Valley Film Festival")</f>
        <v>Oil Valley Film Festival</v>
      </c>
      <c r="IQ10" s="43" t="s">
        <v>50</v>
      </c>
      <c r="IR10" s="94" t="str">
        <f>hyperlink("https://www.wifdallas.org", "Topaz Film Festival by Women in Film Dallas")</f>
        <v>Topaz Film Festival by Women in Film Dallas</v>
      </c>
      <c r="IX10" s="43" t="s">
        <v>50</v>
      </c>
      <c r="IY10" s="45"/>
      <c r="IZ10" s="45"/>
      <c r="JA10" s="139" t="str">
        <f>hyperlink("http://docuwestfest.com/", "DocuWest Documentary Film Festival")</f>
        <v>DocuWest Documentary Film Festival</v>
      </c>
      <c r="JE10" s="43" t="s">
        <v>50</v>
      </c>
      <c r="JF10" s="45"/>
      <c r="JG10" s="45"/>
      <c r="JH10" s="45"/>
      <c r="JI10" s="53" t="str">
        <f>hyperlink("http://www.plaff.org/", "Providence Latin American Film Festival")</f>
        <v>Providence Latin American Film Festival</v>
      </c>
      <c r="JR10" s="43" t="s">
        <v>50</v>
      </c>
      <c r="JS10" s="45"/>
      <c r="JU10" s="45"/>
      <c r="JV10" s="47" t="str">
        <f>hyperlink("http://heartlandfilm.org/festival/", "Heartland International Film Festival ")</f>
        <v>Heartland International Film Festival </v>
      </c>
      <c r="KG10" s="43" t="s">
        <v>50</v>
      </c>
      <c r="KH10" s="45"/>
      <c r="KI10" s="47" t="str">
        <f>hyperlink("http://twincitiesfilmfest.org/", "Twin Cities Film Festival")</f>
        <v>Twin Cities Film Festival</v>
      </c>
      <c r="KT10" s="43" t="s">
        <v>50</v>
      </c>
      <c r="KY10" s="41" t="str">
        <f>hyperlink("https://www.jccnv.org/film-festival/northern-virginia-jewish-film-festival/", "Northern Virginia Jewish Film Festival")</f>
        <v>Northern Virginia Jewish Film Festival</v>
      </c>
      <c r="LJ10" s="43" t="s">
        <v>50</v>
      </c>
      <c r="LK10" s="45"/>
      <c r="LO10" s="51" t="str">
        <f>hyperlink("http://bikff.org/", "Boston International Kids Film Festival")</f>
        <v>Boston International Kids Film Festival</v>
      </c>
      <c r="LQ10" s="43" t="s">
        <v>50</v>
      </c>
      <c r="MB10" s="188" t="str">
        <f>hyperlink("https://www.duffcinema.org/", "Denver Underground Film Festival")</f>
        <v>Denver Underground Film Festival</v>
      </c>
      <c r="MC10" s="43" t="s">
        <v>50</v>
      </c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94" t="str">
        <f>hyperlink("https://andshesdopetoo.com/pages/lady-wild-film-fest", "Lady Wild Film Fest")</f>
        <v>Lady Wild Film Fest</v>
      </c>
      <c r="M11" s="43" t="s">
        <v>50</v>
      </c>
      <c r="N11" s="45"/>
      <c r="O11" s="45"/>
      <c r="P11" s="45"/>
      <c r="Q11" s="83" t="str">
        <f>hyperlink("https://lookoutfilmfestival.org/", "Lookout Wild Film Festival")</f>
        <v>Lookout Wild Film Festival</v>
      </c>
      <c r="U11" s="43" t="s">
        <v>50</v>
      </c>
      <c r="V11" s="45"/>
      <c r="W11" s="45"/>
      <c r="X11" s="45"/>
      <c r="Y11" s="47" t="str">
        <f>hyperlink("http://www.slamdance.com/", "Slamdance Film Festival ")</f>
        <v>Slamdance Film Festival </v>
      </c>
      <c r="AF11" s="43" t="s">
        <v>50</v>
      </c>
      <c r="AG11" s="45"/>
      <c r="AH11" s="45"/>
      <c r="AI11" s="45"/>
      <c r="AJ11" s="45"/>
      <c r="AK11" s="45"/>
      <c r="AL11" s="45"/>
      <c r="AM11" s="45"/>
      <c r="AN11" s="45"/>
      <c r="AO11" s="80" t="str">
        <f>hyperlink("https://www.gpjff.org/", "Phoenix Jewish Film Festival")</f>
        <v>Phoenix Jewish Film Festival</v>
      </c>
      <c r="BD11" s="43" t="s">
        <v>50</v>
      </c>
      <c r="BE11" s="45"/>
      <c r="BG11" s="63" t="str">
        <f>hyperlink("http://www.artcenterbonita.org/biff/", "Bonita Springs International Film Festival")</f>
        <v>Bonita Springs International Film Festival</v>
      </c>
      <c r="BK11" s="43" t="s">
        <v>50</v>
      </c>
      <c r="BL11" s="45"/>
      <c r="BM11" s="45"/>
      <c r="BN11" s="45"/>
      <c r="BO11" s="47" t="str">
        <f>hyperlink("https://miamifilmfestival.com/", "Miami Film Festival")</f>
        <v>Miami Film Festival</v>
      </c>
      <c r="BX11" s="43" t="s">
        <v>50</v>
      </c>
      <c r="BY11" s="45"/>
      <c r="BZ11" s="45"/>
      <c r="CA11" s="80" t="str">
        <f>hyperlink("http://www.nhjewishfilmfestival.org/", "New Hampshire Jewish Film Festival")</f>
        <v>New Hampshire Jewish Film Festival</v>
      </c>
      <c r="CL11" s="43" t="s">
        <v>50</v>
      </c>
      <c r="CM11" s="45"/>
      <c r="CN11" s="45"/>
      <c r="CO11" s="230" t="str">
        <f>hyperlink("http://www.bos...filmfest.net/", "Wicked Queer: The Boston LGBT Film Festival")</f>
        <v>Wicked Queer: The Boston LGBT Film Festival</v>
      </c>
      <c r="CZ11" s="43" t="s">
        <v>50</v>
      </c>
      <c r="DA11" s="45"/>
      <c r="DB11" s="47" t="str">
        <f>hyperlink("https://tribecafilm.com/", "Tribeca Film Festival")</f>
        <v>Tribeca Film Festival</v>
      </c>
      <c r="DN11" s="43" t="s">
        <v>50</v>
      </c>
      <c r="DO11" s="45"/>
      <c r="DP11" s="45"/>
      <c r="DQ11" s="232" t="str">
        <f>hyperlink("https://www.cinemarfa.org/", "CineMarfa Film Festival")</f>
        <v>CineMarfa Film Festival</v>
      </c>
      <c r="EB11" s="43" t="s">
        <v>50</v>
      </c>
      <c r="ED11" s="76" t="str">
        <f>hyperlink("https://www.heritagefilmfestival.org/", "Heritage Film Festival")</f>
        <v>Heritage Film Festival</v>
      </c>
      <c r="EH11" s="43" t="s">
        <v>50</v>
      </c>
      <c r="EI11" s="47" t="str">
        <f>hyperlink("https://www.milledgevillefilmfest.com/", "ME Film Festival")</f>
        <v>ME Film Festival</v>
      </c>
      <c r="EP11" s="43" t="s">
        <v>50</v>
      </c>
      <c r="EQ11" s="45"/>
      <c r="ER11" s="45"/>
      <c r="ES11" s="45"/>
      <c r="ET11" s="230" t="str">
        <f>hyperlink("https://outfilmct.org/", "Connecticut LGBT Film Festival")</f>
        <v>Connecticut LGBT Film Festival</v>
      </c>
      <c r="FC11" s="43" t="s">
        <v>50</v>
      </c>
      <c r="FD11" s="45"/>
      <c r="FE11" s="45"/>
      <c r="FF11" s="45"/>
      <c r="FG11" s="47" t="str">
        <f>hyperlink("http://danceswithfilms.com/", "Dances With Films")</f>
        <v>Dances With Films</v>
      </c>
      <c r="FR11" s="43" t="s">
        <v>50</v>
      </c>
      <c r="FS11" s="47" t="str">
        <f>hyperlink("https://www.jerseyshorefilmfestival.com/", "Jersey Shore Film Festival")</f>
        <v>Jersey Shore Film Festival</v>
      </c>
      <c r="GA11" s="43" t="s">
        <v>50</v>
      </c>
      <c r="GQ11" s="47" t="str">
        <f>hyperlink("http://www.brainwashm.com/", "Brainwash Movie Festival")</f>
        <v>Brainwash Movie Festival</v>
      </c>
      <c r="GZ11" s="43" t="s">
        <v>50</v>
      </c>
      <c r="HA11" s="45"/>
      <c r="HB11" s="45"/>
      <c r="HC11" s="45"/>
      <c r="HD11" s="98" t="str">
        <f>hyperlink("https://www.blackstarfest.org", "BlackStar Film Festival")</f>
        <v>BlackStar Film Festival</v>
      </c>
      <c r="HH11" s="43" t="s">
        <v>50</v>
      </c>
      <c r="HI11" s="45"/>
      <c r="HJ11" s="45"/>
      <c r="HK11" s="210" t="str">
        <f>hyperlink("http://www.welikeemshort.com/", "We Like 'em Short - Animation + Comedy Film Festival")</f>
        <v>We Like 'em Short - Animation + Comedy Film Festival</v>
      </c>
      <c r="HO11" s="43" t="s">
        <v>50</v>
      </c>
      <c r="HQ11" s="53" t="str">
        <f>hyperlink("http://nylatinofilmfestival.com", "New York Latino Film Festival")</f>
        <v>New York Latino Film Festival</v>
      </c>
      <c r="HV11" s="43" t="s">
        <v>50</v>
      </c>
      <c r="HW11" s="45"/>
      <c r="HX11" s="45"/>
      <c r="HZ11" s="76" t="str">
        <f>hyperlink("http://saluteyourshortsfest.com", "Salute Your Shorts")</f>
        <v>Salute Your Shorts</v>
      </c>
      <c r="IC11" s="43" t="s">
        <v>50</v>
      </c>
      <c r="IE11" s="45"/>
      <c r="IF11" s="63" t="str">
        <f>hyperlink("https://middfilmfest.org/", "Middlebury New Filmmakers Festival ")</f>
        <v>Middlebury New Filmmakers Festival </v>
      </c>
      <c r="IJ11" s="43" t="s">
        <v>50</v>
      </c>
      <c r="IK11" s="45"/>
      <c r="IL11" s="45"/>
      <c r="IM11" s="108" t="str">
        <f>hyperlink("http://filmfest.dragoncon.org/", "Dragon Con Independent Film Festival")</f>
        <v>Dragon Con Independent Film Festival</v>
      </c>
      <c r="IR11" s="43" t="s">
        <v>50</v>
      </c>
      <c r="IS11" s="47" t="str">
        <f>hyperlink("https://www.burbankfilmfest.org/", "Burbank International Film Festival")</f>
        <v>Burbank International Film Festival</v>
      </c>
      <c r="IX11" s="43" t="s">
        <v>50</v>
      </c>
      <c r="IY11" s="45"/>
      <c r="IZ11" s="45"/>
      <c r="JA11" s="63" t="str">
        <f>hyperlink("http://southdakotafilmfest.org/", "South Dakota Film Festival")</f>
        <v>South Dakota Film Festival</v>
      </c>
      <c r="JE11" s="43" t="s">
        <v>50</v>
      </c>
      <c r="JG11" s="45"/>
      <c r="JH11" s="47" t="str">
        <f>hyperlink("http://fantasticfest.com/", "Fantastic Fest")</f>
        <v>Fantastic Fest</v>
      </c>
      <c r="JP11" s="43" t="s">
        <v>50</v>
      </c>
      <c r="JQ11" s="239" t="str">
        <f>hyperlink("Http://www.animationnights.com", "Animation Nights New York ")</f>
        <v>Animation Nights New York </v>
      </c>
      <c r="JS11" s="43" t="s">
        <v>50</v>
      </c>
      <c r="JU11" s="45"/>
      <c r="JV11" s="230" t="str">
        <f>hyperlink("http://www.imageout.org/index.php", "ImageOut: The Rochester LGBT Film and Video Festival")</f>
        <v>ImageOut: The Rochester LGBT Film and Video Festival</v>
      </c>
      <c r="KG11" s="43" t="s">
        <v>50</v>
      </c>
      <c r="KH11" s="45"/>
      <c r="KI11" s="45"/>
      <c r="KJ11" s="47" t="str">
        <f>hyperlink("http://filmadelphia.org/", "Philadelphia Film Festival")</f>
        <v>Philadelphia Film Festival</v>
      </c>
      <c r="KU11" s="43" t="s">
        <v>50</v>
      </c>
      <c r="KY11" s="136" t="str">
        <f>hyperlink("http://www.paaff.org/", "Philadelphia Asian American Film Festival")</f>
        <v>Philadelphia Asian American Film Festival</v>
      </c>
      <c r="LJ11" s="43" t="s">
        <v>50</v>
      </c>
      <c r="LN11" s="45"/>
      <c r="LO11" s="63" t="str">
        <f>hyperlink("http://cinesol.com/film-festival/", "CineSol Film Festival")</f>
        <v>CineSol Film Festival</v>
      </c>
      <c r="LQ11" s="43" t="s">
        <v>50</v>
      </c>
      <c r="NB11" s="90"/>
    </row>
    <row r="12">
      <c r="A12" s="240" t="s">
        <v>352</v>
      </c>
      <c r="L12" s="45"/>
      <c r="M12" s="45"/>
      <c r="Q12" s="45"/>
      <c r="R12" s="47" t="str">
        <f>hyperlink("https://www.chandlerfilmfestival.com/", "Chandler International Film Festival")</f>
        <v>Chandler International Film Festival</v>
      </c>
      <c r="V12" s="43" t="s">
        <v>50</v>
      </c>
      <c r="W12" s="45"/>
      <c r="X12" s="154" t="str">
        <f>hyperlink("http://www.stuftx.org/", "South Texas Underground Film Festival")</f>
        <v>South Texas Underground Film Festival</v>
      </c>
      <c r="AB12" s="43" t="s">
        <v>50</v>
      </c>
      <c r="AC12" s="45"/>
      <c r="AD12" s="98" t="str">
        <f>hyperlink("http://www.sdbff.com/", "San Diego Black Film Festival")</f>
        <v>San Diego Black Film Festival</v>
      </c>
      <c r="AI12" s="43" t="s">
        <v>50</v>
      </c>
      <c r="AJ12" s="45"/>
      <c r="AK12" s="80" t="str">
        <f>hyperlink("https://www.jccdenver.org/arts-culture/denver-jewish-film-festival/", "Denver Jewish Film Festival")</f>
        <v>Denver Jewish Film Festival</v>
      </c>
      <c r="AX12" s="43" t="s">
        <v>50</v>
      </c>
      <c r="AZ12" s="139" t="str">
        <f>hyperlink("https://bhrff.webs.com", "Bellingham Human Rights Film Festival")</f>
        <v>Bellingham Human Rights Film Festival</v>
      </c>
      <c r="BJ12" s="43" t="s">
        <v>50</v>
      </c>
      <c r="BK12" s="45"/>
      <c r="BL12" s="45"/>
      <c r="BM12" s="45"/>
      <c r="BN12" s="49" t="str">
        <f>hyperlink("https://genders.nmsu.edu/film-festival/", "Feminist Border Arts Film Festival")</f>
        <v>Feminist Border Arts Film Festival</v>
      </c>
      <c r="BP12" s="43" t="s">
        <v>50</v>
      </c>
      <c r="BQ12" s="47" t="str">
        <f>hyperlink("http://www.idyllwildcinemafest.com/", "Idyllwild International Festival of Cinema")</f>
        <v>Idyllwild International Festival of Cinema</v>
      </c>
      <c r="BX12" s="43" t="s">
        <v>50</v>
      </c>
      <c r="BY12" s="45"/>
      <c r="BZ12" s="45"/>
      <c r="CA12" s="80" t="str">
        <f>hyperlink("https://jccmetrowest.org/programs/njjff/", "New Jersey Jewish Film Festival")</f>
        <v>New Jersey Jewish Film Festival</v>
      </c>
      <c r="CL12" s="43" t="s">
        <v>50</v>
      </c>
      <c r="CN12" s="76" t="str">
        <f>hyperlink("http://www.showmejusticefilmfestival.com/", "Show Me Justice Film Festival")</f>
        <v>Show Me Justice Film Festival</v>
      </c>
      <c r="CO12" s="43" t="s">
        <v>50</v>
      </c>
      <c r="CP12" s="243" t="str">
        <f>hyperlink("https://actfilmfest.colostate.edu", "ACT Human Rights Film Festival")</f>
        <v>ACT Human Rights Film Festival</v>
      </c>
      <c r="CY12" s="43" t="s">
        <v>50</v>
      </c>
      <c r="CZ12" s="45"/>
      <c r="DC12" s="129" t="str">
        <f>hyperlink("https://mifofilm.com/", "OUTshine LGBTQ+ Film Festival - Miami")</f>
        <v>OUTshine LGBTQ+ Film Festival - Miami</v>
      </c>
      <c r="DN12" s="43" t="s">
        <v>50</v>
      </c>
      <c r="DO12" s="45"/>
      <c r="DP12" s="45"/>
      <c r="DQ12" s="47" t="str">
        <f>hyperlink("https://indyfilmfest.org/", "Indy Film Fest")</f>
        <v>Indy Film Fest</v>
      </c>
      <c r="EB12" s="43" t="s">
        <v>50</v>
      </c>
      <c r="ED12" s="58" t="str">
        <f>hyperlink("https://www.archaeologychannel.org/events-guide/tac-international-film-festival/international-film-festival", "Archaeology Channel International Film Festival, The")</f>
        <v>Archaeology Channel International Film Festival, The</v>
      </c>
      <c r="EI12" s="43" t="s">
        <v>50</v>
      </c>
      <c r="EK12" s="47" t="str">
        <f>hyperlink("https://www.mammothlakesfilmfestival.com/", "Mammoth Lakes Film Festival")</f>
        <v>Mammoth Lakes Film Festival</v>
      </c>
      <c r="EP12" s="43" t="s">
        <v>50</v>
      </c>
      <c r="EQ12" s="45"/>
      <c r="ER12" s="45"/>
      <c r="ES12" s="63" t="str">
        <f>hyperlink("http://www.lvff.com/", "Las Vegas Film Festival")</f>
        <v>Las Vegas Film Festival</v>
      </c>
      <c r="EW12" s="43" t="s">
        <v>50</v>
      </c>
      <c r="FA12" s="47" t="str">
        <f>hyperlink("http://prescottfilmfestival.com/", "Prescott Film Festival ")</f>
        <v>Prescott Film Festival </v>
      </c>
      <c r="FJ12" s="43" t="s">
        <v>50</v>
      </c>
      <c r="FK12" s="180" t="str">
        <f>hyperlink("https://stainedglassandblo.wixsite.com/stainedglass ", "Happenstance Horror Fest")</f>
        <v>Happenstance Horror Fest</v>
      </c>
      <c r="FL12" s="43" t="s">
        <v>50</v>
      </c>
      <c r="FM12" s="102" t="str">
        <f>hyperlink("https://www.roxburyinternationalfilmfestival.com/", "Roxbury International Film Festival, The ")</f>
        <v>Roxbury International Film Festival, The </v>
      </c>
      <c r="FX12" s="43" t="s">
        <v>50</v>
      </c>
      <c r="FY12" s="45"/>
      <c r="FZ12" s="45"/>
      <c r="GA12" s="45"/>
      <c r="GM12" s="45"/>
      <c r="GN12" s="45"/>
      <c r="GO12" s="45"/>
      <c r="GP12" s="96" t="str">
        <f>hyperlink("http://asianfilmdallas.com/", "Asian Film Festival of Dallas")</f>
        <v>Asian Film Festival of Dallas</v>
      </c>
      <c r="GX12" s="43" t="s">
        <v>50</v>
      </c>
      <c r="GY12" s="45"/>
      <c r="GZ12" s="45"/>
      <c r="HA12" s="45"/>
      <c r="HB12" s="45"/>
      <c r="HC12" s="45"/>
      <c r="HD12" s="247" t="str">
        <f>hyperlink("https://glcff.com/", "Great Lakes Christrian Film Festival")</f>
        <v>Great Lakes Christrian Film Festival</v>
      </c>
      <c r="HH12" s="43" t="s">
        <v>50</v>
      </c>
      <c r="HI12" s="45"/>
      <c r="HK12" s="45"/>
      <c r="HL12" s="108" t="str">
        <f>hyperlink("http://blog.hollywoodhorrorfest.com/", "Hollywood Horrorfest")</f>
        <v>Hollywood Horrorfest</v>
      </c>
      <c r="HN12" s="43" t="s">
        <v>50</v>
      </c>
      <c r="HQ12" s="45"/>
      <c r="HR12" s="63" t="str">
        <f>hyperlink("http://www.deepintheheartff.com/", "Deep in the Heart Film Festival")</f>
        <v>Deep in the Heart Film Festival</v>
      </c>
      <c r="HV12" s="43" t="s">
        <v>50</v>
      </c>
      <c r="HW12" s="45"/>
      <c r="HX12" s="45"/>
      <c r="HZ12" s="51" t="str">
        <f>hyperlink("https://www.sdkidsfilms.org/", "San Diego International Kids Film Festival")</f>
        <v>San Diego International Kids Film Festival</v>
      </c>
      <c r="IC12" s="43" t="s">
        <v>50</v>
      </c>
      <c r="IE12" s="45"/>
      <c r="IF12" s="63" t="str">
        <f>hyperlink("http://trueindependent.org/", "Seattle True Independent Film Festival")</f>
        <v>Seattle True Independent Film Festival</v>
      </c>
      <c r="IJ12" s="43" t="s">
        <v>50</v>
      </c>
      <c r="IN12" s="63" t="str">
        <f>hyperlink("http://woodstockmuseum.com/", "Woodstock Museum Film Festival")</f>
        <v>Woodstock Museum Film Festival</v>
      </c>
      <c r="IR12" s="43" t="s">
        <v>50</v>
      </c>
      <c r="IS12" s="47" t="str">
        <f>hyperlink("https://www.austinrevolution.com/", "Austin Revolution Film Festival")</f>
        <v>Austin Revolution Film Festival</v>
      </c>
      <c r="IW12" s="43" t="s">
        <v>50</v>
      </c>
      <c r="IX12" s="45"/>
      <c r="IY12" s="45"/>
      <c r="IZ12" s="45"/>
      <c r="JB12" s="207" t="str">
        <f>hyperlink("http://loveinternationalfilmfestival.com/", "Love International Film Festival")</f>
        <v>Love International Film Festival</v>
      </c>
      <c r="JF12" s="43" t="s">
        <v>50</v>
      </c>
      <c r="JI12" s="63" t="str">
        <f>hyperlink("https://www.glendaleinternationalfilmfestival.com/", "Glendale International Film Festival")</f>
        <v>Glendale International Film Festival</v>
      </c>
      <c r="JP12" s="43" t="s">
        <v>50</v>
      </c>
      <c r="JQ12" s="58" t="str">
        <f>hyperlink("http://www.mentalhealthfilmfest.nyc", "New York City Mental Health Film Festival")</f>
        <v>New York City Mental Health Film Festival</v>
      </c>
      <c r="JR12" s="43" t="s">
        <v>50</v>
      </c>
      <c r="JV12" s="47" t="str">
        <f>hyperlink("https://www.mvff.com/", "Mill Valley Film Festival")</f>
        <v>Mill Valley Film Festival</v>
      </c>
      <c r="KG12" s="43" t="s">
        <v>50</v>
      </c>
      <c r="KH12" s="45"/>
      <c r="KI12" s="45"/>
      <c r="KJ12" s="47" t="str">
        <f>hyperlink("https://austin...festival.com/", "Austin Film Festival ")</f>
        <v>Austin Film Festival </v>
      </c>
      <c r="KR12" s="43" t="s">
        <v>50</v>
      </c>
      <c r="KY12" s="63" t="str">
        <f>hyperlink("http://www.cinemastlouis.org/", "St. Louis International Film Festival ")</f>
        <v>St. Louis International Film Festival </v>
      </c>
      <c r="LJ12" s="43" t="s">
        <v>50</v>
      </c>
      <c r="LK12" s="45"/>
      <c r="LP12" s="63" t="str">
        <f>hyperlink("http://route66filmfestival.net", "Route 66 Film Festival")</f>
        <v>Route 66 Film Festival</v>
      </c>
      <c r="LR12" s="43" t="s">
        <v>50</v>
      </c>
      <c r="NB12" s="90"/>
    </row>
    <row r="13">
      <c r="A13" s="249" t="s">
        <v>390</v>
      </c>
      <c r="Q13" s="45"/>
      <c r="R13" s="98" t="str">
        <f>hyperlink("http://www.deltasofcharlotte.org", "Legacy of Black Women Film Showcase")</f>
        <v>Legacy of Black Women Film Showcase</v>
      </c>
      <c r="U13" s="43" t="s">
        <v>50</v>
      </c>
      <c r="V13" s="45"/>
      <c r="W13" s="45"/>
      <c r="X13" s="171" t="str">
        <f>hyperlink("https://explorers.org/events/detail/6th_annual_polar_film_festival_thursday", "Explorer's Club Polar Film Festival")</f>
        <v>Explorer's Club Polar Film Festival</v>
      </c>
      <c r="AA13" s="43" t="s">
        <v>50</v>
      </c>
      <c r="AB13" s="45"/>
      <c r="AC13" s="45"/>
      <c r="AD13" s="45"/>
      <c r="AE13" s="45"/>
      <c r="AF13" s="45"/>
      <c r="AG13" s="45"/>
      <c r="AH13" s="102" t="str">
        <f>hyperlink("http://www.losangelesitalia.com/", "Los Angeles, Italia")</f>
        <v>Los Angeles, Italia</v>
      </c>
      <c r="AO13" s="43" t="s">
        <v>50</v>
      </c>
      <c r="AP13" s="45"/>
      <c r="AR13" s="63" t="str">
        <f>hyperlink("http://www.hollywoodreelindependentfilmfestival.com/", "Hollywood Reel Independent Film Festival")</f>
        <v>Hollywood Reel Independent Film Festival</v>
      </c>
      <c r="BE13" s="43" t="s">
        <v>50</v>
      </c>
      <c r="BF13" s="45"/>
      <c r="BG13" s="45"/>
      <c r="BH13" s="47" t="str">
        <f>hyperlink("https://spokanefilmfestival.org/", "Spokane International Film Festival")</f>
        <v>Spokane International Film Festival</v>
      </c>
      <c r="BP13" s="43" t="s">
        <v>50</v>
      </c>
      <c r="BS13" s="41" t="str">
        <f>hyperlink("https://www.sbjewishfilmfestival.org/", "Santa Barbara Jewish Film Festival")</f>
        <v>Santa Barbara Jewish Film Festival</v>
      </c>
      <c r="BX13" s="43" t="s">
        <v>50</v>
      </c>
      <c r="CA13" s="63" t="str">
        <f>hyperlink("https://www.queensworldfilmfestival.com/", "Queens World Film Festival")</f>
        <v>Queens World Film Festival</v>
      </c>
      <c r="CL13" s="43" t="s">
        <v>50</v>
      </c>
      <c r="CM13" s="45"/>
      <c r="CN13" s="47" t="str">
        <f>hyperlink("https://pjiff.org/", "Poppy Jasper International Film Festival")</f>
        <v>Poppy Jasper International Film Festival</v>
      </c>
      <c r="CV13" s="43" t="s">
        <v>50</v>
      </c>
      <c r="CX13" s="63" t="str">
        <f>hyperlink("https://www.nohocinefest.com/", "North Hollywood CineFest")</f>
        <v>North Hollywood CineFest</v>
      </c>
      <c r="DF13" s="43" t="s">
        <v>50</v>
      </c>
      <c r="DG13" s="45"/>
      <c r="DJ13" s="41" t="str">
        <f>hyperlink("https://filmpittsburgh.org/pages/jfilm", "JFilm Festival")</f>
        <v>JFilm Festival</v>
      </c>
      <c r="DU13" s="43" t="s">
        <v>50</v>
      </c>
      <c r="DV13" s="45"/>
      <c r="DZ13" s="129" t="str">
        <f>hyperlink("https://charlottepride.org/reelout", "Reel Out Charlotte Film Festival")</f>
        <v>Reel Out Charlotte Film Festival</v>
      </c>
      <c r="EI13" s="43" t="s">
        <v>50</v>
      </c>
      <c r="EJ13" s="45"/>
      <c r="EK13" s="45"/>
      <c r="EL13" s="129" t="str">
        <f>hyperlink("https://www.cinemasysters.com/", "Cinema Systers Film Festival")</f>
        <v>Cinema Systers Film Festival</v>
      </c>
      <c r="EP13" s="43" t="s">
        <v>50</v>
      </c>
      <c r="EQ13" s="45"/>
      <c r="ER13" s="45"/>
      <c r="ES13" s="45"/>
      <c r="ET13" s="49" t="str">
        <f>hyperlink("http://nyshortsfest.com/ny/content.asp?PageID=1", "New York Shorts International Film Festival")</f>
        <v>New York Shorts International Film Festival</v>
      </c>
      <c r="FA13" s="43" t="s">
        <v>50</v>
      </c>
      <c r="FB13" s="45"/>
      <c r="FC13" s="102" t="str">
        <f>hyperlink("http://www.caribbeanlens.com/", "CarribeanLens International Film Festival")</f>
        <v>CarribeanLens International Film Festival</v>
      </c>
      <c r="FJ13" s="43" t="s">
        <v>50</v>
      </c>
      <c r="FK13" s="45"/>
      <c r="FL13" s="45"/>
      <c r="FM13" s="45"/>
      <c r="FN13" s="230" t="str">
        <f>hyperlink("https://www.frameline.org/", "San Francisco International LGBTQ+ Film Festival")</f>
        <v>San Francisco International LGBTQ+ Film Festival</v>
      </c>
      <c r="FY13" s="43" t="s">
        <v>50</v>
      </c>
      <c r="GJ13" s="63" t="str">
        <f>hyperlink("http://longislandfilm.com/", "Long Island International Film Expo")</f>
        <v>Long Island International Film Expo</v>
      </c>
      <c r="GQ13" s="43" t="s">
        <v>50</v>
      </c>
      <c r="GR13" s="47" t="str">
        <f>hyperlink("http://www.ciff.us/", "Chautauqua International Film Festival")</f>
        <v>Chautauqua International Film Festival</v>
      </c>
      <c r="GS13" s="43" t="s">
        <v>50</v>
      </c>
      <c r="GT13" s="47" t="str">
        <f>hyperlink("https://www.sbehiff.com/", "Hamilton International Film Festival")</f>
        <v>Hamilton International Film Festival</v>
      </c>
      <c r="HA13" s="43" t="s">
        <v>50</v>
      </c>
      <c r="HC13" s="45"/>
      <c r="HE13" s="86" t="str">
        <f>hyperlink("http://maineoutdoorfilmfestival.com/", "Maine Outdoor Film Festival")</f>
        <v>Maine Outdoor Film Festival</v>
      </c>
      <c r="HH13" s="43" t="s">
        <v>50</v>
      </c>
      <c r="HI13" s="45"/>
      <c r="HQ13" s="45"/>
      <c r="HR13" s="129" t="str">
        <f>hyperlink("https://www.facebook.com/hrfilmfest", "Honolulu Rainbow Film Festival")</f>
        <v>Honolulu Rainbow Film Festival</v>
      </c>
      <c r="HV13" s="43" t="s">
        <v>50</v>
      </c>
      <c r="HW13" s="45"/>
      <c r="HY13" s="45"/>
      <c r="HZ13" s="108" t="str">
        <f>hyperlink("https://www.facebook.com/TopekaSlashandBash", "Slash &amp; Bash Horror/Sci-Fi Film Festival")</f>
        <v>Slash &amp; Bash Horror/Sci-Fi Film Festival</v>
      </c>
      <c r="IB13" s="43" t="s">
        <v>50</v>
      </c>
      <c r="IE13" s="45"/>
      <c r="IG13" s="76" t="str">
        <f>hyperlink("https://globalimpactdc.org/", "Global Impact Film Festival")</f>
        <v>Global Impact Film Festival</v>
      </c>
      <c r="IJ13" s="43" t="s">
        <v>50</v>
      </c>
      <c r="IN13" s="110" t="str">
        <f>hyperlink("http://urbanfilmfestivals.com/", "Urban Film Festival")</f>
        <v>Urban Film Festival</v>
      </c>
      <c r="IQ13" s="43" t="s">
        <v>50</v>
      </c>
      <c r="IS13" s="47" t="str">
        <f>hyperlink("https://stxiff.com/", "South Texas International Film Festival")</f>
        <v>South Texas International Film Festival</v>
      </c>
      <c r="IW13" s="43" t="s">
        <v>50</v>
      </c>
      <c r="IX13" s="45"/>
      <c r="IY13" s="45"/>
      <c r="IZ13" s="45"/>
      <c r="JA13" s="162" t="str">
        <f>hyperlink("http://atlantahorrorfilmfest.com/", "Atlanta Horror Film Fest")</f>
        <v>Atlanta Horror Film Fest</v>
      </c>
      <c r="JD13" s="43" t="s">
        <v>50</v>
      </c>
      <c r="JE13" s="63" t="str">
        <f>hyperlink("http://www.aspenfilm.org/", "Aspen Filmfest")</f>
        <v>Aspen Filmfest</v>
      </c>
      <c r="JK13" s="43" t="s">
        <v>50</v>
      </c>
      <c r="JL13" s="45"/>
      <c r="JM13" s="253" t="str">
        <f>hyperlink("https://peacefilmfest.org/", "Global Peace Film Festival")</f>
        <v>Global Peace Film Festival</v>
      </c>
      <c r="JS13" s="43" t="s">
        <v>50</v>
      </c>
      <c r="JU13" s="45"/>
      <c r="JV13" s="230" t="str">
        <f>hyperlink("https://mifofilm.com/", "OUTshine LGBTQ+ Film Festival - Fort Lauderdale")</f>
        <v>OUTshine LGBTQ+ Film Festival - Fort Lauderdale</v>
      </c>
      <c r="KG13" s="43" t="s">
        <v>50</v>
      </c>
      <c r="KH13" s="45"/>
      <c r="KI13" s="45"/>
      <c r="KJ13" s="45"/>
      <c r="KK13" s="45"/>
      <c r="KL13" s="47" t="str">
        <f>hyperlink("http://filmfest.scad.edu/", "Savannah Film Festival")</f>
        <v>Savannah Film Festival</v>
      </c>
      <c r="KT13" s="43" t="s">
        <v>50</v>
      </c>
      <c r="KV13" s="45"/>
      <c r="KW13" s="45"/>
      <c r="KX13" s="45"/>
      <c r="KY13" s="45"/>
      <c r="KZ13" s="47" t="str">
        <f>hyperlink("https://filmsociety.org/events/event.cfm?eveID=2", "Cine-World Film Festival")</f>
        <v>Cine-World Film Festival</v>
      </c>
      <c r="LJ13" s="43" t="s">
        <v>50</v>
      </c>
      <c r="NB13" s="90"/>
    </row>
    <row r="14">
      <c r="A14" s="257" t="s">
        <v>477</v>
      </c>
      <c r="Q14" s="45"/>
      <c r="R14" s="154" t="str">
        <f>hyperlink("https://puffpdx.org/", "Portland Underground Film Festival")</f>
        <v>Portland Underground Film Festival</v>
      </c>
      <c r="U14" s="43" t="s">
        <v>50</v>
      </c>
      <c r="V14" s="45"/>
      <c r="W14" s="45"/>
      <c r="X14" s="45"/>
      <c r="Y14" s="47" t="str">
        <f>hyperlink("http://www.flicpolson.com/", "Flathead Lake International Cinemafest")</f>
        <v>Flathead Lake International Cinemafest</v>
      </c>
      <c r="AB14" s="43" t="s">
        <v>50</v>
      </c>
      <c r="AC14" s="45"/>
      <c r="AD14" s="45"/>
      <c r="AE14" s="45"/>
      <c r="AF14" s="45"/>
      <c r="AG14" s="45"/>
      <c r="AH14" s="45"/>
      <c r="AI14" s="45"/>
      <c r="AJ14" s="45"/>
      <c r="AK14" s="45"/>
      <c r="AL14" s="98" t="str">
        <f>hyperlink("http://www.paff.org/", "Pan African Film &amp; Arts Festival")</f>
        <v>Pan African Film &amp; Arts Festival</v>
      </c>
      <c r="AX14" s="43" t="s">
        <v>50</v>
      </c>
      <c r="AZ14" s="63" t="str">
        <f>hyperlink("https://winterfilmawards.com/", "Winter Film Awards International Film Festival")</f>
        <v>Winter Film Awards International Film Festival</v>
      </c>
      <c r="BJ14" s="43" t="s">
        <v>50</v>
      </c>
      <c r="BK14" s="45"/>
      <c r="BL14" s="47" t="str">
        <f>hyperlink("http://www.omahafilmfestival.org/", "Omaha Film Festival")</f>
        <v>Omaha Film Festival</v>
      </c>
      <c r="BR14" s="43" t="s">
        <v>50</v>
      </c>
      <c r="BS14" s="63" t="str">
        <f>hyperlink("https://www.pasadenafilmfestival.org/", "Pasadena International Film Festival")</f>
        <v>Pasadena International Film Festival</v>
      </c>
      <c r="CB14" s="43" t="s">
        <v>50</v>
      </c>
      <c r="CC14" s="45"/>
      <c r="CD14" s="263" t="str">
        <f>hyperlink("http://nycscff.com/", "New York City Short Comedy Film Festival")</f>
        <v>New York City Short Comedy Film Festival</v>
      </c>
      <c r="CE14" s="43" t="s">
        <v>50</v>
      </c>
      <c r="CH14" s="108" t="str">
        <f>hyperlink("http://www.horrorscifi.com/", "International Horror &amp; Sci-Fi Film Festival")</f>
        <v>International Horror &amp; Sci-Fi Film Festival</v>
      </c>
      <c r="CS14" s="43" t="s">
        <v>50</v>
      </c>
      <c r="CT14" s="45"/>
      <c r="CW14" s="94" t="str">
        <f>hyperlink("https://everettfilmfestival.org", "Everett Film Festival")</f>
        <v>Everett Film Festival</v>
      </c>
      <c r="CY14" s="43" t="s">
        <v>50</v>
      </c>
      <c r="CZ14" s="243" t="str">
        <f>hyperlink("http://ivyfilmfestival.org/index.html", "Ivy Film Festival")</f>
        <v>Ivy Film Festival</v>
      </c>
      <c r="DG14" s="43" t="s">
        <v>50</v>
      </c>
      <c r="DJ14" s="63" t="str">
        <f>hyperlink("http://filmfestdc.org", "Washington, DC")</f>
        <v>Washington, DC</v>
      </c>
      <c r="DU14" s="43" t="s">
        <v>50</v>
      </c>
      <c r="EA14" s="63" t="str">
        <f>hyperlink("https://www.nycindieff.com/", "New York City Independent Film Festival")</f>
        <v>New York City Independent Film Festival</v>
      </c>
      <c r="EI14" s="43" t="s">
        <v>50</v>
      </c>
      <c r="EK14" s="45"/>
      <c r="EL14" s="45"/>
      <c r="EM14" s="108" t="str">
        <f>hyperlink("http://www.miscon.org/filmfestival/", "MisCon International Short Film Festival")</f>
        <v>MisCon International Short Film Festival</v>
      </c>
      <c r="EQ14" s="43" t="s">
        <v>50</v>
      </c>
      <c r="ER14" s="45"/>
      <c r="ES14" s="47" t="str">
        <f>hyperlink("http://www.thepeoplesfilmfestival.com/", "People's Film Festival, The")</f>
        <v>People's Film Festival, The</v>
      </c>
      <c r="EV14" s="43" t="s">
        <v>50</v>
      </c>
      <c r="EW14" s="47" t="str">
        <f>hyperlink("https://www.theartofbrooklyn.org/", "Art of Brooklyn Film Festival, The ")</f>
        <v>Art of Brooklyn Film Festival, The </v>
      </c>
      <c r="FD14" s="43" t="s">
        <v>50</v>
      </c>
      <c r="FE14" s="45"/>
      <c r="FF14" s="45"/>
      <c r="FG14" s="47" t="str">
        <f>hyperlink("http://www.sohofilmfest.com/", "SOHO International Film Festival")</f>
        <v>SOHO International Film Festival</v>
      </c>
      <c r="FO14" s="43" t="s">
        <v>50</v>
      </c>
      <c r="FP14" s="45"/>
      <c r="FQ14" s="45"/>
      <c r="FR14" s="47" t="str">
        <f>hyperlink("http://freestatefestival.org", "Free State Festival")</f>
        <v>Free State Festival</v>
      </c>
      <c r="FY14" s="43" t="s">
        <v>50</v>
      </c>
      <c r="GA14" s="45"/>
      <c r="GM14" s="45"/>
      <c r="GN14" s="45"/>
      <c r="GQ14" s="63" t="str">
        <f>hyperlink("https://www.bwiff.com/", "Blue Whiskey Independent Film Festival")</f>
        <v>Blue Whiskey Independent Film Festival</v>
      </c>
      <c r="GX14" s="43" t="s">
        <v>50</v>
      </c>
      <c r="GY14" s="45"/>
      <c r="GZ14" s="45"/>
      <c r="HA14" s="45"/>
      <c r="HC14" s="45"/>
      <c r="HE14" s="270" t="str">
        <f>hyperlink("https://info.filmfestivalcircuit.com/atlanta-comedy-film-festival", "Atlanta Comedy Film Festival")</f>
        <v>Atlanta Comedy Film Festival</v>
      </c>
      <c r="HF14" s="43" t="s">
        <v>50</v>
      </c>
      <c r="HQ14" s="45"/>
      <c r="HR14" s="63" t="str">
        <f>hyperlink("http://www.theindiegathering.com/", "Indie Gathering, The ")</f>
        <v>Indie Gathering, The </v>
      </c>
      <c r="HV14" s="43" t="s">
        <v>50</v>
      </c>
      <c r="HW14" s="45"/>
      <c r="HY14" s="45"/>
      <c r="IE14" s="45"/>
      <c r="IG14" s="108" t="str">
        <f>hyperlink("http://www.hifilmfest.com/", "Horrible Imaginings Film Festival")</f>
        <v>Horrible Imaginings Film Festival</v>
      </c>
      <c r="IJ14" s="43" t="s">
        <v>50</v>
      </c>
      <c r="IO14" s="162" t="str">
        <f>hyperlink("http://www.indiehorrorfest.com/", "Indie Horror Film Festival")</f>
        <v>Indie Horror Film Festival</v>
      </c>
      <c r="IP14" s="43" t="s">
        <v>50</v>
      </c>
      <c r="IR14" s="45"/>
      <c r="IT14" s="129" t="str">
        <f>hyperlink("http://qfilmslongbeach.com/", "Long Beach QFilm Festival")</f>
        <v>Long Beach QFilm Festival</v>
      </c>
      <c r="IX14" s="43" t="s">
        <v>50</v>
      </c>
      <c r="IZ14" s="45"/>
      <c r="JA14" s="110" t="str">
        <f>hyperlink("http://dcbff.org", "DC Black Film Festival")</f>
        <v>DC Black Film Festival</v>
      </c>
      <c r="JD14" s="43" t="s">
        <v>50</v>
      </c>
      <c r="JE14" s="45"/>
      <c r="JG14" s="125" t="str">
        <f>hyperlink("http://www.bliff.org/", "Boston Latino International Film Festival")</f>
        <v>Boston Latino International Film Festival</v>
      </c>
      <c r="JL14" s="43" t="s">
        <v>50</v>
      </c>
      <c r="JN14" s="45"/>
      <c r="JO14" s="129" t="str">
        <f>hyperlink("https://reelq.org/festival/", "Pittsburgh LGBT Film Festival")</f>
        <v>Pittsburgh LGBT Film Festival</v>
      </c>
      <c r="JY14" s="43" t="s">
        <v>50</v>
      </c>
      <c r="KC14" s="86" t="str">
        <f>hyperlink("http://www.wcff.org/", "Wildlife Conservation Film Festival")</f>
        <v>Wildlife Conservation Film Festival</v>
      </c>
      <c r="KN14" s="43" t="s">
        <v>50</v>
      </c>
      <c r="KP14" s="45"/>
      <c r="KW14" s="45"/>
      <c r="KZ14" s="63" t="str">
        <f>hyperlink("https://www.scottsdalefilmfestival.com/", "Scottsdale International Film Festival")</f>
        <v>Scottsdale International Film Festival</v>
      </c>
      <c r="LJ14" s="43" t="s">
        <v>50</v>
      </c>
      <c r="LK14" s="45"/>
      <c r="NB14" s="90"/>
    </row>
    <row r="15">
      <c r="A15" s="272" t="s">
        <v>523</v>
      </c>
      <c r="Q15" s="133" t="str">
        <f>hyperlink("http://www.macabrefairefilmfest.com/", "Macabre Faire Film Festival")</f>
        <v>Macabre Faire Film Festival</v>
      </c>
      <c r="R15" s="43" t="s">
        <v>50</v>
      </c>
      <c r="S15" s="210" t="str">
        <f>hyperlink("http://animatedarizona.wixsite.com/aaff", "Animated Arizona Film Festival")</f>
        <v>Animated Arizona Film Festival</v>
      </c>
      <c r="T15" s="43" t="s">
        <v>50</v>
      </c>
      <c r="U15" s="45"/>
      <c r="V15" s="45"/>
      <c r="W15" s="45"/>
      <c r="X15" s="45"/>
      <c r="Y15" s="47" t="str">
        <f>hyperlink("https://www.snowtownfilmfestival.com/", "Snowtown Film Festival")</f>
        <v>Snowtown Film Festival</v>
      </c>
      <c r="AA15" s="43" t="s">
        <v>50</v>
      </c>
      <c r="AB15" s="45"/>
      <c r="AC15" s="45"/>
      <c r="AD15" s="45"/>
      <c r="AE15" s="45"/>
      <c r="AF15" s="45"/>
      <c r="AG15" s="45"/>
      <c r="AH15" s="45"/>
      <c r="AI15" s="171" t="str">
        <f>hyperlink("http://helperartsfest.com/", "Butch Cassidy Film Festival")</f>
        <v>Butch Cassidy Film Festival</v>
      </c>
      <c r="AO15" s="43" t="s">
        <v>50</v>
      </c>
      <c r="AP15" s="45"/>
      <c r="AQ15" s="45"/>
      <c r="AR15" s="80" t="str">
        <f>hyperlink("https://www.sdcjc.org/sdjff/", "San Diego Jewish Film Festival")</f>
        <v>San Diego Jewish Film Festival</v>
      </c>
      <c r="BD15" s="43" t="s">
        <v>50</v>
      </c>
      <c r="BG15" s="106" t="str">
        <f>hyperlink("http://www.solasnua.org/ciff ", "Capital Irish Film Festival")</f>
        <v>Capital Irish Film Festival</v>
      </c>
      <c r="BK15" s="43" t="s">
        <v>50</v>
      </c>
      <c r="BL15" s="45"/>
      <c r="BM15" s="45"/>
      <c r="BN15" s="45"/>
      <c r="BO15" s="230" t="str">
        <f>hyperlink("https://www.outfest.org//", "Outfest Fusion LGBTQ People of Color Film Festival")</f>
        <v>Outfest Fusion LGBTQ People of Color Film Festival</v>
      </c>
      <c r="BT15" s="43" t="s">
        <v>50</v>
      </c>
      <c r="BU15" s="47" t="str">
        <f>hyperlink("https://www.sxsw.com/festivals/film/", "South by Southwest Film Festival")</f>
        <v>South by Southwest Film Festival</v>
      </c>
      <c r="CD15" s="43" t="s">
        <v>50</v>
      </c>
      <c r="CE15" s="45"/>
      <c r="CH15" s="63" t="str">
        <f>hyperlink("http://www.phoenixfilmfestival.com/", "Phoenix Film Festival")</f>
        <v>Phoenix Film Festival</v>
      </c>
      <c r="CS15" s="43" t="s">
        <v>50</v>
      </c>
      <c r="CT15" s="45"/>
      <c r="CW15" s="63" t="str">
        <f>hyperlink("http://www.willcoxfilmfest.com/SAIFF/", "Southern Arizona Independent Film Festival")</f>
        <v>Southern Arizona Independent Film Festival</v>
      </c>
      <c r="CY15" s="43" t="s">
        <v>50</v>
      </c>
      <c r="CZ15" s="86" t="str">
        <f>hyperlink("https://princetonlibrary.org/peff/", "Princeton Environmental Film Festival")</f>
        <v>Princeton Environmental Film Festival</v>
      </c>
      <c r="DG15" s="43" t="s">
        <v>50</v>
      </c>
      <c r="DK15" s="106" t="str">
        <f>hyperlink("http://www.hpff.org/", "Houston Palestine Film Festival")</f>
        <v>Houston Palestine Film Festival</v>
      </c>
      <c r="DV15" s="43" t="s">
        <v>50</v>
      </c>
      <c r="EA15" s="47" t="str">
        <f>hyperlink("https://www.nycindieff.com/", "NYC Indepdendent Film Festival")</f>
        <v>NYC Indepdendent Film Festival</v>
      </c>
      <c r="EI15" s="43" t="s">
        <v>50</v>
      </c>
      <c r="EK15" s="45"/>
      <c r="EM15" s="139" t="str">
        <f>hyperlink("https://www.mountainfilm.org/", "Mountainfilm")</f>
        <v>Mountainfilm</v>
      </c>
      <c r="EQ15" s="43" t="s">
        <v>50</v>
      </c>
      <c r="ES15" s="45"/>
      <c r="ET15" s="171" t="str">
        <f>hyperlink("http://www.thefineartsfilmfestival.com/", "Fine Arts Film Festival, The ")</f>
        <v>Fine Arts Film Festival, The </v>
      </c>
      <c r="EV15" s="43" t="s">
        <v>50</v>
      </c>
      <c r="EW15" s="98" t="str">
        <f>hyperlink("http://www.theafricanfilmfestival.org/", "African Film Festival, The")</f>
        <v>African Film Festival, The</v>
      </c>
      <c r="FC15" s="43" t="s">
        <v>50</v>
      </c>
      <c r="FD15" s="45"/>
      <c r="FE15" s="45"/>
      <c r="FF15" s="154" t="str">
        <f>hyperlink("https://cuff.org/", "Chicago Underground Film Festival")</f>
        <v>Chicago Underground Film Festival</v>
      </c>
      <c r="FK15" s="43" t="s">
        <v>50</v>
      </c>
      <c r="FL15" s="49" t="str">
        <f>hyperlink("https://www.psfilmfest.org/", "Palm Springs International ShortFest ")</f>
        <v>Palm Springs International ShortFest </v>
      </c>
      <c r="FS15" s="43" t="s">
        <v>50</v>
      </c>
      <c r="FT15" s="45"/>
      <c r="FU15" s="276" t="str">
        <f>hyperlink("https://www.americanyouthfilmfest.org/", "American Youth Film Festival")</f>
        <v>American Youth Film Festival</v>
      </c>
      <c r="FY15" s="43" t="s">
        <v>50</v>
      </c>
      <c r="FZ15" s="45"/>
      <c r="GA15" s="45"/>
      <c r="GM15" s="58" t="str">
        <f>hyperlink("https://anthemfilmfestival.com/", "Antham Libertarian Film Festival")</f>
        <v>Antham Libertarian Film Festival</v>
      </c>
      <c r="GQ15" s="43" t="s">
        <v>50</v>
      </c>
      <c r="GR15" s="76" t="str">
        <f>hyperlink("https://filmonefest.org/", "Film One Fest")</f>
        <v>Film One Fest</v>
      </c>
      <c r="GS15" s="43" t="s">
        <v>50</v>
      </c>
      <c r="GU15" s="49" t="str">
        <f>hyperlink("http://heartlandfilm.org/indyshorts ", "Indy Shorts International Film Festival")</f>
        <v>Indy Shorts International Film Festival</v>
      </c>
      <c r="HA15" s="43" t="s">
        <v>50</v>
      </c>
      <c r="HC15" s="45"/>
      <c r="HR15" s="63" t="str">
        <f>hyperlink("http://www.maconfilmfestival.com/", "Macon Film Festival")</f>
        <v>Macon Film Festival</v>
      </c>
      <c r="HV15" s="43" t="s">
        <v>50</v>
      </c>
      <c r="IE15" s="45"/>
      <c r="IR15" s="45"/>
      <c r="IT15" s="63" t="str">
        <f>hyperlink("https://www.skylineindiefilmfest.org/", "Skyline Indie Film Festival ")</f>
        <v>Skyline Indie Film Festival </v>
      </c>
      <c r="IX15" s="43" t="s">
        <v>50</v>
      </c>
      <c r="IZ15" s="45"/>
      <c r="JB15" s="63" t="str">
        <f>hyperlink("http://mosaicfilmfest.com/", "Mosaic World Film Festival")</f>
        <v>Mosaic World Film Festival</v>
      </c>
      <c r="JE15" s="43" t="s">
        <v>50</v>
      </c>
      <c r="JG15" s="63" t="str">
        <f>hyperlink("http://www.calabasasfilmfestival.com/", "Calabasas Film Festival")</f>
        <v>Calabasas Film Festival</v>
      </c>
      <c r="JL15" s="43" t="s">
        <v>50</v>
      </c>
      <c r="JN15" s="45"/>
      <c r="JO15" s="207" t="str">
        <f>hyperlink("http://www.socialjusticefilmfestival.org/", "Social Justice Film Festival")</f>
        <v>Social Justice Film Festival</v>
      </c>
      <c r="JY15" s="43" t="s">
        <v>50</v>
      </c>
      <c r="KD15" s="221" t="str">
        <f>hyperlink("http://www.bostonpalestinefilmfest.org", "Boston Palestine Film Festival")</f>
        <v>Boston Palestine Film Festival</v>
      </c>
      <c r="KN15" s="43" t="s">
        <v>50</v>
      </c>
      <c r="KO15" s="45"/>
      <c r="KP15" s="45"/>
      <c r="KW15" s="63" t="str">
        <f>hyperlink("http://goldcoastfilmfestival.org/", "Gold Coast International Film Festival")</f>
        <v>Gold Coast International Film Festival</v>
      </c>
      <c r="LF15" s="43" t="s">
        <v>50</v>
      </c>
      <c r="LG15" s="51" t="str">
        <f>hyperlink("https://festival.facets.org/", "Chicago International Children's Film Festival")</f>
        <v>Chicago International Children's Film Festival</v>
      </c>
      <c r="LQ15" s="43" t="s">
        <v>50</v>
      </c>
      <c r="NB15" s="90"/>
    </row>
    <row r="16">
      <c r="A16" s="281" t="s">
        <v>586</v>
      </c>
      <c r="Q16" s="45"/>
      <c r="R16" s="45"/>
      <c r="S16" s="49" t="str">
        <f>hyperlink("https://duluthplayhouse.org/", "Short Shorts Film Festival")</f>
        <v>Short Shorts Film Festival</v>
      </c>
      <c r="T16" s="43" t="s">
        <v>50</v>
      </c>
      <c r="U16" s="45"/>
      <c r="V16" s="45"/>
      <c r="W16" s="45"/>
      <c r="X16" s="45"/>
      <c r="Y16" s="45"/>
      <c r="Z16" s="147" t="str">
        <f>hyperlink("http://www.usafilmfestival.com/", "KidFilm Festival")</f>
        <v>KidFilm Festival</v>
      </c>
      <c r="AB16" s="43" t="s">
        <v>50</v>
      </c>
      <c r="AC16" s="45"/>
      <c r="AD16" s="45"/>
      <c r="AE16" s="45"/>
      <c r="AF16" s="45"/>
      <c r="AG16" s="45"/>
      <c r="AH16" s="45"/>
      <c r="AI16" s="45"/>
      <c r="AJ16" s="45"/>
      <c r="AK16" s="47" t="str">
        <f>hyperlink("http://www.cmiff.com/", "Central Michigan International Film Festival")</f>
        <v>Central Michigan International Film Festival</v>
      </c>
      <c r="AP16" s="43" t="s">
        <v>50</v>
      </c>
      <c r="AQ16" s="45"/>
      <c r="AT16" s="51" t="str">
        <f>hyperlink("http://providencechildrensfilmfestival.org/", "Providence Children's Film Festival")</f>
        <v>Providence Children's Film Festival</v>
      </c>
      <c r="BF16" s="43" t="s">
        <v>50</v>
      </c>
      <c r="BG16" s="102" t="str">
        <f>hyperlink("http://www.chicagoirishfilmfestival.com/", "Chicago Irish Film Festival")</f>
        <v>Chicago Irish Film Festival</v>
      </c>
      <c r="BK16" s="43" t="s">
        <v>50</v>
      </c>
      <c r="BL16" s="45"/>
      <c r="BM16" s="47" t="str">
        <f>hyperlink("https://dciff-indie.org/", "DC Independent Film Festival")</f>
        <v>DC Independent Film Festival</v>
      </c>
      <c r="BR16" s="43" t="s">
        <v>50</v>
      </c>
      <c r="BS16" s="45"/>
      <c r="BT16" s="45"/>
      <c r="BU16" s="45"/>
      <c r="BV16" s="45"/>
      <c r="BW16" s="232" t="str">
        <f>hyperlink("http://www.lightfieldfilm.org/", "Light Field")</f>
        <v>Light Field</v>
      </c>
      <c r="CC16" s="43" t="s">
        <v>50</v>
      </c>
      <c r="CD16" s="198" t="str">
        <f>hyperlink("http://nycsdff.com/", "NYC Short Documentary Film Festival")</f>
        <v>NYC Short Documentary Film Festival</v>
      </c>
      <c r="CE16" s="43" t="s">
        <v>50</v>
      </c>
      <c r="CF16" s="45"/>
      <c r="CG16" s="45"/>
      <c r="CH16" s="47" t="str">
        <f>hyperlink("https://riverrunfilm.com/", "RiverRun International Film Festival")</f>
        <v>RiverRun International Film Festival</v>
      </c>
      <c r="CS16" s="43" t="s">
        <v>50</v>
      </c>
      <c r="CW16" s="45"/>
      <c r="CX16" s="162" t="str">
        <f>hyperlink("http://www.bonehand.com/bonebatff.html", "Bonebat ""Comedy of Horrors"" Film Festival")</f>
        <v>Bonebat "Comedy of Horrors" Film Festival</v>
      </c>
      <c r="CY16" s="43" t="s">
        <v>50</v>
      </c>
      <c r="DB16" s="45"/>
      <c r="DD16" s="63" t="str">
        <f>hyperlink("www.floridafilmfestival.com", "Florida Film Festival ")</f>
        <v>Florida Film Festival </v>
      </c>
      <c r="DN16" s="43" t="s">
        <v>50</v>
      </c>
      <c r="DO16" s="45"/>
      <c r="DP16" s="45"/>
      <c r="DQ16" s="45"/>
      <c r="DR16" s="47" t="str">
        <f>hyperlink("https://montclairfilm.org/", "Montclair Film Festival")</f>
        <v>Montclair Film Festival</v>
      </c>
      <c r="EB16" s="43" t="s">
        <v>50</v>
      </c>
      <c r="EC16" s="45"/>
      <c r="ED16" s="45"/>
      <c r="EE16" s="45"/>
      <c r="EF16" s="47" t="str">
        <f>hyperlink("http://iffny.com/", "International Filmmaker Festival of New York")</f>
        <v>International Filmmaker Festival of New York</v>
      </c>
      <c r="EK16" s="43" t="s">
        <v>50</v>
      </c>
      <c r="EN16" s="63" t="str">
        <f>hyperlink("https://orlandointernationalfilmfestival.org", "Orlando International Film Festival")</f>
        <v>Orlando International Film Festival</v>
      </c>
      <c r="ER16" s="43" t="s">
        <v>50</v>
      </c>
      <c r="ES16" s="63" t="str">
        <f>hyperlink("http://www.mendocinofilmfestival.org", "Mendocino Film Festival")</f>
        <v>Mendocino Film Festival</v>
      </c>
      <c r="EW16" s="43" t="s">
        <v>50</v>
      </c>
      <c r="EX16" s="139" t="str">
        <f>hyperlink("http://www.nhdocs.com/", "NHdocs: The New Haven Documentary Film Festival")</f>
        <v>NHdocs: The New Haven Documentary Film Festival</v>
      </c>
      <c r="FD16" s="43" t="s">
        <v>50</v>
      </c>
      <c r="FE16" s="45"/>
      <c r="FF16" s="45"/>
      <c r="FG16" s="47" t="str">
        <f>hyperlink("http://www.lesfilmfestival.com/", "Lower East Side Film Festival, The")</f>
        <v>Lower East Side Film Festival, The</v>
      </c>
      <c r="FL16" s="43" t="s">
        <v>50</v>
      </c>
      <c r="FM16" s="45"/>
      <c r="FN16" s="47" t="str">
        <f>hyperlink("http://www.cfifn.org/", "Cape Fear Independent Film Festival")</f>
        <v>Cape Fear Independent Film Festival</v>
      </c>
      <c r="FQ16" s="43" t="s">
        <v>50</v>
      </c>
      <c r="FR16" s="47" t="str">
        <f>hyperlink("freestatefestival.org", "Free State Film Festival")</f>
        <v>Free State Film Festival</v>
      </c>
      <c r="FY16" s="43" t="s">
        <v>50</v>
      </c>
      <c r="FZ16" s="45"/>
      <c r="GA16" s="45"/>
      <c r="GQ16" s="63" t="str">
        <f>hyperlink("https://www.frozenfilmfestival.com/", "San Francisco Frozen Film Festival")</f>
        <v>San Francisco Frozen Film Festival</v>
      </c>
      <c r="GV16" s="43" t="s">
        <v>50</v>
      </c>
      <c r="GW16" s="63" t="str">
        <f>hyperlink("https://www.ciffnv.org/", "Cordillera International Film Festival")</f>
        <v>Cordillera International Film Festival</v>
      </c>
      <c r="HA16" s="43" t="s">
        <v>50</v>
      </c>
      <c r="HC16" s="45"/>
      <c r="HR16" s="129" t="str">
        <f>hyperlink("http://www.carolinatheatre.org/films/festivals/ncglff", "North Carolina Gay &amp; Lesbian Film Festival")</f>
        <v>North Carolina Gay &amp; Lesbian Film Festival</v>
      </c>
      <c r="HV16" s="43" t="s">
        <v>50</v>
      </c>
      <c r="HW16" s="45"/>
      <c r="IE16" s="45"/>
      <c r="IQ16" s="45"/>
      <c r="IR16" s="45"/>
      <c r="IT16" s="63" t="str">
        <f>hyperlink("http://www.massiff.org/", "Massachusettes Independent Film Festival, The ")</f>
        <v>Massachusettes Independent Film Festival, The </v>
      </c>
      <c r="IW16" s="43" t="s">
        <v>50</v>
      </c>
      <c r="IX16" s="45"/>
      <c r="IZ16" s="45"/>
      <c r="JB16" s="139" t="str">
        <f>hyperlink("https://www.nbptdocufest.org", "Newburyport Documentary Film Festival")</f>
        <v>Newburyport Documentary Film Festival</v>
      </c>
      <c r="JE16" s="43" t="s">
        <v>50</v>
      </c>
      <c r="JG16" s="63" t="str">
        <f>hyperlink("https://catalinafilm.org/", "Catalina Film Festival")</f>
        <v>Catalina Film Festival</v>
      </c>
      <c r="JL16" s="43" t="s">
        <v>50</v>
      </c>
      <c r="JM16" s="98" t="str">
        <f>hyperlink("https://www.ibffevents.com/", "International Black Film Festival (Nashville)")</f>
        <v>International Black Film Festival (Nashville)</v>
      </c>
      <c r="JS16" s="43" t="s">
        <v>50</v>
      </c>
      <c r="JT16" s="162" t="str">
        <f>hyperlink("https://screamfestla.com/", "Screamfest Horror Film Festival")</f>
        <v>Screamfest Horror Film Festival</v>
      </c>
      <c r="KD16" s="43" t="s">
        <v>50</v>
      </c>
      <c r="KE16" s="102" t="str">
        <f>hyperlink("http://grfilm.com/", "San Francisco Greek Film Festival")</f>
        <v>San Francisco Greek Film Festival</v>
      </c>
      <c r="KM16" s="43" t="s">
        <v>50</v>
      </c>
      <c r="KN16" s="171" t="str">
        <f>hyperlink("http://www.sfnewfilm.org/", "San Francisco International New Concept Film Festival")</f>
        <v>San Francisco International New Concept Film Festival</v>
      </c>
      <c r="KU16" s="43" t="s">
        <v>50</v>
      </c>
      <c r="KV16" s="139" t="str">
        <f>hyperlink("https://docutah.com/", "DOCUTAH International Documentary Film Festival")</f>
        <v>DOCUTAH International Documentary Film Festival</v>
      </c>
      <c r="LB16" s="43" t="s">
        <v>50</v>
      </c>
      <c r="LC16" s="45"/>
      <c r="LE16" s="139" t="str">
        <f>hyperlink("http://www.docnyc.net/", "Doc NYC")</f>
        <v>Doc NYC</v>
      </c>
      <c r="LN16" s="43" t="s">
        <v>50</v>
      </c>
      <c r="NB16" s="90"/>
    </row>
    <row r="17">
      <c r="A17" s="291" t="s">
        <v>64</v>
      </c>
      <c r="S17" s="76" t="str">
        <f>hyperlink("https://wimberleylibrary.org/", "Wimberley Film Festival")</f>
        <v>Wimberley Film Festival</v>
      </c>
      <c r="T17" s="43" t="s">
        <v>50</v>
      </c>
      <c r="U17" s="45"/>
      <c r="AB17" s="45"/>
      <c r="AM17" s="108" t="str">
        <f>hyperlink("http://www.bos...onsci-fi.com/", "Boston Sci-Fi Film Festival")</f>
        <v>Boston Sci-Fi Film Festival</v>
      </c>
      <c r="AX17" s="43" t="s">
        <v>50</v>
      </c>
      <c r="AY17" s="45"/>
      <c r="AZ17" s="45"/>
      <c r="BA17" s="47" t="str">
        <f>hyperlink("https://beloitfilmfest.org/", "Beloit International Film Festival")</f>
        <v>Beloit International Film Festival</v>
      </c>
      <c r="BK17" s="43" t="s">
        <v>50</v>
      </c>
      <c r="BL17" s="45"/>
      <c r="BM17" s="47" t="str">
        <f>hyperlink("http://www.durangofilmfestival.com/", "Durango Independent Film Festival")</f>
        <v>Durango Independent Film Festival</v>
      </c>
      <c r="BR17" s="43" t="s">
        <v>50</v>
      </c>
      <c r="BS17" s="45"/>
      <c r="BT17" s="136" t="str">
        <f>hyperlink("http://disorientfilm.org/", "DisOrient Asian American Film Festival of Oregon")</f>
        <v>DisOrient Asian American Film Festival of Oregon</v>
      </c>
      <c r="BX17" s="43" t="s">
        <v>50</v>
      </c>
      <c r="BY17" s="45"/>
      <c r="BZ17" s="45"/>
      <c r="CA17" s="45"/>
      <c r="CB17" s="198" t="str">
        <f>hyperlink("https://salemfilmfest.com/2019/", "Salem Film Fest")</f>
        <v>Salem Film Fest</v>
      </c>
      <c r="CL17" s="43" t="s">
        <v>50</v>
      </c>
      <c r="CM17" s="45"/>
      <c r="CN17" s="45"/>
      <c r="CO17" s="47" t="str">
        <f>hyperlink("http://www.wifilmfest.org/", "Wisconsin Film Festival")</f>
        <v>Wisconsin Film Festival</v>
      </c>
      <c r="CW17" s="43" t="s">
        <v>50</v>
      </c>
      <c r="CX17" s="47" t="str">
        <f>hyperlink("https://www.riversidefilmfestival.org/", "Riverside International Film Festival")</f>
        <v>Riverside International Film Festival</v>
      </c>
      <c r="CY17" s="43" t="s">
        <v>50</v>
      </c>
      <c r="CZ17" s="45"/>
      <c r="DD17" s="63" t="str">
        <f>hyperlink("https://worldfest.org/", "Worldfest-Houston International Film &amp; Video Festival")</f>
        <v>Worldfest-Houston International Film &amp; Video Festival</v>
      </c>
      <c r="DN17" s="43" t="s">
        <v>50</v>
      </c>
      <c r="DO17" s="45"/>
      <c r="DP17" s="45"/>
      <c r="DQ17" s="96" t="str">
        <f>hyperlink("http://festival.vconline.org/2018/", "Los Angeles Asian Pacific Film Festival")</f>
        <v>Los Angeles Asian Pacific Film Festival</v>
      </c>
      <c r="DZ17" s="43" t="s">
        <v>50</v>
      </c>
      <c r="EA17" s="45"/>
      <c r="EB17" s="45"/>
      <c r="EC17" s="45"/>
      <c r="ED17" s="294" t="str">
        <f>hyperlink("http://www.internationalcff.org/", "International Christian Film Festival")</f>
        <v>International Christian Film Festival</v>
      </c>
      <c r="EH17" s="43" t="s">
        <v>50</v>
      </c>
      <c r="EI17" s="45"/>
      <c r="EJ17" s="45"/>
      <c r="EK17" s="45"/>
      <c r="EM17" s="76" t="str">
        <f>hyperlink("https://www.comicpalooza.com/", "Comicpalooza")</f>
        <v>Comicpalooza</v>
      </c>
      <c r="EP17" s="43" t="s">
        <v>50</v>
      </c>
      <c r="EQ17" s="45"/>
      <c r="ER17" s="45"/>
      <c r="ET17" s="108" t="str">
        <f>hyperlink("http://www.concarolinas.org/events/concarolinas-short-film-festival/", "ConCarolinas Short Film Festival")</f>
        <v>ConCarolinas Short Film Festival</v>
      </c>
      <c r="EW17" s="43" t="s">
        <v>50</v>
      </c>
      <c r="EY17" s="49" t="str">
        <f>hyperlink("https://www.literallyshort.com/", "Literally Short Film Festival")</f>
        <v>Literally Short Film Festival</v>
      </c>
      <c r="FD17" s="43" t="s">
        <v>50</v>
      </c>
      <c r="FE17" s="171" t="str">
        <f>hyperlink("http://www.kickingandscreening.com/", "Kicking + Screaming Soccer Film Festival")</f>
        <v>Kicking + Screaming Soccer Film Festival</v>
      </c>
      <c r="FI17" s="43" t="s">
        <v>50</v>
      </c>
      <c r="FL17" s="58" t="str">
        <f>hyperlink("http://www.bicyclefilmfestival.com", "Bicycle Film Festival")</f>
        <v>Bicycle Film Festival</v>
      </c>
      <c r="FR17" s="43" t="s">
        <v>50</v>
      </c>
      <c r="FS17" s="47" t="str">
        <f>hyperlink("http://nantucketfilmfestival.org/", "Nantucket Film Festival")</f>
        <v>Nantucket Film Festival</v>
      </c>
      <c r="FZ17" s="43" t="s">
        <v>50</v>
      </c>
      <c r="GA17" s="45"/>
      <c r="GQ17" s="60" t="str">
        <f>hyperlink("https://www.dancefilms.org", "Dance on Camera")</f>
        <v>Dance on Camera</v>
      </c>
      <c r="GU17" s="43" t="s">
        <v>50</v>
      </c>
      <c r="GV17" s="63" t="str">
        <f>hyperlink("https://www.indiestreetfilmfestival.org/", "Indie Street Film Festival")</f>
        <v>Indie Street Film Festival</v>
      </c>
      <c r="HA17" s="43" t="s">
        <v>50</v>
      </c>
      <c r="HB17" s="45"/>
      <c r="HC17" s="45"/>
      <c r="HR17" s="63" t="str">
        <f>hyperlink("http://www.riversedgefilmfestival.com", "River's Edge International Film Festival ")</f>
        <v>River's Edge International Film Festival </v>
      </c>
      <c r="HV17" s="43" t="s">
        <v>50</v>
      </c>
      <c r="IE17" s="45"/>
      <c r="IU17" s="63" t="str">
        <f>hyperlink("http://www.coneyislandfilmfestival.com/", "Coney Island Film Festival")</f>
        <v>Coney Island Film Festival</v>
      </c>
      <c r="IX17" s="43" t="s">
        <v>50</v>
      </c>
      <c r="IY17" s="45"/>
      <c r="IZ17" s="45"/>
      <c r="JB17" s="76" t="str">
        <f>hyperlink("https://www.prindiefest.com", "Princeton Independent Film Festival")</f>
        <v>Princeton Independent Film Festival</v>
      </c>
      <c r="JE17" s="43" t="s">
        <v>50</v>
      </c>
      <c r="JG17" s="63" t="str">
        <f>hyperlink("http://www.charlottefilmfestival.org/", "Charlotte Film Festival")</f>
        <v>Charlotte Film Festival</v>
      </c>
      <c r="JL17" s="43" t="s">
        <v>50</v>
      </c>
      <c r="JM17" s="45"/>
      <c r="JN17" s="45"/>
      <c r="JO17" s="63" t="str">
        <f>hyperlink("https://nashvillefilmfestival.org/", "Nashville Film Festival")</f>
        <v>Nashville Film Festival</v>
      </c>
      <c r="JV17" s="43" t="s">
        <v>50</v>
      </c>
      <c r="JW17" s="129" t="str">
        <f>hyperlink("https://www.wayoutwestfilmfest.com/", "Way OUT West Film Fest")</f>
        <v>Way OUT West Film Fest</v>
      </c>
      <c r="KG17" s="43" t="s">
        <v>50</v>
      </c>
      <c r="KI17" s="129" t="str">
        <f>hyperlink("https://newfest.org/", "NewFest: New York's LGBTQ Film Festival")</f>
        <v>NewFest: New York's LGBTQ Film Festival</v>
      </c>
      <c r="KP17" s="43" t="s">
        <v>50</v>
      </c>
      <c r="KV17" s="45"/>
      <c r="KW17" s="45"/>
      <c r="KX17" s="108" t="str">
        <f>hyperlink("http://www.zedfest.org/", "ZedFest Film Festival")</f>
        <v>ZedFest Film Festival</v>
      </c>
      <c r="LF17" s="43" t="s">
        <v>50</v>
      </c>
      <c r="LG17" s="76" t="str">
        <f>hyperlink("http://www.projectchicago.com/", "Chicago International REEL Shorts Film Festival")</f>
        <v>Chicago International REEL Shorts Film Festival</v>
      </c>
      <c r="LI17" s="43" t="s">
        <v>50</v>
      </c>
      <c r="LJ17" s="45"/>
      <c r="NB17" s="90"/>
    </row>
    <row r="18">
      <c r="A18" s="304" t="s">
        <v>65</v>
      </c>
      <c r="T18" s="45"/>
      <c r="U18" s="45"/>
      <c r="AB18" s="45"/>
      <c r="AK18" s="139" t="str">
        <f>hyperlink("https://www.frff.org/", "Frozen River Film Festival")</f>
        <v>Frozen River Film Festival</v>
      </c>
      <c r="AP18" s="43" t="s">
        <v>50</v>
      </c>
      <c r="AQ18" s="45"/>
      <c r="AR18" s="45"/>
      <c r="AS18" s="47" t="str">
        <f>hyperlink("https://laindiefilmfest.com/", "LA Indie Film Festival")</f>
        <v>LA Indie Film Festival</v>
      </c>
      <c r="BC18" s="43" t="s">
        <v>50</v>
      </c>
      <c r="BD18" s="47" t="str">
        <f>hyperlink("http://bigmuddyfilm.com/", "Big Muddy Film Festival")</f>
        <v>Big Muddy Film Festival</v>
      </c>
      <c r="BK18" s="43" t="s">
        <v>50</v>
      </c>
      <c r="BL18" s="45"/>
      <c r="BM18" s="47" t="str">
        <f>hyperlink("http://lascrucesfilmfest.com/", "Las Cruces International Film Festival")</f>
        <v>Las Cruces International Film Festival</v>
      </c>
      <c r="BR18" s="43" t="s">
        <v>50</v>
      </c>
      <c r="BS18" s="45"/>
      <c r="BT18" s="86" t="str">
        <f>hyperlink("http://www.earthdayfilmfest.org/", "Earth Day Film Festival, The ")</f>
        <v>Earth Day Film Festival, The </v>
      </c>
      <c r="BX18" s="43" t="s">
        <v>50</v>
      </c>
      <c r="BY18" s="45"/>
      <c r="CB18" s="205" t="str">
        <f>hyperlink("http://womensfilmfestival.org", "Women's Film Festival")</f>
        <v>Women's Film Festival</v>
      </c>
      <c r="CL18" s="43" t="s">
        <v>50</v>
      </c>
      <c r="CO18" s="76" t="str">
        <f>hyperlink("http://www.mediafilmfestival.org/", "Media Film Festival")</f>
        <v>Media Film Festival</v>
      </c>
      <c r="CR18" s="43" t="s">
        <v>50</v>
      </c>
      <c r="CS18" s="63" t="str">
        <f>hyperlink("http://athensfilmfest.org/", "Athens International Film + Video Festival ")</f>
        <v>Athens International Film + Video Festival </v>
      </c>
      <c r="CZ18" s="43" t="s">
        <v>50</v>
      </c>
      <c r="DC18" s="63" t="str">
        <f>hyperlink("http://www.bifilmfestival.com/", "Boston International Film Festival")</f>
        <v>Boston International Film Festival</v>
      </c>
      <c r="DI18" s="43" t="s">
        <v>50</v>
      </c>
      <c r="DK18" s="58" t="str">
        <f>hyperlink("http://reelwork.org", "Reel Work labor Film Festival")</f>
        <v>Reel Work labor Film Festival</v>
      </c>
      <c r="DU18" s="43" t="s">
        <v>50</v>
      </c>
      <c r="DW18" s="63" t="str">
        <f>hyperlink("http://www.fortmyersfilmfestival.com/", "Fort Myers Film Festival")</f>
        <v>Fort Myers Film Festival</v>
      </c>
      <c r="EB18" s="43" t="s">
        <v>50</v>
      </c>
      <c r="EC18" s="45"/>
      <c r="ED18" s="45"/>
      <c r="EE18" s="63" t="str">
        <f>hyperlink("http://harlemfilmfestival.org/", "Harlem International Film Festival")</f>
        <v>Harlem International Film Festival</v>
      </c>
      <c r="EI18" s="43" t="s">
        <v>50</v>
      </c>
      <c r="EJ18" s="45"/>
      <c r="EK18" s="45"/>
      <c r="EM18" s="162" t="str">
        <f>hyperlink("http://www.crimsonscreenfilmfest.org/", "Crimson Screen Horror Film Fest")</f>
        <v>Crimson Screen Horror Film Fest</v>
      </c>
      <c r="EP18" s="43" t="s">
        <v>50</v>
      </c>
      <c r="ER18" s="45"/>
      <c r="ET18" s="63" t="str">
        <f>hyperlink("https://lakearrowheadfilmfest.com", "Lake Arrowhead Film Festival")</f>
        <v>Lake Arrowhead Film Festival</v>
      </c>
      <c r="EW18" s="43" t="s">
        <v>50</v>
      </c>
      <c r="EY18" s="125" t="str">
        <f>hyperlink("https://latinofilm.org", "Los Angeles Latino International Film Festival")</f>
        <v>Los Angeles Latino International Film Festival</v>
      </c>
      <c r="FD18" s="43" t="s">
        <v>50</v>
      </c>
      <c r="FE18" s="45"/>
      <c r="FF18" s="63" t="str">
        <f>hyperlink("https://filmfreeway.com/malibu", "Malibu International Film Festival")</f>
        <v>Malibu International Film Festival</v>
      </c>
      <c r="FH18" s="43" t="s">
        <v>50</v>
      </c>
      <c r="FI18" s="76" t="str">
        <f>hyperlink("http://www.bostonshortfilmfestival.com/", "Boston Short Film Festival")</f>
        <v>Boston Short Film Festival</v>
      </c>
      <c r="FN18" s="43" t="s">
        <v>50</v>
      </c>
      <c r="FO18" s="45"/>
      <c r="FP18" s="154" t="str">
        <f>hyperlink("http://www.laufilmfest.com/LAIUFF_HOME.html", "Los Angeles International Underground Film Festival")</f>
        <v>Los Angeles International Underground Film Festival</v>
      </c>
      <c r="FR18" s="43" t="s">
        <v>50</v>
      </c>
      <c r="FS18" s="45"/>
      <c r="FT18" s="45"/>
      <c r="FU18" s="49" t="str">
        <f>hyperlink("https://uaf.org/", "Fear No Film")</f>
        <v>Fear No Film</v>
      </c>
      <c r="FY18" s="43" t="s">
        <v>50</v>
      </c>
      <c r="FZ18" s="45"/>
      <c r="GP18" s="76" t="str">
        <f>hyperlink("http://www.atlantashortsfest.com/", "Atlanta Shortsfest")</f>
        <v>Atlanta Shortsfest</v>
      </c>
      <c r="GS18" s="43" t="s">
        <v>50</v>
      </c>
      <c r="GU18" s="45"/>
      <c r="GV18" s="63" t="str">
        <f>hyperlink("http://www.ccartscouncil.org/realtoreel/", "Real to Reel International Film Festival")</f>
        <v>Real to Reel International Film Festival</v>
      </c>
      <c r="GZ18" s="43" t="s">
        <v>50</v>
      </c>
      <c r="HC18" s="45"/>
      <c r="HR18" s="63" t="str">
        <f>hyperlink("http://www.riversedgefilmfestival.com/", "River’s Edge International Film Festival")</f>
        <v>River’s Edge International Film Festival</v>
      </c>
      <c r="HV18" s="43" t="s">
        <v>50</v>
      </c>
      <c r="ID18" s="45"/>
      <c r="IE18" s="45"/>
      <c r="IU18" s="63" t="str">
        <f>hyperlink("http://www.nefilmfestival.com/", "Northeast Film Festival")</f>
        <v>Northeast Film Festival</v>
      </c>
      <c r="IX18" s="43" t="s">
        <v>50</v>
      </c>
      <c r="JC18" s="106" t="str">
        <f>hyperlink("http://iranianfilmfestival.org/", "Iranian Film Festival - San Francisco")</f>
        <v>Iranian Film Festival - San Francisco</v>
      </c>
      <c r="JE18" s="43" t="s">
        <v>50</v>
      </c>
      <c r="JG18" s="47" t="str">
        <f>hyperlink("http://www.footcandlefilmfestival.com/", "Footcandle Film Festival")</f>
        <v>Footcandle Film Festival</v>
      </c>
      <c r="JL18" s="43" t="s">
        <v>50</v>
      </c>
      <c r="JN18" s="47" t="str">
        <f>hyperlink("http://woodstockfilmfestival.org/", "Woodstock Film Festival")</f>
        <v>Woodstock Film Festival</v>
      </c>
      <c r="JS18" s="43" t="s">
        <v>50</v>
      </c>
      <c r="JW18" s="139" t="str">
        <f>hyperlink("https://www.hsdfi.org/", "Hot Springs Documentary Film Festival")</f>
        <v>Hot Springs Documentary Film Festival</v>
      </c>
      <c r="KF18" s="43" t="s">
        <v>50</v>
      </c>
      <c r="KG18" s="243" t="str">
        <f>hyperlink("http://www.afterhoursfilmsociety.com/", "Anim8 Student Film Festival")</f>
        <v>Anim8 Student Film Festival</v>
      </c>
      <c r="KH18" s="43" t="s">
        <v>50</v>
      </c>
      <c r="KI18" s="63" t="str">
        <f>hyperlink("http://indiememphis.com/", "Indie Memphis Film Festival")</f>
        <v>Indie Memphis Film Festival</v>
      </c>
      <c r="KO18" s="43" t="s">
        <v>50</v>
      </c>
      <c r="KP18" s="45"/>
      <c r="KW18" s="45"/>
      <c r="KZ18" s="63" t="str">
        <f>hyperlink("https://www.yofifest.com/", "YoFiFest, The Yonkers Film Festival")</f>
        <v>YoFiFest, The Yonkers Film Festival</v>
      </c>
      <c r="LH18" s="43" t="s">
        <v>50</v>
      </c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L19" s="58" t="str">
        <f>hyperlink("http://www.cambriafilmfestival.com", "Cambria Film Festival")</f>
        <v>Cambria Film Festival</v>
      </c>
      <c r="AP19" s="43" t="s">
        <v>50</v>
      </c>
      <c r="AQ19" s="45"/>
      <c r="AT19" s="139" t="str">
        <f>hyperlink("http://www.big...filmfest.org/", "Big Sky Documentary Film Festival")</f>
        <v>Big Sky Documentary Film Festival</v>
      </c>
      <c r="BD19" s="43" t="s">
        <v>50</v>
      </c>
      <c r="BE19" s="45"/>
      <c r="BF19" s="45"/>
      <c r="BG19" s="47" t="str">
        <f>hyperlink("laketravisfilmfestival.com ", "Lake Travis Film Festival")</f>
        <v>Lake Travis Film Festival</v>
      </c>
      <c r="BK19" s="43" t="s">
        <v>50</v>
      </c>
      <c r="BL19" s="45"/>
      <c r="BN19" s="63" t="str">
        <f>hyperlink("http://www.biff1.com/", "Boulder International Film Festival")</f>
        <v>Boulder International Film Festival</v>
      </c>
      <c r="BR19" s="43" t="s">
        <v>50</v>
      </c>
      <c r="BS19" s="45"/>
      <c r="BT19" s="83" t="str">
        <f>hyperlink("http://intloceanfilmfest.org/", "International Oceean Film Festival")</f>
        <v>International Oceean Film Festival</v>
      </c>
      <c r="BX19" s="43" t="s">
        <v>50</v>
      </c>
      <c r="BY19" s="45"/>
      <c r="BZ19" s="45"/>
      <c r="CA19" s="45"/>
      <c r="CB19" s="94" t="str">
        <f>hyperlink("https://thewomensfilmfestival.org/", "Women's Film Festival, The ")</f>
        <v>Women's Film Festival, The </v>
      </c>
      <c r="CL19" s="43" t="s">
        <v>50</v>
      </c>
      <c r="CM19" s="49" t="str">
        <f>hyperlink("http://www.aspenfilm.org/", "Aspen Shortsfest")</f>
        <v>Aspen Shortsfest</v>
      </c>
      <c r="CS19" s="43" t="s">
        <v>50</v>
      </c>
      <c r="CT19" s="45"/>
      <c r="CU19" s="45"/>
      <c r="CV19" s="45"/>
      <c r="CW19" s="45"/>
      <c r="CX19" s="45"/>
      <c r="CY19" s="45"/>
      <c r="CZ19" s="45"/>
      <c r="DD19" s="63" t="str">
        <f>hyperlink("http://olympia...ilm-festival/", "Olympia Film Festival")</f>
        <v>Olympia Film Festival</v>
      </c>
      <c r="DM19" s="43" t="s">
        <v>50</v>
      </c>
      <c r="DP19" s="106" t="str">
        <f>hyperlink("http://seefilmla.org/", "South East European Film Festival Los Angeles")</f>
        <v>South East European Film Festival Los Angeles</v>
      </c>
      <c r="DX19" s="43" t="s">
        <v>50</v>
      </c>
      <c r="DY19" s="276" t="str">
        <f>hyperlink("https://www.chicagofilmfestival.com/cineyouth/", "CineYouth Film Festival")</f>
        <v>CineYouth Film Festival</v>
      </c>
      <c r="EB19" s="43" t="s">
        <v>50</v>
      </c>
      <c r="EC19" s="45"/>
      <c r="ED19" s="45"/>
      <c r="EE19" s="110" t="str">
        <f>hyperlink("http://blackartsalliance.org/", "North Carolina Black Film Festival")</f>
        <v>North Carolina Black Film Festival</v>
      </c>
      <c r="EI19" s="43" t="s">
        <v>50</v>
      </c>
      <c r="EJ19" s="45"/>
      <c r="EK19" s="45"/>
      <c r="EM19" s="188" t="str">
        <f>hyperlink("http://www.moviate.org/", "Movieate Underground Film Festival")</f>
        <v>Movieate Underground Film Festival</v>
      </c>
      <c r="EP19" s="43" t="s">
        <v>50</v>
      </c>
      <c r="EU19" s="51" t="str">
        <f>hyperlink("http://www.kidsfilmfest.org/", "KidsFilmFest")</f>
        <v>KidsFilmFest</v>
      </c>
      <c r="EV19" s="43" t="s">
        <v>50</v>
      </c>
      <c r="EX19" s="45"/>
      <c r="EY19" s="45"/>
      <c r="EZ19" s="47" t="str">
        <f>hyperlink("http://filminvasionla.com/", "Film Invasion L.A.")</f>
        <v>Film Invasion L.A.</v>
      </c>
      <c r="FD19" s="43" t="s">
        <v>50</v>
      </c>
      <c r="FE19" s="45"/>
      <c r="FF19" s="49" t="str">
        <f>hyperlink("http://duotheater.org/film.php", "NYC Downtown Short Film Festival")</f>
        <v>NYC Downtown Short Film Festival</v>
      </c>
      <c r="FJ19" s="43" t="s">
        <v>50</v>
      </c>
      <c r="FK19" s="45"/>
      <c r="FL19" s="47" t="str">
        <f>hyperlink("http://southsidefilmfestival.com/", "South Side Film Festival Bethelham, PA")</f>
        <v>South Side Film Festival Bethelham, PA</v>
      </c>
      <c r="FQ19" s="43" t="s">
        <v>50</v>
      </c>
      <c r="FR19" s="45"/>
      <c r="FS19" s="45"/>
      <c r="FT19" s="45"/>
      <c r="FU19" s="58" t="str">
        <f>hyperlink("https://www.romcomfest.com", "RomCom Fest")</f>
        <v>RomCom Fest</v>
      </c>
      <c r="FY19" s="43" t="s">
        <v>50</v>
      </c>
      <c r="GB19" s="45"/>
      <c r="GR19" s="108" t="str">
        <f>hyperlink("https://www.sachorrorfilmfest.com/", "Love Horror Short Film Festival")</f>
        <v>Love Horror Short Film Festival</v>
      </c>
      <c r="GS19" s="43" t="s">
        <v>50</v>
      </c>
      <c r="GX19" s="58" t="str">
        <f>hyperlink("http://www.ljfff.com/", "La Jolla International Fashion Film Festival")</f>
        <v>La Jolla International Fashion Film Festival</v>
      </c>
      <c r="GZ19" s="43" t="s">
        <v>50</v>
      </c>
      <c r="HC19" s="45"/>
      <c r="HR19" s="125" t="str">
        <f>hyperlink("http://www.unitedlatinofilm.com/", "United Latino International Film Festival")</f>
        <v>United Latino International Film Festival</v>
      </c>
      <c r="HV19" s="43" t="s">
        <v>50</v>
      </c>
      <c r="IE19" s="45"/>
      <c r="IU19" s="76" t="str">
        <f>hyperlink("http://www.milwaukeeindependentfilmsociety.org/", "Milwaukee Short Film Festival")</f>
        <v>Milwaukee Short Film Festival</v>
      </c>
      <c r="IW19" s="43" t="s">
        <v>50</v>
      </c>
      <c r="JC19" s="162" t="str">
        <f>hyperlink("https://www.sachorrorfilmfest.com/", "Sacramento Horror Film Festival")</f>
        <v>Sacramento Horror Film Festival</v>
      </c>
      <c r="JD19" s="43" t="s">
        <v>50</v>
      </c>
      <c r="JF19" s="45"/>
      <c r="JG19" s="94" t="str">
        <f>hyperlink("http://www.ladyfilmmakers.com/", "Lady Filmmakers Festival")</f>
        <v>Lady Filmmakers Festival</v>
      </c>
      <c r="JL19" s="43" t="s">
        <v>50</v>
      </c>
      <c r="JM19" s="45"/>
      <c r="JN19" s="45"/>
      <c r="JO19" s="139" t="str">
        <f>hyperlink("https://pointsnorthinstitute.org/ciff/", "Camden International Film Festival")</f>
        <v>Camden International Film Festival</v>
      </c>
      <c r="JS19" s="43" t="s">
        <v>50</v>
      </c>
      <c r="JW19" s="125" t="str">
        <f>hyperlink("https://www.slatinoff.org/", "Seattle Latino Film Festival")</f>
        <v>Seattle Latino Film Festival</v>
      </c>
      <c r="KF19" s="43" t="s">
        <v>50</v>
      </c>
      <c r="KG19" s="45"/>
      <c r="KI19" s="139" t="str">
        <f>hyperlink("https://www.docla.org/", "DOC LA - Los Angeles Documentary Film Festival")</f>
        <v>DOC LA - Los Angeles Documentary Film Festival</v>
      </c>
      <c r="KN19" s="43" t="s">
        <v>50</v>
      </c>
      <c r="KO19" s="45"/>
      <c r="KP19" s="45"/>
      <c r="LA19" s="63" t="str">
        <f>hyperlink("http://www.stcloudfilmfest.com/", "St. Cloud Film Festival")</f>
        <v>St. Cloud Film Festival</v>
      </c>
      <c r="LI19" s="43" t="s">
        <v>50</v>
      </c>
      <c r="LJ19" s="45"/>
      <c r="LK19" s="45"/>
      <c r="NB19" s="90"/>
    </row>
    <row r="20">
      <c r="A20" s="329" t="s">
        <v>69</v>
      </c>
      <c r="Y20" s="45"/>
      <c r="Z20" s="45"/>
      <c r="AM20" s="63" t="str">
        <f>hyperlink("http://videofest.org/", "Dallas VideoFest Alternative Fiction")</f>
        <v>Dallas VideoFest Alternative Fiction</v>
      </c>
      <c r="AQ20" s="43" t="s">
        <v>50</v>
      </c>
      <c r="AR20" s="63" t="str">
        <f>hyperlink("http://www.santafefilmfestival.com/", "Santa Fe Film Festival")</f>
        <v>Santa Fe Film Festival</v>
      </c>
      <c r="AW20" s="43" t="s">
        <v>50</v>
      </c>
      <c r="AX20" s="80" t="str">
        <f>hyperlink("http://nysephardifilmfestival.org/", "New York Sephardic Jewish Film Festival")</f>
        <v>New York Sephardic Jewish Film Festival</v>
      </c>
      <c r="BH20" s="43" t="s">
        <v>50</v>
      </c>
      <c r="BI20" s="49" t="str">
        <f>hyperlink("http://www.brightsidetavernfilmfestival.com/", "Brightside Film Festival, The ")</f>
        <v>Brightside Film Festival, The </v>
      </c>
      <c r="BK20" s="43" t="s">
        <v>50</v>
      </c>
      <c r="BL20" s="45"/>
      <c r="BN20" s="139" t="str">
        <f>hyperlink("http://www.truefalse.org/", "True/False Film Festival ")</f>
        <v>True/False Film Festival </v>
      </c>
      <c r="BR20" s="43" t="s">
        <v>50</v>
      </c>
      <c r="BS20" s="45"/>
      <c r="BT20" s="66" t="str">
        <f>hyperlink("http://www.onioncityfilmfest.org/", "Onion City Experimental Film + Video Festival")</f>
        <v>Onion City Experimental Film + Video Festival</v>
      </c>
      <c r="BX20" s="43" t="s">
        <v>50</v>
      </c>
      <c r="BY20" s="63" t="str">
        <f>hyperlink("www.fargofilmfestival.com", "Fargo Film Festival ")</f>
        <v>Fargo Film Festival </v>
      </c>
      <c r="CD20" s="43" t="s">
        <v>50</v>
      </c>
      <c r="CE20" s="45"/>
      <c r="CF20" s="45"/>
      <c r="CG20" s="45"/>
      <c r="CH20" s="45"/>
      <c r="CI20" s="47" t="str">
        <f>hyperlink("https://www.sarasotafilmfestival.com/", "Sarasota Film Festival")</f>
        <v>Sarasota Film Festival</v>
      </c>
      <c r="CS20" s="43" t="s">
        <v>50</v>
      </c>
      <c r="CT20" s="45"/>
      <c r="DB20" s="45"/>
      <c r="DC20" s="47" t="str">
        <f>hyperlink("https://www.dallasfilm.org", "Dallas International Film Festival")</f>
        <v>Dallas International Film Festival</v>
      </c>
      <c r="DK20" s="43" t="s">
        <v>50</v>
      </c>
      <c r="DL20" s="47" t="str">
        <f>hyperlink("https://www.sacramentofilmfestival.com/", "Sacramento International Film Festival")</f>
        <v>Sacramento International Film Festival</v>
      </c>
      <c r="DU20" s="43" t="s">
        <v>50</v>
      </c>
      <c r="DW20" s="47" t="str">
        <f>hyperlink("http://pifffilms.com/", "Philadelphia Independent Film Festival")</f>
        <v>Philadelphia Independent Film Festival</v>
      </c>
      <c r="EA20" s="43" t="s">
        <v>50</v>
      </c>
      <c r="EB20" s="45"/>
      <c r="EC20" s="45"/>
      <c r="EF20" s="270" t="str">
        <f>hyperlink("https://info.filmfestivalcircuit.com/portland-comedy-film-festival", "Portland Comedy Film Festival")</f>
        <v>Portland Comedy Film Festival</v>
      </c>
      <c r="EI20" s="43" t="s">
        <v>50</v>
      </c>
      <c r="EK20" s="45"/>
      <c r="EL20" s="106" t="str">
        <f>hyperlink("http://arteinstitute.org/nypsff/", "NY Portuguese Short Film Festival")</f>
        <v>NY Portuguese Short Film Festival</v>
      </c>
      <c r="EN20" s="43" t="s">
        <v>50</v>
      </c>
      <c r="EO20" s="108" t="str">
        <f>hyperlink("https://www.balticon.org/wp53/", "Balticon Short Film Festival")</f>
        <v>Balticon Short Film Festival</v>
      </c>
      <c r="EP20" s="43" t="s">
        <v>50</v>
      </c>
      <c r="EQ20" s="45"/>
      <c r="EV20" s="63" t="str">
        <f>hyperlink("http://www.sunsetfilmfestival.com/", "Sunset Film Festival Los Angeles ")</f>
        <v>Sunset Film Festival Los Angeles </v>
      </c>
      <c r="EW20" s="43" t="s">
        <v>50</v>
      </c>
      <c r="EX20" s="45"/>
      <c r="EZ20" s="63" t="str">
        <f>hyperlink("http://lighthousefilmfestival.org/", "Lighthouse International Film Festival")</f>
        <v>Lighthouse International Film Festival</v>
      </c>
      <c r="FD20" s="43" t="s">
        <v>50</v>
      </c>
      <c r="FF20" s="162" t="str">
        <f>hyperlink("https://portlandhorrorfilmfestival.com/", "Portland Horror Film Festival")</f>
        <v>Portland Horror Film Festival</v>
      </c>
      <c r="FJ20" s="43" t="s">
        <v>50</v>
      </c>
      <c r="FK20" s="45"/>
      <c r="FL20" s="45"/>
      <c r="FM20" s="198" t="str">
        <f>hyperlink("http://www.afi.com/afidocs/", "AFI Docs")</f>
        <v>AFI Docs</v>
      </c>
      <c r="FR20" s="43" t="s">
        <v>50</v>
      </c>
      <c r="FT20" s="45"/>
      <c r="FU20" s="76" t="str">
        <f>hyperlink("http://new.snakealleyfestivaloffilm.com/", "Snake Alley Festival of Film")</f>
        <v>Snake Alley Festival of Film</v>
      </c>
      <c r="FY20" s="43" t="s">
        <v>50</v>
      </c>
      <c r="GR20" s="76" t="str">
        <f>hyperlink("https://sayitloudfilmfestival.com/", "Say It Loud Film Festival")</f>
        <v>Say It Loud Film Festival</v>
      </c>
      <c r="GS20" s="43" t="s">
        <v>50</v>
      </c>
      <c r="GX20" s="76" t="str">
        <f>hyperlink("http://www.montgomeryfilmfestival.com/", "Montgomery Film Festival")</f>
        <v>Montgomery Film Festival</v>
      </c>
      <c r="GZ20" s="43" t="s">
        <v>50</v>
      </c>
      <c r="HB20" s="45"/>
      <c r="HC20" s="45"/>
      <c r="HR20" s="188" t="str">
        <f>hyperlink("http://www.auff.org/", "Atlanta Underground Film Festival")</f>
        <v>Atlanta Underground Film Festival</v>
      </c>
      <c r="HU20" s="43" t="s">
        <v>50</v>
      </c>
      <c r="HV20" s="45"/>
      <c r="ID20" s="45"/>
      <c r="IE20" s="45"/>
      <c r="IU20" s="63" t="str">
        <f>hyperlink("http://monarchfilmfestival.com", "Monarch Film Festival")</f>
        <v>Monarch Film Festival</v>
      </c>
      <c r="IW20" s="43" t="s">
        <v>50</v>
      </c>
      <c r="JG20" s="47" t="str">
        <f>hyperlink("https://www.urbanworld.org/", "Urbanworld Film Festival")</f>
        <v>Urbanworld Film Festival</v>
      </c>
      <c r="JL20" s="43" t="s">
        <v>50</v>
      </c>
      <c r="JN20" s="45"/>
      <c r="JO20" s="63" t="str">
        <f>hyperlink("http://www.alleganyalliedarts.org/qcff/", "Queen City Film Festival")</f>
        <v>Queen City Film Festival</v>
      </c>
      <c r="JS20" s="43" t="s">
        <v>50</v>
      </c>
      <c r="JV20" s="63" t="str">
        <f>hyperlink("http://www.tacomafilmfestival.com/", "Tacoma Film Festival")</f>
        <v>Tacoma Film Festival</v>
      </c>
      <c r="KD20" s="43" t="s">
        <v>50</v>
      </c>
      <c r="KE20" s="133" t="str">
        <f>hyperlink("https://www.sickchickflicksfilmfestival.com/", "Sick Chick Flicks Film Festival")</f>
        <v>Sick Chick Flicks Film Festival</v>
      </c>
      <c r="KG20" s="43" t="s">
        <v>50</v>
      </c>
      <c r="KI20" s="106" t="str">
        <f>hyperlink("http://www.nordicfilmfest.org/", "Nordic International Film Festival")</f>
        <v>Nordic International Film Festival</v>
      </c>
      <c r="KN20" s="43" t="s">
        <v>50</v>
      </c>
      <c r="KO20" s="45"/>
      <c r="KP20" s="45"/>
      <c r="KV20" s="45"/>
      <c r="KZ20" s="63" t="str">
        <f>hyperlink("http://www.kansasfilm.com/", "Kansas International Film Festival")</f>
        <v>Kansas International Film Festival</v>
      </c>
      <c r="LG20" s="43" t="s">
        <v>50</v>
      </c>
      <c r="LH20" s="210" t="str">
        <f>hyperlink("http://www.eacgfest.org/", "Epic ACG Fest")</f>
        <v>Epic ACG Fest</v>
      </c>
      <c r="LJ20" s="43" t="s">
        <v>50</v>
      </c>
      <c r="LK20" s="45"/>
      <c r="NB20" s="90"/>
    </row>
    <row r="21">
      <c r="A21" s="339" t="s">
        <v>70</v>
      </c>
      <c r="AM21" s="76" t="str">
        <f>hyperlink("https://tallyshorts.com/", "Tally Shorts Film Festival")</f>
        <v>Tally Shorts Film Festival</v>
      </c>
      <c r="AO21" s="43" t="s">
        <v>50</v>
      </c>
      <c r="AQ21" s="45"/>
      <c r="AS21" s="86" t="str">
        <f>hyperlink("http://www.cinemaverde.org", "Cinema Verde Environmental Film &amp; Arts Festival")</f>
        <v>Cinema Verde Environmental Film &amp; Arts Festival</v>
      </c>
      <c r="AW21" s="43" t="s">
        <v>50</v>
      </c>
      <c r="AX21" s="45"/>
      <c r="BB21" s="63" t="str">
        <f>hyperlink("http://www.sedonafilmfestival.org/", "Sedona International Film Festival ")</f>
        <v>Sedona International Film Festival </v>
      </c>
      <c r="BK21" s="43" t="s">
        <v>50</v>
      </c>
      <c r="BL21" s="45"/>
      <c r="BN21" s="63" t="str">
        <f>hyperlink("http://www.lindseyfilmfest.com", "George Lindsey UNA Film Festival")</f>
        <v>George Lindsey UNA Film Festival</v>
      </c>
      <c r="BQ21" s="43" t="s">
        <v>50</v>
      </c>
      <c r="BR21" s="45"/>
      <c r="BS21" s="45"/>
      <c r="BT21" s="108" t="str">
        <f>hyperlink("http://www.thephilipkdickfilmfestival.com/", "Philip K. Dick Science Fiction &amp; Supernatural Festival, The")</f>
        <v>Philip K. Dick Science Fiction &amp; Supernatural Festival, The</v>
      </c>
      <c r="BX21" s="43" t="s">
        <v>50</v>
      </c>
      <c r="BZ21" s="47" t="str">
        <f>hyperlink("http://www.cinekink.com/", "CineKink NYC")</f>
        <v>CineKink NYC</v>
      </c>
      <c r="CE21" s="43" t="s">
        <v>50</v>
      </c>
      <c r="CF21" s="45"/>
      <c r="CG21" s="45"/>
      <c r="CH21" s="45"/>
      <c r="CI21" s="221" t="str">
        <f>hyperlink("http://sandiegoaff.org/", "San Diego Arab Film Festival")</f>
        <v>San Diego Arab Film Festival</v>
      </c>
      <c r="CR21" s="43" t="s">
        <v>50</v>
      </c>
      <c r="CS21" s="45"/>
      <c r="CY21" s="45"/>
      <c r="CZ21" s="45"/>
      <c r="DA21" s="276" t="str">
        <f>hyperlink("http://realitybytes.niu.edu/", "Reality Bytes Independent Student Film Festival")</f>
        <v>Reality Bytes Independent Student Film Festival</v>
      </c>
      <c r="DD21" s="43" t="s">
        <v>50</v>
      </c>
      <c r="DE21" s="83" t="str">
        <f>hyperlink("http://wildlifefilms.org/", "International Wildlife Film Festival")</f>
        <v>International Wildlife Film Festival</v>
      </c>
      <c r="DM21" s="43" t="s">
        <v>50</v>
      </c>
      <c r="DQ21" s="41" t="str">
        <f>hyperlink("http://lajfilmfest.org/", "Los Angeles Jewish Film Festival")</f>
        <v>Los Angeles Jewish Film Festival</v>
      </c>
      <c r="DY21" s="43" t="s">
        <v>50</v>
      </c>
      <c r="EA21" s="45"/>
      <c r="EC21" s="45"/>
      <c r="EF21" s="63" t="str">
        <f>hyperlink("http://rainier.film/", "Rainier Independent Film Festival")</f>
        <v>Rainier Independent Film Festival</v>
      </c>
      <c r="EI21" s="43" t="s">
        <v>50</v>
      </c>
      <c r="EJ21" s="45"/>
      <c r="EN21" s="76" t="str">
        <f>hyperlink("https://wrrc.ucdavis.edu/programs/community/davis-feminist-film-festival", "Davis Feminist Film Festival")</f>
        <v>Davis Feminist Film Festival</v>
      </c>
      <c r="EO21" s="43" t="s">
        <v>50</v>
      </c>
      <c r="EP21" s="243" t="str">
        <f>hyperlink("http://phantoscope.org/", "Phantoscope High School Film Festival")</f>
        <v>Phantoscope High School Film Festival</v>
      </c>
      <c r="EQ21" s="43" t="s">
        <v>50</v>
      </c>
      <c r="EY21" s="45"/>
      <c r="EZ21" s="63" t="str">
        <f>hyperlink("http://oakclifffilmfestival.com/", "Oak Cliff Hill Film Festival")</f>
        <v>Oak Cliff Hill Film Festival</v>
      </c>
      <c r="FD21" s="43" t="s">
        <v>50</v>
      </c>
      <c r="FF21" s="45"/>
      <c r="FG21" s="136" t="str">
        <f>hyperlink("https://www.aaafilmfest.org/", "Austin Asian American Film Festival")</f>
        <v>Austin Asian American Film Festival</v>
      </c>
      <c r="FK21" s="43" t="s">
        <v>50</v>
      </c>
      <c r="FL21" s="45"/>
      <c r="FM21" s="98" t="str">
        <f>hyperlink("http://www.abff.com/", "American Black Film Festival")</f>
        <v>American Black Film Festival</v>
      </c>
      <c r="FR21" s="43" t="s">
        <v>50</v>
      </c>
      <c r="FT21" s="45"/>
      <c r="FX21" s="243" t="str">
        <f>hyperlink("https://myhero.com/films", "My HERO International Short Film Festival")</f>
        <v>My HERO International Short Film Festival</v>
      </c>
      <c r="GB21" s="43" t="s">
        <v>50</v>
      </c>
      <c r="HB21" s="45"/>
      <c r="HC21" s="45"/>
      <c r="HS21" s="63" t="str">
        <f>hyperlink("https://www.monmouthfilmfestival.org/", "Monmouth Film Festival")</f>
        <v>Monmouth Film Festival</v>
      </c>
      <c r="HV21" s="43" t="s">
        <v>50</v>
      </c>
      <c r="IE21" s="45"/>
      <c r="JG21" s="45"/>
      <c r="JH21" s="63" t="str">
        <f>hyperlink("http://cbfilmfest.org/", "Crested Butte Film Festival")</f>
        <v>Crested Butte Film Festival</v>
      </c>
      <c r="JL21" s="43" t="s">
        <v>50</v>
      </c>
      <c r="JN21" s="45"/>
      <c r="JO21" s="108" t="str">
        <f>hyperlink("http://www.shriekfest.com/", "Shriekfest Horror Film Festival")</f>
        <v>Shriekfest Horror Film Festival</v>
      </c>
      <c r="JS21" s="43" t="s">
        <v>50</v>
      </c>
      <c r="JU21" s="47" t="str">
        <f>hyperlink("http://www.angaelica.com/", "Festival Angaelica")</f>
        <v>Festival Angaelica</v>
      </c>
      <c r="JZ21" s="43" t="s">
        <v>50</v>
      </c>
      <c r="KB21" s="63" t="str">
        <f>hyperlink("https://neworleansfilmsociety.org/", "New Orleans Film Festival")</f>
        <v>New Orleans Film Festival</v>
      </c>
      <c r="KJ21" s="43" t="s">
        <v>50</v>
      </c>
      <c r="KK21" s="162" t="str">
        <f>hyperlink("http://www.freakshowfilmfest.com", "Freak Show Horror Film Festival")</f>
        <v>Freak Show Horror Film Festival</v>
      </c>
      <c r="KN21" s="43" t="s">
        <v>50</v>
      </c>
      <c r="KO21" s="45"/>
      <c r="KP21" s="45"/>
      <c r="KZ21" s="63" t="str">
        <f>hyperlink("https://www.studiocityfest.com/", "Studio City Film Festival")</f>
        <v>Studio City Film Festival</v>
      </c>
      <c r="LG21" s="43" t="s">
        <v>50</v>
      </c>
      <c r="LH21" s="49" t="str">
        <f>hyperlink("http://100-seconds.org", "International Exhibition of Super Short Films")</f>
        <v>International Exhibition of Super Short Films</v>
      </c>
      <c r="LI21" s="43" t="s">
        <v>50</v>
      </c>
      <c r="LK21" s="45"/>
      <c r="NB21" s="90"/>
    </row>
    <row r="22">
      <c r="A22" s="341" t="s">
        <v>71</v>
      </c>
      <c r="AN22" s="60" t="str">
        <f>hyperlink("http://ladancefilmfest.org/", "LA Dance Film Festival")</f>
        <v>LA Dance Film Festival</v>
      </c>
      <c r="AO22" s="43" t="s">
        <v>50</v>
      </c>
      <c r="AP22" s="45"/>
      <c r="AQ22" s="45"/>
      <c r="AS22" s="76" t="str">
        <f>hyperlink("http://damshortfilm.org/", "Dam Short Film Festival")</f>
        <v>Dam Short Film Festival</v>
      </c>
      <c r="AW22" s="43" t="s">
        <v>50</v>
      </c>
      <c r="AX22" s="45"/>
      <c r="BA22" s="239" t="str">
        <f>hyperlink("https://longwoodlaff.wixsite.com/laff", "Longwood Animation Film Festival")</f>
        <v>Longwood Animation Film Festival</v>
      </c>
      <c r="BI22" s="43" t="s">
        <v>50</v>
      </c>
      <c r="BJ22" s="45"/>
      <c r="BK22" s="45"/>
      <c r="BL22" s="45"/>
      <c r="BO22" s="108" t="str">
        <f>hyperlink("http://www.midwestweirdfest.com/", "Midwest WeirdFest")</f>
        <v>Midwest WeirdFest</v>
      </c>
      <c r="BR22" s="43" t="s">
        <v>50</v>
      </c>
      <c r="BS22" s="45"/>
      <c r="BV22" s="76" t="str">
        <f>hyperlink("https://www.lasff.com/", "Los Angeles Short Film Festival")</f>
        <v>Los Angeles Short Film Festival</v>
      </c>
      <c r="BX22" s="43" t="s">
        <v>50</v>
      </c>
      <c r="BZ22" s="45"/>
      <c r="CA22" s="45"/>
      <c r="CB22" s="276" t="str">
        <f>hyperlink("https://www.sierracanyonschool.org/page/arts/scs-film-festival", "Sierra Canyon Film Festival")</f>
        <v>Sierra Canyon Film Festival</v>
      </c>
      <c r="CC22" s="43" t="s">
        <v>50</v>
      </c>
      <c r="CD22" s="230" t="str">
        <f>hyperlink("http://www.qflixphilly.com/", "qFLIX Philadelphia")</f>
        <v>qFLIX Philadelphia</v>
      </c>
      <c r="CL22" s="43" t="s">
        <v>50</v>
      </c>
      <c r="CM22" s="45"/>
      <c r="CN22" s="63" t="str">
        <f>hyperlink("http://www.bev...festival.com/", "Beverly Hills Film Festival")</f>
        <v>Beverly Hills Film Festival</v>
      </c>
      <c r="CS22" s="43" t="s">
        <v>50</v>
      </c>
      <c r="CT22" s="45"/>
      <c r="CU22" s="45"/>
      <c r="DA22" s="58" t="str">
        <f>hyperlink("http://deafrocfilmfest.com", "Deaf Rochester Film Festival")</f>
        <v>Deaf Rochester Film Festival</v>
      </c>
      <c r="DF22" s="43" t="s">
        <v>50</v>
      </c>
      <c r="DI22" s="63" t="str">
        <f>hyperlink("http://fmbfilmfest.com/", "Fort Myers Beach International Film Festival")</f>
        <v>Fort Myers Beach International Film Festival</v>
      </c>
      <c r="DQ22" s="43" t="s">
        <v>50</v>
      </c>
      <c r="DR22" s="47" t="str">
        <f>hyperlink("https://www.blackbirdfilmfest.com/", "Blackbird Film Festival")</f>
        <v>Blackbird Film Festival</v>
      </c>
      <c r="DU22" s="43" t="s">
        <v>50</v>
      </c>
      <c r="DV22" s="45"/>
      <c r="DW22" s="45"/>
      <c r="DX22" s="63" t="str">
        <f>hyperlink("http://greenpointfilmfestival.org/", "Greenpoint Film Festival")</f>
        <v>Greenpoint Film Festival</v>
      </c>
      <c r="EB22" s="43" t="s">
        <v>50</v>
      </c>
      <c r="EC22" s="45"/>
      <c r="EF22" s="188" t="str">
        <f>hyperlink("http://www.sicknwrongfilm.com", "Sick 'n' Wrong Film Festival")</f>
        <v>Sick 'n' Wrong Film Festival</v>
      </c>
      <c r="EI22" s="43" t="s">
        <v>50</v>
      </c>
      <c r="EJ22" s="45"/>
      <c r="EY22" s="45"/>
      <c r="EZ22" s="125" t="str">
        <f>hyperlink("https://www.phlaff.org/", "Philadelphia Latino Film Festival")</f>
        <v>Philadelphia Latino Film Festival</v>
      </c>
      <c r="FD22" s="43" t="s">
        <v>50</v>
      </c>
      <c r="FF22" s="45"/>
      <c r="FG22" s="63" t="str">
        <f>hyperlink("http://bozemanfilmcelebration.com/", "BZN Internatioanl Film Festival")</f>
        <v>BZN Internatioanl Film Festival</v>
      </c>
      <c r="FK22" s="43" t="s">
        <v>50</v>
      </c>
      <c r="FL22" s="45"/>
      <c r="FM22" s="47" t="str">
        <f>hyperlink("https://www.mauifilmfestival.com/", "Maui Film Festival")</f>
        <v>Maui Film Festival</v>
      </c>
      <c r="FR22" s="43" t="s">
        <v>50</v>
      </c>
      <c r="FT22" s="45"/>
      <c r="FU22" s="45"/>
      <c r="FV22" s="63" t="str">
        <f>hyperlink("http://desmoinesartsfestival.org/interrobangfilmfestival/", "Interrobang Film Festival")</f>
        <v>Interrobang Film Festival</v>
      </c>
      <c r="FY22" s="43" t="s">
        <v>50</v>
      </c>
      <c r="HB22" s="45"/>
      <c r="HT22" s="106" t="str">
        <f>hyperlink("http://www.haitiinternationalfilmfestival.org/", "Haiti International Film Festival")</f>
        <v>Haiti International Film Festival</v>
      </c>
      <c r="HU22" s="43" t="s">
        <v>50</v>
      </c>
      <c r="JG22" s="45"/>
      <c r="JH22" s="63" t="str">
        <f>hyperlink("https://gigharborfilm.org/", "Gig Harbor Film Festival")</f>
        <v>Gig Harbor Film Festival</v>
      </c>
      <c r="JL22" s="43" t="s">
        <v>50</v>
      </c>
      <c r="JN22" s="45"/>
      <c r="JO22" s="63" t="str">
        <f>hyperlink("http://www.siouxcityfilmfest.org/", "Sioux City International Film Festival")</f>
        <v>Sioux City International Film Festival</v>
      </c>
      <c r="JS22" s="43" t="s">
        <v>50</v>
      </c>
      <c r="JU22" s="45"/>
      <c r="JV22" s="63" t="str">
        <f>hyperlink("https://www.buffalofilm.org/", "Buffalo International Film Festival")</f>
        <v>Buffalo International Film Festival</v>
      </c>
      <c r="KA22" s="43" t="s">
        <v>50</v>
      </c>
      <c r="KC22" s="63" t="str">
        <f>hyperlink("http://www.afi.com/afifest/", "AFI Fest")</f>
        <v>AFI Fest</v>
      </c>
      <c r="KK22" s="43" t="s">
        <v>50</v>
      </c>
      <c r="KL22" s="45"/>
      <c r="KM22" s="180" t="str">
        <f>hyperlink("http://fhffsd.com/", "FANtasic Horror Film Festival")</f>
        <v>FANtasic Horror Film Festival</v>
      </c>
      <c r="KP22" s="43" t="s">
        <v>50</v>
      </c>
      <c r="KW22" s="160" t="str">
        <f>hyperlink("https://www.aifisf.com/", "American Indian Film Festival")</f>
        <v>American Indian Film Festival</v>
      </c>
      <c r="LB22" s="43" t="s">
        <v>50</v>
      </c>
      <c r="LC22" s="76" t="str">
        <f>hyperlink("http://www.miamishortfilmfestival.com/", "Miami Short Film Festival")</f>
        <v>Miami Short Film Festival</v>
      </c>
      <c r="LI22" s="43" t="s">
        <v>50</v>
      </c>
      <c r="LK22" s="45"/>
      <c r="NB22" s="90"/>
    </row>
    <row r="23">
      <c r="A23" s="346" t="s">
        <v>839</v>
      </c>
      <c r="AN23" s="76" t="str">
        <f>hyperlink("https://www.blackmariafilmfestival.org/page.php?content=content-ourcollection-2019 ", "Thomas Edison Black Maria Film Festival")</f>
        <v>Thomas Edison Black Maria Film Festival</v>
      </c>
      <c r="AO23" s="43" t="s">
        <v>50</v>
      </c>
      <c r="AQ23" s="45"/>
      <c r="AS23" s="63" t="str">
        <f>hyperlink("http://www.flagstaffmountainfilms.org/", "Flagstaff Mountain Film Festival")</f>
        <v>Flagstaff Mountain Film Festival</v>
      </c>
      <c r="AW23" s="43" t="s">
        <v>50</v>
      </c>
      <c r="AX23" s="45"/>
      <c r="AY23" s="45"/>
      <c r="AZ23" s="47" t="str">
        <f>hyperlink("https://www.blackhillsfilmfestival.org/", "Black Hills Film Festival")</f>
        <v>Black Hills Film Festival</v>
      </c>
      <c r="BF23" s="43" t="s">
        <v>50</v>
      </c>
      <c r="BG23" s="86" t="str">
        <f>hyperlink("http://www.nywildfilmfestival.com/", "New York WILD Film Festival")</f>
        <v>New York WILD Film Festival</v>
      </c>
      <c r="BK23" s="43" t="s">
        <v>50</v>
      </c>
      <c r="BL23" s="45"/>
      <c r="BO23" s="63" t="str">
        <f>hyperlink("http://www.reddirtfilm.com/", "Red Dirt Film Festival")</f>
        <v>Red Dirt Film Festival</v>
      </c>
      <c r="BR23" s="43" t="s">
        <v>50</v>
      </c>
      <c r="BV23" s="63" t="str">
        <f>hyperlink("https://www.wildwoodfilmfestival.com/", "Wildwood Film Festival")</f>
        <v>Wildwood Film Festival</v>
      </c>
      <c r="BW23" s="43" t="s">
        <v>50</v>
      </c>
      <c r="BZ23" s="45"/>
      <c r="CA23" s="45"/>
      <c r="CB23" s="171" t="str">
        <f>hyperlink("http://www.methodfest.com/", "Method Fest Independent Film Festival, The ")</f>
        <v>Method Fest Independent Film Festival, The </v>
      </c>
      <c r="CI23" s="43" t="s">
        <v>50</v>
      </c>
      <c r="CJ23" s="47" t="str">
        <f>hyperlink("http://www.postalleyfilmfestival.com/", "Post Alley Film Festival")</f>
        <v>Post Alley Film Festival</v>
      </c>
      <c r="CK23" s="43" t="s">
        <v>50</v>
      </c>
      <c r="CL23" s="45"/>
      <c r="CN23" s="106" t="str">
        <f>hyperlink("http://www.indianfilmfestival.org/", "Indian Film Festival of Los Angeles")</f>
        <v>Indian Film Festival of Los Angeles</v>
      </c>
      <c r="CS23" s="43" t="s">
        <v>50</v>
      </c>
      <c r="CT23" s="45"/>
      <c r="DA23" s="66" t="str">
        <f>hyperlink("https://www.experimentsincinema.org/", "Experiments in Cinema")</f>
        <v>Experiments in Cinema</v>
      </c>
      <c r="DF23" s="43" t="s">
        <v>50</v>
      </c>
      <c r="DG23" s="45"/>
      <c r="DH23" s="45"/>
      <c r="DI23" s="63" t="str">
        <f>hyperlink("http://iffboston.org/", "Independent Film Festival of Boston")</f>
        <v>Independent Film Festival of Boston</v>
      </c>
      <c r="DQ23" s="43" t="s">
        <v>50</v>
      </c>
      <c r="DR23" s="180" t="str">
        <f>hyperlink("https://www.crypticonseattle.com/", "Crypticon Seattle Horror Film Festival")</f>
        <v>Crypticon Seattle Horror Film Festival</v>
      </c>
      <c r="DU23" s="43" t="s">
        <v>50</v>
      </c>
      <c r="DW23" s="45"/>
      <c r="DX23" s="63" t="str">
        <f>hyperlink("http://www.hillcountryff.com/", "Hill Country Film Festival")</f>
        <v>Hill Country Film Festival</v>
      </c>
      <c r="EB23" s="43" t="s">
        <v>50</v>
      </c>
      <c r="EF23" s="76" t="str">
        <f>hyperlink("http://www.aurorapictureshow.org/pages/home.asp", "Extremely Short Film Festival")</f>
        <v>Extremely Short Film Festival</v>
      </c>
      <c r="EH23" s="43" t="s">
        <v>50</v>
      </c>
      <c r="EI23" s="45"/>
      <c r="EY23" s="45"/>
      <c r="EZ23" s="45"/>
      <c r="FA23" s="45"/>
      <c r="FB23" s="210" t="str">
        <f>hyperlink("http://www.asifa-south.com", "ASIFA-South Animation Conference and Festival")</f>
        <v>ASIFA-South Animation Conference and Festival</v>
      </c>
      <c r="FD23" s="43" t="s">
        <v>50</v>
      </c>
      <c r="FF23" s="45"/>
      <c r="FG23" s="63" t="str">
        <f>hyperlink("www.deadcenterfilm.org", "deadCENTER Film Festival")</f>
        <v>deadCENTER Film Festival</v>
      </c>
      <c r="FK23" s="43" t="s">
        <v>50</v>
      </c>
      <c r="FL23" s="45"/>
      <c r="FM23" s="47" t="str">
        <f>hyperlink("http://www.ptownfilmfest.org/", "Provincetown Film Festival")</f>
        <v>Provincetown Film Festival</v>
      </c>
      <c r="FR23" s="43" t="s">
        <v>50</v>
      </c>
      <c r="FT23" s="45"/>
      <c r="FU23" s="45"/>
      <c r="FV23" s="63" t="str">
        <f>hyperlink("http://pghindie.com/Welcome.html", "Pittsburgh Independent Film Festival")</f>
        <v>Pittsburgh Independent Film Festival</v>
      </c>
      <c r="FY23" s="43" t="s">
        <v>50</v>
      </c>
      <c r="HB23" s="45"/>
      <c r="JG23" s="45"/>
      <c r="JH23" s="63" t="str">
        <f>hyperlink("http://hhmfest.com/", "Hell's Half Mile Film &amp; Music Festival")</f>
        <v>Hell's Half Mile Film &amp; Music Festival</v>
      </c>
      <c r="JL23" s="43" t="s">
        <v>50</v>
      </c>
      <c r="JN23" s="45"/>
      <c r="JO23" s="63" t="str">
        <f>hyperlink("https://www.shawnasheaff.org/", "Shawna Shea Film Festival, The ")</f>
        <v>Shawna Shea Film Festival, The </v>
      </c>
      <c r="JR23" s="43" t="s">
        <v>50</v>
      </c>
      <c r="JU23" s="45"/>
      <c r="JV23" s="63" t="str">
        <f>hyperlink("http://hampton...filmfest.org/", "Hamptons International Film Festival")</f>
        <v>Hamptons International Film Festival</v>
      </c>
      <c r="KA23" s="43" t="s">
        <v>50</v>
      </c>
      <c r="KB23" s="45"/>
      <c r="KC23" s="180" t="str">
        <f>hyperlink("http://brooklynhorrorfest.com/", "Brooklyn Horror Fest")</f>
        <v>Brooklyn Horror Fest</v>
      </c>
      <c r="KK23" s="43" t="s">
        <v>50</v>
      </c>
      <c r="KL23" s="162" t="str">
        <f>hyperlink("https://bleedingham.com/", "Bleedingham Film Festival")</f>
        <v>Bleedingham Film Festival</v>
      </c>
      <c r="KN23" s="43" t="s">
        <v>50</v>
      </c>
      <c r="KP23" s="45"/>
      <c r="KX23" s="63" t="str">
        <f>hyperlink("https://www.lonestarfilmfestival.com/", "Lone Star Film Festival")</f>
        <v>Lone Star Film Festival</v>
      </c>
      <c r="LC23" s="43" t="s">
        <v>50</v>
      </c>
      <c r="LD23" s="45"/>
      <c r="LE23" s="63" t="str">
        <f>hyperlink("https://www.bigapplefilmfestival.com/", "Big Apple Film Festival")</f>
        <v>Big Apple Film Festival</v>
      </c>
      <c r="LJ23" s="43" t="s">
        <v>50</v>
      </c>
      <c r="NB23" s="90"/>
    </row>
    <row r="24">
      <c r="A24" s="350" t="s">
        <v>869</v>
      </c>
      <c r="AO24" s="86" t="str">
        <f>hyperlink("https://rvaeff.org/", "RVA Environmental Film Festival")</f>
        <v>RVA Environmental Film Festival</v>
      </c>
      <c r="AP24" s="43" t="s">
        <v>50</v>
      </c>
      <c r="AQ24" s="45"/>
      <c r="AS24" s="76" t="str">
        <f>hyperlink("http://www.loveyourshorts.com/", "Love Your Shorts Film Festival")</f>
        <v>Love Your Shorts Film Festival</v>
      </c>
      <c r="AW24" s="43" t="s">
        <v>50</v>
      </c>
      <c r="AX24" s="45"/>
      <c r="AZ24" s="86" t="str">
        <f>hyperlink("https://www.ceff.net/", "Colorado Environmental Film Festival")</f>
        <v>Colorado Environmental Film Festival</v>
      </c>
      <c r="BC24" s="43" t="s">
        <v>50</v>
      </c>
      <c r="BD24" s="247" t="str">
        <f>hyperlink("http://ldsfilmfest.com/", "LDS Film Festival")</f>
        <v>LDS Film Festival</v>
      </c>
      <c r="BJ24" s="43" t="s">
        <v>50</v>
      </c>
      <c r="BK24" s="45"/>
      <c r="BL24" s="45"/>
      <c r="BO24" s="47" t="str">
        <f>hyperlink("http://southgeorgiafilm.com/", "South Georgia Film Festival")</f>
        <v>South Georgia Film Festival</v>
      </c>
      <c r="BR24" s="43" t="s">
        <v>50</v>
      </c>
      <c r="BZ24" s="171" t="str">
        <f>hyperlink("https://www.underexposedfilmfestivalyc.org/", "Underexposed Film Festival yc")</f>
        <v>Underexposed Film Festival yc</v>
      </c>
      <c r="CD24" s="43" t="s">
        <v>50</v>
      </c>
      <c r="CE24" s="83" t="str">
        <f>hyperlink("http://www.wasatchfilmfestival.org/", "Wasatch Mountain Film Festival")</f>
        <v>Wasatch Mountain Film Festival</v>
      </c>
      <c r="CK24" s="43" t="s">
        <v>50</v>
      </c>
      <c r="CL24" s="45"/>
      <c r="CM24" s="45"/>
      <c r="CN24" s="83" t="str">
        <f>hyperlink("http://philaenvirofilmfest.org", "Philadelphia Environmental Film Festival")</f>
        <v>Philadelphia Environmental Film Festival</v>
      </c>
      <c r="CS24" s="43" t="s">
        <v>50</v>
      </c>
      <c r="DB24" s="47" t="str">
        <f>hyperlink("https://kcfilmfest.org/", "Kansas City Film Fest")</f>
        <v>Kansas City Film Fest</v>
      </c>
      <c r="DG24" s="43" t="s">
        <v>50</v>
      </c>
      <c r="DH24" s="45"/>
      <c r="DI24" s="45"/>
      <c r="DJ24" s="47" t="str">
        <f>hyperlink("https://newportbeachfilmfest.com/", "Newport Beach Film Festival")</f>
        <v>Newport Beach Film Festival</v>
      </c>
      <c r="DR24" s="43" t="s">
        <v>50</v>
      </c>
      <c r="DS24" s="45"/>
      <c r="DT24" s="45"/>
      <c r="DU24" s="45"/>
      <c r="DW24" s="45"/>
      <c r="DX24" s="129" t="str">
        <f>hyperlink("https://threedollarbillcinema.org/translations/", "Translations: Seattle Transgender Film Festival")</f>
        <v>Translations: Seattle Transgender Film Festival</v>
      </c>
      <c r="EB24" s="43" t="s">
        <v>50</v>
      </c>
      <c r="EG24" s="63" t="str">
        <f>hyperlink("http://www.lareelfilmfest.com", "Los Angeles Reel Film Festival")</f>
        <v>Los Angeles Reel Film Festival</v>
      </c>
      <c r="EI24" s="43" t="s">
        <v>50</v>
      </c>
      <c r="EZ24" s="45"/>
      <c r="FA24" s="45"/>
      <c r="FB24" s="102" t="str">
        <f>hyperlink("https://www.festalpagdiriwang.com/diwa-film-showcase", "Diwa Filipino Film Showcase of Seattle")</f>
        <v>Diwa Filipino Film Showcase of Seattle</v>
      </c>
      <c r="FD24" s="43" t="s">
        <v>50</v>
      </c>
      <c r="FE24" s="45"/>
      <c r="FF24" s="45"/>
      <c r="FG24" s="239" t="str">
        <f>hyperlink("https://www.floridaanimationfestival.com/", "Florida Animation Festival")</f>
        <v>Florida Animation Festival</v>
      </c>
      <c r="FK24" s="43" t="s">
        <v>50</v>
      </c>
      <c r="FL24" s="45"/>
      <c r="FM24" s="45"/>
      <c r="FN24" s="47" t="str">
        <f>hyperlink("https://covellitefilmfest.org/", "Covellite International Film Festival")</f>
        <v>Covellite International Film Festival</v>
      </c>
      <c r="FR24" s="43" t="s">
        <v>50</v>
      </c>
      <c r="FT24" s="45"/>
      <c r="FV24" s="63" t="str">
        <f>hyperlink("http://freerangefilm.com/", "Free Range Film Festival")</f>
        <v>Free Range Film Festival</v>
      </c>
      <c r="FX24" s="43" t="s">
        <v>50</v>
      </c>
      <c r="HB24" s="45"/>
      <c r="JG24" s="45"/>
      <c r="JH24" s="162" t="str">
        <f>hyperlink("https://hotspringshorrorfilmfestival.com/", "Hot Springs International Horror Film Festival")</f>
        <v>Hot Springs International Horror Film Festival</v>
      </c>
      <c r="JL24" s="43" t="s">
        <v>50</v>
      </c>
      <c r="JN24" s="45"/>
      <c r="JP24" s="108" t="str">
        <f>hyperlink("https://hplfilmfestival.com/", "H.P. Lovecraft Film Festival")</f>
        <v>H.P. Lovecraft Film Festival</v>
      </c>
      <c r="JS24" s="43" t="s">
        <v>50</v>
      </c>
      <c r="JU24" s="45"/>
      <c r="JW24" s="58" t="str">
        <f>hyperlink("http://www.franklyfilmfest.com/", "F3: Frankly Film Fest")</f>
        <v>F3: Frankly Film Fest</v>
      </c>
      <c r="JY24" s="43" t="s">
        <v>50</v>
      </c>
      <c r="JZ24" s="47" t="str">
        <f>hyperlink("https://portlandfilmfestival.com/", "Portland Film Festival ")</f>
        <v>Portland Film Festival </v>
      </c>
      <c r="KG24" s="43" t="s">
        <v>50</v>
      </c>
      <c r="KH24" s="45"/>
      <c r="KI24" s="47" t="str">
        <f>hyperlink("http://virgini...festival.org/", "Virginia Film Festival")</f>
        <v>Virginia Film Festival</v>
      </c>
      <c r="KN24" s="43" t="s">
        <v>50</v>
      </c>
      <c r="KO24" s="45"/>
      <c r="KX24" s="63" t="str">
        <f>hyperlink("http://www.bigwaterfilmfestival.org/", "Big Water Film Festival")</f>
        <v>Big Water Film Festival</v>
      </c>
      <c r="LB24" s="43" t="s">
        <v>50</v>
      </c>
      <c r="LC24" s="45"/>
      <c r="LD24" s="45"/>
      <c r="LE24" s="106" t="str">
        <f>hyperlink("http://iprhff.com/", "International Puerto Rican Heritage Film Festival")</f>
        <v>International Puerto Rican Heritage Film Festival</v>
      </c>
      <c r="LJ24" s="43" t="s">
        <v>50</v>
      </c>
      <c r="NB24" s="90"/>
    </row>
    <row r="25">
      <c r="A25" s="360" t="s">
        <v>88</v>
      </c>
      <c r="AM25" s="45"/>
      <c r="AN25" s="45"/>
      <c r="AO25" s="45"/>
      <c r="AP25" s="45"/>
      <c r="AQ25" s="45"/>
      <c r="AS25" s="63" t="str">
        <f>hyperlink("http://www.oneotafilmfestival.org/", "Oneota Film Festival")</f>
        <v>Oneota Film Festival</v>
      </c>
      <c r="AW25" s="43" t="s">
        <v>50</v>
      </c>
      <c r="AX25" s="45"/>
      <c r="AZ25" s="136" t="str">
        <f>hyperlink("http://seattleaaff.org/2018/", "Seattle Asian American Film Festival ")</f>
        <v>Seattle Asian American Film Festival </v>
      </c>
      <c r="BD25" s="43" t="s">
        <v>50</v>
      </c>
      <c r="BE25" s="45"/>
      <c r="BG25" s="63" t="str">
        <f>hyperlink("http://magnoliafilmfest.com/", "Magnolia Independent Film Festival")</f>
        <v>Magnolia Independent Film Festival</v>
      </c>
      <c r="BJ25" s="43" t="s">
        <v>50</v>
      </c>
      <c r="BK25" s="45"/>
      <c r="BL25" s="45"/>
      <c r="BO25" s="205" t="str">
        <f>hyperlink("http://www.throughwomenseyes.com/", "Through Women's Eyes Film Festival")</f>
        <v>Through Women's Eyes Film Festival</v>
      </c>
      <c r="BR25" s="43" t="s">
        <v>50</v>
      </c>
      <c r="BS25" s="45"/>
      <c r="BZ25" s="47" t="str">
        <f>hyperlink("http://oxfordfilmfest.com/", "Oxford Film Festival ")</f>
        <v>Oxford Film Festival </v>
      </c>
      <c r="CE25" s="43" t="s">
        <v>50</v>
      </c>
      <c r="CF25" s="47" t="str">
        <f>hyperlink("https://www.aafilmfest.org/", "Ann Arbor Film Festival ")</f>
        <v>Ann Arbor Film Festival </v>
      </c>
      <c r="CL25" s="43" t="s">
        <v>50</v>
      </c>
      <c r="CM25" s="45"/>
      <c r="CN25" s="45"/>
      <c r="CO25" s="98" t="str">
        <f>hyperlink("http://charlotteblackfilmfestival.com/", "Charlotte Black Film Festival")</f>
        <v>Charlotte Black Film Festival</v>
      </c>
      <c r="CS25" s="43" t="s">
        <v>50</v>
      </c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7" t="str">
        <f>hyperlink("http://www.tiburonfilmfestival.com/", "Tiburon International Film Festival")</f>
        <v>Tiburon International Film Festival</v>
      </c>
      <c r="DK25" s="43" t="s">
        <v>50</v>
      </c>
      <c r="DL25" s="263" t="str">
        <f>hyperlink("http://www.laughordiecomedyfest.com/", "Laugh or Die Comedy Fest")</f>
        <v>Laugh or Die Comedy Fest</v>
      </c>
      <c r="DM25" s="43" t="s">
        <v>50</v>
      </c>
      <c r="DN25" s="102" t="str">
        <f>hyperlink("http://lagff.org/", "Los Angeles Greek Film Festival")</f>
        <v>Los Angeles Greek Film Festival</v>
      </c>
      <c r="DU25" s="43" t="s">
        <v>50</v>
      </c>
      <c r="DV25" s="45"/>
      <c r="DW25" s="45"/>
      <c r="DX25" s="58" t="str">
        <f>hyperlink("http://sdsurffilmfestival.com/", "San Diego Surf Film Festival")</f>
        <v>San Diego Surf Film Festival</v>
      </c>
      <c r="EA25" s="43" t="s">
        <v>50</v>
      </c>
      <c r="EH25" s="243" t="str">
        <f>hyperlink("https://www.mccneb.edu/Community-Business/Community-Events/Elkhorn-Valley-BEA-D-7-Film-and-Media-Conference.aspx ", "Elkhorn Valley BEA D7 Film and Media Conference")</f>
        <v>Elkhorn Valley BEA D7 Film and Media Conference</v>
      </c>
      <c r="EJ25" s="43" t="s">
        <v>50</v>
      </c>
      <c r="EW25" s="45"/>
      <c r="EX25" s="45"/>
      <c r="EY25" s="45"/>
      <c r="EZ25" s="45"/>
      <c r="FB25" s="243" t="str">
        <f>hyperlink("http://www.ryff.org/", "Rockland Youth Film Festival")</f>
        <v>Rockland Youth Film Festival</v>
      </c>
      <c r="FD25" s="43" t="s">
        <v>50</v>
      </c>
      <c r="FF25" s="45"/>
      <c r="FG25" s="162" t="str">
        <f>hyperlink("http://www.horrorhotel.net/home.html", "International Horror Hotel, The")</f>
        <v>International Horror Hotel, The</v>
      </c>
      <c r="FK25" s="43" t="s">
        <v>50</v>
      </c>
      <c r="FN25" s="139" t="str">
        <f>hyperlink("http://www.docsunbackfilmfest.com/", "Doc Sunback Film Festival")</f>
        <v>Doc Sunback Film Festival</v>
      </c>
      <c r="FR25" s="43" t="s">
        <v>50</v>
      </c>
      <c r="FS25" s="45"/>
      <c r="FT25" s="45"/>
      <c r="JG25" s="45"/>
      <c r="JH25" s="180" t="str">
        <f>hyperlink("https://nolahorrorfilmfest.com/", "Nola Horror Film Fest")</f>
        <v>Nola Horror Film Fest</v>
      </c>
      <c r="JL25" s="43" t="s">
        <v>50</v>
      </c>
      <c r="JN25" s="45"/>
      <c r="JP25" s="63" t="str">
        <f>hyperlink("http://othervenicefilmfestival.com/", "Other Venice Film Festival")</f>
        <v>Other Venice Film Festival</v>
      </c>
      <c r="JS25" s="43" t="s">
        <v>50</v>
      </c>
      <c r="JU25" s="45"/>
      <c r="JV25" s="63" t="str">
        <f>hyperlink("http://www.orcasfilmfest.com/", "Orcas Island Film Festival ")</f>
        <v>Orcas Island Film Festival </v>
      </c>
      <c r="KA25" s="43" t="s">
        <v>50</v>
      </c>
      <c r="KC25" s="45"/>
      <c r="KD25" s="171" t="str">
        <f>hyperlink("http://reelrecoveryfilmfestival.org/", "Reel Recovery Film Festival &amp; Symposium")</f>
        <v>Reel Recovery Film Festival &amp; Symposium</v>
      </c>
      <c r="KK25" s="43" t="s">
        <v>50</v>
      </c>
      <c r="KL25" s="94" t="str">
        <f>hyperlink("http://reelsisters.com/", "Reel Sisters of the Diaspora Film Festival &amp; Lecture Series")</f>
        <v>Reel Sisters of the Diaspora Film Festival &amp; Lecture Series</v>
      </c>
      <c r="KN25" s="43" t="s">
        <v>50</v>
      </c>
      <c r="KP25" s="45"/>
      <c r="KX25" s="63" t="str">
        <f>hyperlink("http://www.redrockfilmfestival.com/", "Red Rock Film Festival - Utah")</f>
        <v>Red Rock Film Festival - Utah</v>
      </c>
      <c r="LB25" s="43" t="s">
        <v>50</v>
      </c>
      <c r="LC25" s="45"/>
      <c r="LD25" s="45"/>
      <c r="LE25" s="63" t="str">
        <f>hyperlink("https://www.cinemanapavalley.org/film/", "Napa Valley Film Festival")</f>
        <v>Napa Valley Film Festival</v>
      </c>
      <c r="LJ25" s="43" t="s">
        <v>50</v>
      </c>
      <c r="NB25" s="90"/>
    </row>
    <row r="26">
      <c r="A26" s="367" t="s">
        <v>89</v>
      </c>
      <c r="AQ26" s="45"/>
      <c r="AT26" s="58" t="str">
        <f>hyperlink("http://whiteheadfilmfestival.org/", "Common Good International Film Festival")</f>
        <v>Common Good International Film Festival</v>
      </c>
      <c r="AX26" s="43" t="s">
        <v>50</v>
      </c>
      <c r="BB26" s="63" t="str">
        <f>hyperlink("www.southerncity.org ", "Southern City Film Festival")</f>
        <v>Southern City Film Festival</v>
      </c>
      <c r="BF26" s="43" t="s">
        <v>50</v>
      </c>
      <c r="BG26" s="58" t="str">
        <f>hyperlink("https://ogeecheefilmfestival.org/", "OgeeChee International History Film Festival")</f>
        <v>OgeeChee International History Film Festival</v>
      </c>
      <c r="BJ26" s="43" t="s">
        <v>50</v>
      </c>
      <c r="BK26" s="45"/>
      <c r="BL26" s="45"/>
      <c r="BO26" s="76" t="str">
        <f>hyperlink("http://colonyfilmfestival.com/", "Colony Short Film Festival")</f>
        <v>Colony Short Film Festival</v>
      </c>
      <c r="BQ26" s="43" t="s">
        <v>50</v>
      </c>
      <c r="BR26" s="45"/>
      <c r="BZ26" s="63" t="str">
        <f>hyperlink("https://www.somafilmfestival.com/", "SOMA Film Festival")</f>
        <v>SOMA Film Festival</v>
      </c>
      <c r="CE26" s="43" t="s">
        <v>50</v>
      </c>
      <c r="CF26" s="45"/>
      <c r="CG26" s="45"/>
      <c r="CH26" s="47" t="str">
        <f>hyperlink("https://www.gmffestival.org/ ", "Green Mountain Film Festival")</f>
        <v>Green Mountain Film Festival</v>
      </c>
      <c r="CN26" s="43" t="s">
        <v>50</v>
      </c>
      <c r="CO26" s="198" t="str">
        <f>hyperlink("https://www.fullframefest.org/", "Full Frame Documentary Film Festival")</f>
        <v>Full Frame Documentary Film Festival</v>
      </c>
      <c r="CS26" s="43" t="s">
        <v>50</v>
      </c>
      <c r="CT26" s="45"/>
      <c r="CU26" s="45"/>
      <c r="CV26" s="45"/>
      <c r="CW26" s="45"/>
      <c r="CX26" s="45"/>
      <c r="CY26" s="45"/>
      <c r="CZ26" s="45"/>
      <c r="DA26" s="45"/>
      <c r="DB26" s="47" t="str">
        <f>hyperlink("https://tallahasseefilmfestival.com/", "Tallahassee Film Festival")</f>
        <v>Tallahassee Film Festival</v>
      </c>
      <c r="DG26" s="43" t="s">
        <v>50</v>
      </c>
      <c r="DH26" s="47" t="str">
        <f>hyperlink("http://www.myrtlebeachfilmfestival.com/", "Myrtle Beach International Film Festival")</f>
        <v>Myrtle Beach International Film Festival</v>
      </c>
      <c r="DM26" s="43" t="s">
        <v>50</v>
      </c>
      <c r="DN26" s="102" t="str">
        <f>hyperlink("http://www.iaac.us/", "New York Indian Film Festival")</f>
        <v>New York Indian Film Festival</v>
      </c>
      <c r="DU26" s="43" t="s">
        <v>50</v>
      </c>
      <c r="DV26" s="45"/>
      <c r="DW26" s="45"/>
      <c r="DY26" s="63" t="str">
        <f>hyperlink("http://www.longleaffilmfestival.com/", "Longleaf Film Festival")</f>
        <v>Longleaf Film Festival</v>
      </c>
      <c r="EA26" s="43" t="s">
        <v>50</v>
      </c>
      <c r="EH26" s="76" t="str">
        <f>hyperlink("https://namimiami.org/", "Reel Minds: Miami Mental Health Film Festival")</f>
        <v>Reel Minds: Miami Mental Health Film Festival</v>
      </c>
      <c r="EI26" s="43" t="s">
        <v>50</v>
      </c>
      <c r="EZ26" s="45"/>
      <c r="FF26" s="45"/>
      <c r="FG26" s="110" t="str">
        <f>hyperlink("http://sfbff.org/wordpress/", "San Francisco Black Film Festival")</f>
        <v>San Francisco Black Film Festival</v>
      </c>
      <c r="FK26" s="43" t="s">
        <v>50</v>
      </c>
      <c r="FO26" s="45"/>
      <c r="FS26" s="45"/>
      <c r="JH26" s="180" t="str">
        <f>hyperlink("https://nolahff.com", "NOLA Horror Film Fest")</f>
        <v>NOLA Horror Film Fest</v>
      </c>
      <c r="JL26" s="43" t="s">
        <v>50</v>
      </c>
      <c r="JN26" s="45"/>
      <c r="JP26" s="63" t="str">
        <f>hyperlink("https://www.raleighfilmandartfestival.com/", "Raleigh Film &amp; Art Festival")</f>
        <v>Raleigh Film &amp; Art Festival</v>
      </c>
      <c r="JS26" s="43" t="s">
        <v>50</v>
      </c>
      <c r="JU26" s="45"/>
      <c r="JV26" s="63" t="str">
        <f>hyperlink("http://www.bendfilm.org/", "BendFilm Festival")</f>
        <v>BendFilm Festival</v>
      </c>
      <c r="JZ26" s="43" t="s">
        <v>50</v>
      </c>
      <c r="KA26" s="63" t="str">
        <f>hyperlink("https://sdfilmfest.com/", "San Diego International Film Festival")</f>
        <v>San Diego International Film Festival</v>
      </c>
      <c r="KG26" s="43" t="s">
        <v>50</v>
      </c>
      <c r="KH26" s="45"/>
      <c r="KI26" s="45"/>
      <c r="KJ26" s="47" t="str">
        <f>hyperlink("https://wwfilmfest.com/", "Washington West International Film Festival")</f>
        <v>Washington West International Film Festival</v>
      </c>
      <c r="KO26" s="43" t="s">
        <v>50</v>
      </c>
      <c r="KY26" s="63" t="str">
        <f>hyperlink("https://www.aiffest.org/", "Arlington International Film Festival")</f>
        <v>Arlington International Film Festival</v>
      </c>
      <c r="LC26" s="43" t="s">
        <v>50</v>
      </c>
      <c r="LD26" s="45"/>
      <c r="LE26" s="76" t="str">
        <f>hyperlink("https://filmpittsburgh.org", "Pittsburgh Shorts Film Festival")</f>
        <v>Pittsburgh Shorts Film Festival</v>
      </c>
      <c r="LJ26" s="43" t="s">
        <v>50</v>
      </c>
      <c r="NB26" s="90"/>
    </row>
    <row r="27">
      <c r="A27" s="370" t="s">
        <v>90</v>
      </c>
      <c r="AS27" s="110" t="str">
        <f>hyperlink("https://hayti.org/", "Hayti Heritage Film Festival")</f>
        <v>Hayti Heritage Film Festival</v>
      </c>
      <c r="AV27" s="43" t="s">
        <v>50</v>
      </c>
      <c r="AW27" s="45"/>
      <c r="AZ27" s="86" t="str">
        <f>hyperlink("https://crwp.net/", "Downstream Film Festival")</f>
        <v>Downstream Film Festival</v>
      </c>
      <c r="BC27" s="43" t="s">
        <v>50</v>
      </c>
      <c r="BD27" s="45"/>
      <c r="BE27" s="45"/>
      <c r="BH27" s="63" t="str">
        <f>hyperlink("http://destinycityfilmfestival.com/", "Destiny City Film Festival")</f>
        <v>Destiny City Film Festival</v>
      </c>
      <c r="BK27" s="43" t="s">
        <v>50</v>
      </c>
      <c r="BL27" s="45"/>
      <c r="BO27" s="125" t="str">
        <f>hyperlink("http://historiccapitolhill.com/okcine-latino", "Oklahoma Cine Latino Film Festival")</f>
        <v>Oklahoma Cine Latino Film Festival</v>
      </c>
      <c r="BQ27" s="43" t="s">
        <v>50</v>
      </c>
      <c r="BR27" s="45"/>
      <c r="BZ27" s="58" t="str">
        <f>hyperlink("https://www.ratedsrfilms.org/", "SR Socially Relevant Film Festival")</f>
        <v>SR Socially Relevant Film Festival</v>
      </c>
      <c r="CE27" s="43" t="s">
        <v>50</v>
      </c>
      <c r="CF27" s="83" t="str">
        <f>hyperlink("http://conservationfilmfest.org/", "American Conservation Film Festival")</f>
        <v>American Conservation Film Festival</v>
      </c>
      <c r="CK27" s="43" t="s">
        <v>50</v>
      </c>
      <c r="CL27" s="45"/>
      <c r="CM27" s="45"/>
      <c r="CN27" s="45"/>
      <c r="CO27" s="47" t="str">
        <f>hyperlink("www.sleepinggiantfest.com", "Sleeping Giant Fest")</f>
        <v>Sleeping Giant Fest</v>
      </c>
      <c r="CS27" s="43" t="s">
        <v>50</v>
      </c>
      <c r="CU27" s="45"/>
      <c r="DB27" s="58" t="str">
        <f>hyperlink("http://www.ebertfest.com/", "Ebert Fest")</f>
        <v>Ebert Fest</v>
      </c>
      <c r="DF27" s="43" t="s">
        <v>50</v>
      </c>
      <c r="DG27" s="45"/>
      <c r="DH27" s="47" t="str">
        <f>hyperlink("http://www.barebonesfilmfestival.org/", "Bare Bones International Film &amp; Music Festival")</f>
        <v>Bare Bones International Film &amp; Music Festival</v>
      </c>
      <c r="DN27" s="43" t="s">
        <v>50</v>
      </c>
      <c r="DP27" s="47" t="str">
        <f>hyperlink("https://mdfilmfest.com/", "Maryland Film Festival")</f>
        <v>Maryland Film Festival</v>
      </c>
      <c r="DU27" s="43" t="s">
        <v>50</v>
      </c>
      <c r="DW27" s="45"/>
      <c r="EZ27" s="45"/>
      <c r="FF27" s="45"/>
      <c r="FG27" s="63" t="str">
        <f>hyperlink("https://vbwff.com/", "Vero Beach Wine + Film Festival")</f>
        <v>Vero Beach Wine + Film Festival</v>
      </c>
      <c r="FK27" s="43" t="s">
        <v>50</v>
      </c>
      <c r="FL27" s="45"/>
      <c r="FM27" s="45"/>
      <c r="JH27" s="63" t="str">
        <f>hyperlink("http://www.ptfilmfest.com/", "Port Townsend Film Festival")</f>
        <v>Port Townsend Film Festival</v>
      </c>
      <c r="JL27" s="43" t="s">
        <v>50</v>
      </c>
      <c r="JN27" s="45"/>
      <c r="JP27" s="58" t="str">
        <f>hyperlink("https://www.thewildbunchfilmfestival.com/", "Wild Bunch Film Festival, The ")</f>
        <v>Wild Bunch Film Festival, The </v>
      </c>
      <c r="JS27" s="43" t="s">
        <v>50</v>
      </c>
      <c r="JU27" s="45"/>
      <c r="JV27" s="58" t="str">
        <f>hyperlink("https://doubleexposurefestival.com", "Double Exposure Film Festival")</f>
        <v>Double Exposure Film Festival</v>
      </c>
      <c r="JZ27" s="43" t="s">
        <v>50</v>
      </c>
      <c r="KA27" s="63" t="str">
        <f>hyperlink("https://www.santacruzfilmfestival.org/", "Santa Cruz Film Festival")</f>
        <v>Santa Cruz Film Festival</v>
      </c>
      <c r="KG27" s="43" t="s">
        <v>50</v>
      </c>
      <c r="KH27" s="45"/>
      <c r="KI27" s="47" t="str">
        <f>hyperlink("http://www.niffhouston.org", "NiFF Houston International Film Festival")</f>
        <v>NiFF Houston International Film Festival</v>
      </c>
      <c r="KM27" s="43" t="s">
        <v>50</v>
      </c>
      <c r="KO27" s="45"/>
      <c r="KY27" s="63" t="str">
        <f>hyperlink("http://www.crossroadsfilmfestival.com/", "Crossroads Film Festival")</f>
        <v>Crossroads Film Festival</v>
      </c>
      <c r="LC27" s="43" t="s">
        <v>50</v>
      </c>
      <c r="LD27" s="45"/>
      <c r="LE27" s="58" t="str">
        <f>hyperlink("http://www.soundunseen.com/", "Sound Unseen")</f>
        <v>Sound Unseen</v>
      </c>
      <c r="LJ27" s="43" t="s">
        <v>50</v>
      </c>
      <c r="NB27" s="90"/>
    </row>
    <row r="28">
      <c r="A28" s="372" t="s">
        <v>91</v>
      </c>
      <c r="AT28" s="108" t="str">
        <f>hyperlink("https://miscifi.com/", "Miami International Science Fiction Film Festival")</f>
        <v>Miami International Science Fiction Film Festival</v>
      </c>
      <c r="AW28" s="43" t="s">
        <v>50</v>
      </c>
      <c r="AZ28" s="63" t="str">
        <f>hyperlink("http://www.nacogdochesfilmfestival.com", "Nacogdoches Film Festival")</f>
        <v>Nacogdoches Film Festival</v>
      </c>
      <c r="BC28" s="43" t="s">
        <v>50</v>
      </c>
      <c r="BD28" s="45"/>
      <c r="BE28" s="45"/>
      <c r="BH28" s="108" t="str">
        <f>hyperlink("http://mysticon-va.com/", "MystiCon Independent Film Festival")</f>
        <v>MystiCon Independent Film Festival</v>
      </c>
      <c r="BK28" s="43" t="s">
        <v>50</v>
      </c>
      <c r="BL28" s="45"/>
      <c r="BO28" s="76" t="str">
        <f>hyperlink("https://www.spenational.org/spe-media-festival ", "SPE Media Festival")</f>
        <v>SPE Media Festival</v>
      </c>
      <c r="BQ28" s="43" t="s">
        <v>50</v>
      </c>
      <c r="BR28" s="45"/>
      <c r="BZ28" s="63" t="str">
        <f>hyperlink("https://sunvalleyfilmfestival.org/", "Sun Valley Film Festival")</f>
        <v>Sun Valley Film Festival</v>
      </c>
      <c r="CE28" s="43" t="s">
        <v>50</v>
      </c>
      <c r="CF28" s="45"/>
      <c r="CG28" s="154" t="str">
        <f>hyperlink("http://bostonunderground.org/", "Boston Underground Film Festival")</f>
        <v>Boston Underground Film Festival</v>
      </c>
      <c r="CL28" s="43" t="s">
        <v>50</v>
      </c>
      <c r="CM28" s="45"/>
      <c r="CN28" s="45"/>
      <c r="CO28" s="247" t="str">
        <f>hyperlink("http://www.sonscreen.com/", "SONscreen Film Festival")</f>
        <v>SONscreen Film Festival</v>
      </c>
      <c r="CR28" s="43" t="s">
        <v>50</v>
      </c>
      <c r="CU28" s="45"/>
      <c r="CV28" s="45"/>
      <c r="CW28" s="45"/>
      <c r="CX28" s="45"/>
      <c r="CY28" s="45"/>
      <c r="CZ28" s="45"/>
      <c r="DA28" s="45"/>
      <c r="DB28" s="94" t="str">
        <f>hyperlink("https://www.sfc.edu/academics/undergraduate/communicationarts/womensfilmfest", "St. Francis College's Women's Film Festival ")</f>
        <v>St. Francis College's Women's Film Festival </v>
      </c>
      <c r="DF28" s="43" t="s">
        <v>50</v>
      </c>
      <c r="DG28" s="45"/>
      <c r="DH28" s="63" t="str">
        <f>hyperlink("https://www.rvafilmfestival.com/", "Richmond International Film Festival")</f>
        <v>Richmond International Film Festival</v>
      </c>
      <c r="DN28" s="43" t="s">
        <v>50</v>
      </c>
      <c r="DO28" s="45"/>
      <c r="DP28" s="63" t="str">
        <f>hyperlink("http://bentonv...festival.com/", "Bentonville Film Festival")</f>
        <v>Bentonville Film Festival</v>
      </c>
      <c r="DT28" s="43" t="s">
        <v>50</v>
      </c>
      <c r="DU28" s="45"/>
      <c r="DW28" s="45"/>
      <c r="FF28" s="45"/>
      <c r="FG28" s="63" t="str">
        <f>hyperlink("http://rochesterfilmfest.org/", "Rochester International Film Festival")</f>
        <v>Rochester International Film Festival</v>
      </c>
      <c r="FJ28" s="43" t="s">
        <v>50</v>
      </c>
      <c r="FK28" s="63" t="str">
        <f>hyperlink("http://www.fwindie.com/", "Fort Worth Indie Film Showcase")</f>
        <v>Fort Worth Indie Film Showcase</v>
      </c>
      <c r="FO28" s="43" t="s">
        <v>50</v>
      </c>
      <c r="JH28" s="86" t="str">
        <f>hyperlink("http://www.portlandecofilmfest.org/", "Portland Eco Film Festival")</f>
        <v>Portland Eco Film Festival</v>
      </c>
      <c r="JL28" s="43" t="s">
        <v>50</v>
      </c>
      <c r="JN28" s="45"/>
      <c r="JP28" s="63" t="str">
        <f>hyperlink("http://www.lakecharlesfilmfestival.com/index.html", "Lake Charles Film &amp; Music Festival")</f>
        <v>Lake Charles Film &amp; Music Festival</v>
      </c>
      <c r="JR28" s="43" t="s">
        <v>50</v>
      </c>
      <c r="JU28" s="45"/>
      <c r="JV28" s="63" t="str">
        <f>hyperlink("https://www.flywayfilmfestival.org/", "Flyway Film Festival")</f>
        <v>Flyway Film Festival</v>
      </c>
      <c r="JZ28" s="43" t="s">
        <v>50</v>
      </c>
      <c r="KA28" s="63" t="str">
        <f>hyperlink("https://www.senefest.com/", "SENE Film Festival")</f>
        <v>SENE Film Festival</v>
      </c>
      <c r="KF28" s="43" t="s">
        <v>50</v>
      </c>
      <c r="KG28" s="45"/>
      <c r="KH28" s="45"/>
      <c r="KI28" s="98" t="str">
        <f>hyperlink("http://www.tcbff.org/", "Twin Cities Black Film Festival")</f>
        <v>Twin Cities Black Film Festival</v>
      </c>
      <c r="KM28" s="43" t="s">
        <v>50</v>
      </c>
      <c r="KY28" s="63" t="str">
        <f>hyperlink("http://spiffest.org/", "San Pedro International Film Festival")</f>
        <v>San Pedro International Film Festival</v>
      </c>
      <c r="LC28" s="43" t="s">
        <v>50</v>
      </c>
      <c r="LD28" s="45"/>
      <c r="LE28" s="63" t="str">
        <f>hyperlink("http://wegafilm.com/", "Weyauwega International Film Festival")</f>
        <v>Weyauwega International Film Festival</v>
      </c>
      <c r="LI28" s="43" t="s">
        <v>50</v>
      </c>
      <c r="NB28" s="90"/>
    </row>
    <row r="29">
      <c r="A29" s="375"/>
      <c r="AT29" s="76" t="str">
        <f>hyperlink("https://info.filmfestivalcircuit.com/oregon-short-film-festival", "Oregon Short Film Festival")</f>
        <v>Oregon Short Film Festival</v>
      </c>
      <c r="AW29" s="43" t="s">
        <v>50</v>
      </c>
      <c r="BA29" s="63" t="str">
        <f>hyperlink("http://www.cinemaattheedge.com/", "Cinema at the Edge Independent Film Festival (CATE)")</f>
        <v>Cinema at the Edge Independent Film Festival (CATE)</v>
      </c>
      <c r="BD29" s="43" t="s">
        <v>50</v>
      </c>
      <c r="BH29" s="108" t="str">
        <f>hyperlink("http://www.carolinatheatre.org/films/festivals/nevermore", "Nevermore Film Festival")</f>
        <v>Nevermore Film Festival</v>
      </c>
      <c r="BK29" s="43" t="s">
        <v>50</v>
      </c>
      <c r="BL29" s="45"/>
      <c r="BP29" s="294" t="str">
        <f>hyperlink("http://www.christianyouthfilmfestival.org/", "Chistian Youth Film Festival")</f>
        <v>Chistian Youth Film Festival</v>
      </c>
      <c r="BR29" s="43" t="s">
        <v>50</v>
      </c>
      <c r="CA29" s="243" t="str">
        <f>hyperlink("http://www.diyds.org", "Do It Your Damn Self National Youth Film Festival")</f>
        <v>Do It Your Damn Self National Youth Film Festival</v>
      </c>
      <c r="CD29" s="43" t="s">
        <v>50</v>
      </c>
      <c r="CE29" s="47" t="str">
        <f>hyperlink("http://www.nyciff.com/", "New York City International Film Festival")</f>
        <v>New York City International Film Festival</v>
      </c>
      <c r="CJ29" s="43" t="s">
        <v>50</v>
      </c>
      <c r="CN29" s="98" t="str">
        <f>hyperlink("http://www.bherc.org", "Sistas Are Doing It For Themselves")</f>
        <v>Sistas Are Doing It For Themselves</v>
      </c>
      <c r="CO29" s="43" t="s">
        <v>50</v>
      </c>
      <c r="CP29" s="58" t="str">
        <f>hyperlink("http://www.umfilms.org", "Universe Multicultural Film Festival")</f>
        <v>Universe Multicultural Film Festival</v>
      </c>
      <c r="CS29" s="43" t="s">
        <v>50</v>
      </c>
      <c r="CU29" s="45"/>
      <c r="DB29" s="45"/>
      <c r="DC29" s="63" t="str">
        <f>hyperlink("http://www.ashlandfilm.org/", "Ashland Independent Film Festival")</f>
        <v>Ashland Independent Film Festival</v>
      </c>
      <c r="DH29" s="43" t="s">
        <v>50</v>
      </c>
      <c r="DI29" s="139" t="str">
        <f>hyperlink("https://freepfilmfestival.com/", "Freep Film Festival")</f>
        <v>Freep Film Festival</v>
      </c>
      <c r="DN29" s="43" t="s">
        <v>50</v>
      </c>
      <c r="DO29" s="45"/>
      <c r="DP29" s="45"/>
      <c r="DQ29" s="139" t="str">
        <f>hyperlink("https://www.doclands.com/", "Doclands Documentary Film Festival")</f>
        <v>Doclands Documentary Film Festival</v>
      </c>
      <c r="DU29" s="43" t="s">
        <v>50</v>
      </c>
      <c r="DV29" s="45"/>
      <c r="DY29" s="45"/>
      <c r="FF29" s="45"/>
      <c r="FH29" s="76" t="str">
        <f>hyperlink("http://lancastershortfilmfest.com/", "Lancaster International Short Film Festival")</f>
        <v>Lancaster International Short Film Festival</v>
      </c>
      <c r="FJ29" s="43" t="s">
        <v>50</v>
      </c>
      <c r="JH29" s="63" t="str">
        <f>hyperlink("http://www.flatlandfilm.org/", "Flatland Film Festival")</f>
        <v>Flatland Film Festival</v>
      </c>
      <c r="JK29" s="43" t="s">
        <v>50</v>
      </c>
      <c r="JL29" s="45"/>
      <c r="JN29" s="45"/>
      <c r="JT29" s="45"/>
      <c r="JV29" s="63" t="str">
        <f>hyperlink("www.montanafilmfestival.org", "Montana Film Festival")</f>
        <v>Montana Film Festival</v>
      </c>
      <c r="JZ29" s="43" t="s">
        <v>50</v>
      </c>
      <c r="KA29" s="108" t="str">
        <f>hyperlink("https://www.thrillerchiller.com", "Thriller! Chiller!")</f>
        <v>Thriller! Chiller!</v>
      </c>
      <c r="KF29" s="43" t="s">
        <v>50</v>
      </c>
      <c r="KG29" s="45"/>
      <c r="KI29" s="45"/>
      <c r="KJ29" s="63" t="str">
        <f>hyperlink("https://www.thefoodfilmfestival.com/", "Food Film Festival, The")</f>
        <v>Food Film Festival, The</v>
      </c>
      <c r="KN29" s="43" t="s">
        <v>50</v>
      </c>
      <c r="KY29" s="139" t="str">
        <f>hyperlink("http://www.docufest.com/", "Atlanta DocuFest")</f>
        <v>Atlanta DocuFest</v>
      </c>
      <c r="LB29" s="43" t="s">
        <v>50</v>
      </c>
      <c r="LD29" s="45"/>
      <c r="LF29" s="63" t="str">
        <f>hyperlink("https://www.fairhopefilmfestival.org/", "Fairhope Film Festival")</f>
        <v>Fairhope Film Festival</v>
      </c>
      <c r="LJ29" s="43" t="s">
        <v>50</v>
      </c>
      <c r="NB29" s="90"/>
    </row>
    <row r="30">
      <c r="A30" s="375"/>
      <c r="AT30" s="76" t="str">
        <f>hyperlink("http://www.cometosisterbay.com/festivals-and-events/door-county-short-film-fest/", "Door County Short Film Festival")</f>
        <v>Door County Short Film Festival</v>
      </c>
      <c r="AV30" s="43" t="s">
        <v>50</v>
      </c>
      <c r="BA30" s="108" t="str">
        <f>hyperlink("http://www.connooga.com", "Con Nooga Film Festival")</f>
        <v>Con Nooga Film Festival</v>
      </c>
      <c r="BD30" s="43" t="s">
        <v>50</v>
      </c>
      <c r="BE30" s="45"/>
      <c r="BH30" s="76" t="str">
        <f>hyperlink("https://pensacon.com/events/short-film-festival/", "Pensacon Short Film Festival")</f>
        <v>Pensacon Short Film Festival</v>
      </c>
      <c r="BK30" s="43" t="s">
        <v>50</v>
      </c>
      <c r="BL30" s="45"/>
      <c r="BP30" s="47" t="str">
        <f>hyperlink("https://www.irvinefilmfest.com/", "Irvine International Film Festival")</f>
        <v>Irvine International Film Festival</v>
      </c>
      <c r="BQ30" s="43" t="s">
        <v>50</v>
      </c>
      <c r="CA30" s="239" t="str">
        <f>hyperlink("http://www.glasanimation.com/", "GLAS Animation Film Festival")</f>
        <v>GLAS Animation Film Festival</v>
      </c>
      <c r="CE30" s="43" t="s">
        <v>50</v>
      </c>
      <c r="CF30" s="45"/>
      <c r="CG30" s="47" t="str">
        <f>hyperlink("http://www.sonomafilmfest.org/", "Sonoma International Film Festival")</f>
        <v>Sonoma International Film Festival</v>
      </c>
      <c r="CL30" s="43" t="s">
        <v>50</v>
      </c>
      <c r="CM30" s="45"/>
      <c r="CP30" s="63" t="str">
        <f>hyperlink("http://www.azaleafilmfestival.com", "Azalea Film Festival")</f>
        <v>Azalea Film Festival</v>
      </c>
      <c r="CR30" s="43" t="s">
        <v>50</v>
      </c>
      <c r="CS30" s="45"/>
      <c r="CU30" s="45"/>
      <c r="DC30" s="205" t="str">
        <f>hyperlink("http://www.cascadiafilmfest.org/", "CASCADIA International Women's Film Festival")</f>
        <v>CASCADIA International Women's Film Festival</v>
      </c>
      <c r="DG30" s="43" t="s">
        <v>50</v>
      </c>
      <c r="DI30" s="63" t="str">
        <f>hyperlink("http://julienfilmfest.com/", "Julien Dubuque International Film Festival ")</f>
        <v>Julien Dubuque International Film Festival </v>
      </c>
      <c r="DN30" s="43" t="s">
        <v>50</v>
      </c>
      <c r="DP30" s="45"/>
      <c r="DQ30" s="129" t="str">
        <f>hyperlink("http://www.filmoutsandiego.com", "FilmOut San Diego LGBTQ+ Film Festival")</f>
        <v>FilmOut San Diego LGBTQ+ Film Festival</v>
      </c>
      <c r="DU30" s="43" t="s">
        <v>50</v>
      </c>
      <c r="DV30" s="45"/>
      <c r="FF30" s="45"/>
      <c r="FI30" s="63" t="str">
        <f>hyperlink("http://www.smokymountainfilmfest.com/", "Smoky Mountains Film Festival")</f>
        <v>Smoky Mountains Film Festival</v>
      </c>
      <c r="FJ30" s="43" t="s">
        <v>50</v>
      </c>
      <c r="JH30" s="160" t="str">
        <f>hyperlink("http://www.nativisions.com/", "NatiVisions Film Festival")</f>
        <v>NatiVisions Film Festival</v>
      </c>
      <c r="JK30" s="43" t="s">
        <v>50</v>
      </c>
      <c r="JL30" s="45"/>
      <c r="JN30" s="45"/>
      <c r="JT30" s="45"/>
      <c r="JV30" s="162" t="str">
        <f>hyperlink("http://www.spookyfest.com/", "Spooky Movie International Horror Film Festival")</f>
        <v>Spooky Movie International Horror Film Festival</v>
      </c>
      <c r="JZ30" s="43" t="s">
        <v>50</v>
      </c>
      <c r="KB30" s="47" t="str">
        <f>hyperlink("http://santafeindependentfilmfestival.com/", "Santa Fe Independent Film Festival")</f>
        <v>Santa Fe Independent Film Festival</v>
      </c>
      <c r="KG30" s="43" t="s">
        <v>50</v>
      </c>
      <c r="KH30" s="45"/>
      <c r="KI30" s="45"/>
      <c r="KJ30" s="47" t="str">
        <f>hyperlink("http://www.indiefestusa.us/", "Indie Fest USA International Film Festival")</f>
        <v>Indie Fest USA International Film Festival</v>
      </c>
      <c r="KN30" s="43" t="s">
        <v>50</v>
      </c>
      <c r="KY30" s="63" t="str">
        <f>hyperlink("http://www.fayettevillefilmfest.org/", "Fayetteville Film Festival")</f>
        <v>Fayetteville Film Festival</v>
      </c>
      <c r="LB30" s="43" t="s">
        <v>50</v>
      </c>
      <c r="LC30" s="45"/>
      <c r="LD30" s="45"/>
      <c r="LE30" s="45"/>
      <c r="LF30" s="63" t="str">
        <f>hyperlink("http://www.riffga.com/", "Rome International Film Festival")</f>
        <v>Rome International Film Festival</v>
      </c>
      <c r="LJ30" s="43" t="s">
        <v>50</v>
      </c>
      <c r="NB30" s="90"/>
    </row>
    <row r="31">
      <c r="A31" s="375"/>
      <c r="BA31" s="60" t="str">
        <f>hyperlink("http://www.inmotionfestival.com/", "In/Motion Chicago's International Dance Film Festival")</f>
        <v>In/Motion Chicago's International Dance Film Festival</v>
      </c>
      <c r="BD31" s="43" t="s">
        <v>50</v>
      </c>
      <c r="BE31" s="45"/>
      <c r="BI31" s="76" t="str">
        <f>hyperlink("https://etheridgeproductions.com/", "15 Minutes of Fame Indie Film Festival")</f>
        <v>15 Minutes of Fame Indie Film Festival</v>
      </c>
      <c r="BJ31" s="43" t="s">
        <v>50</v>
      </c>
      <c r="BK31" s="45"/>
      <c r="BP31" s="83" t="str">
        <f>hyperlink("https://www.lttv.org/les-bois-film-festival/", "Les Bois Film Festival")</f>
        <v>Les Bois Film Festival</v>
      </c>
      <c r="BQ31" s="43" t="s">
        <v>50</v>
      </c>
      <c r="CA31" s="125" t="str">
        <f>hyperlink("https://houstonlatinofilmfestival.org/", "Houston Latino Film Festival")</f>
        <v>Houston Latino Film Festival</v>
      </c>
      <c r="CE31" s="43" t="s">
        <v>50</v>
      </c>
      <c r="CF31" s="45"/>
      <c r="CG31" s="45"/>
      <c r="CI31" s="139" t="str">
        <f>hyperlink("https://www.americandocumentaryfilmfestival.com/", "American Documentary and Animation Film Festival")</f>
        <v>American Documentary and Animation Film Festival</v>
      </c>
      <c r="CN31" s="43" t="s">
        <v>50</v>
      </c>
      <c r="CP31" s="63" t="str">
        <f>hyperlink("http://www.crifm.org/", "Cedar Rapids Independent Film Festival")</f>
        <v>Cedar Rapids Independent Film Festival</v>
      </c>
      <c r="CR31" s="43" t="s">
        <v>50</v>
      </c>
      <c r="CU31" s="45"/>
      <c r="DC31" s="47" t="str">
        <f>hyperlink("https://www.chattfilmfest.org/", "Chattanooga Film Festival")</f>
        <v>Chattanooga Film Festival</v>
      </c>
      <c r="DG31" s="43" t="s">
        <v>50</v>
      </c>
      <c r="DI31" s="63" t="str">
        <f>hyperlink("http://www.usafilmfestival.com/", "USA Film Festival")</f>
        <v>USA Film Festival</v>
      </c>
      <c r="DN31" s="43" t="s">
        <v>50</v>
      </c>
      <c r="DO31" s="45"/>
      <c r="DP31" s="45"/>
      <c r="DQ31" s="63" t="str">
        <f>hyperlink("http://www.greenwichfilm.org/", "Greenwich International Film Festival")</f>
        <v>Greenwich International Film Festival</v>
      </c>
      <c r="DU31" s="43" t="s">
        <v>50</v>
      </c>
      <c r="DW31" s="45"/>
      <c r="FC31" s="45"/>
      <c r="FF31" s="45"/>
      <c r="JH31" s="58" t="str">
        <f>hyperlink("https://womensportsfilm.com", "Women Sports Film Festival")</f>
        <v>Women Sports Film Festival</v>
      </c>
      <c r="JK31" s="43" t="s">
        <v>50</v>
      </c>
      <c r="JN31" s="45"/>
      <c r="JT31" s="45"/>
      <c r="JU31" s="45"/>
      <c r="JW31" s="243" t="str">
        <f>hyperlink("https://www.hsfilmfest.com/", "All American High School Film Festival")</f>
        <v>All American High School Film Festival</v>
      </c>
      <c r="JZ31" s="43" t="s">
        <v>50</v>
      </c>
      <c r="KB31" s="47" t="str">
        <f>hyperlink("http://tallgrassfilmfest.com/", "Tallgrass Film Festival")</f>
        <v>Tallgrass Film Festival</v>
      </c>
      <c r="KG31" s="43" t="s">
        <v>50</v>
      </c>
      <c r="KJ31" s="96" t="str">
        <f>hyperlink("http://www.kaffny.org", "KAFFNY Infinite Cinema")</f>
        <v>KAFFNY Infinite Cinema</v>
      </c>
      <c r="KN31" s="43" t="s">
        <v>50</v>
      </c>
      <c r="KY31" s="63" t="str">
        <f>hyperlink("http://louisvillefilmfestival.org/", "Louisville's International Festival of Films")</f>
        <v>Louisville's International Festival of Films</v>
      </c>
      <c r="LB31" s="43" t="s">
        <v>50</v>
      </c>
      <c r="LC31" s="45"/>
      <c r="LD31" s="45"/>
      <c r="LE31" s="45"/>
      <c r="LF31" s="129" t="str">
        <f>hyperlink("http://sftff.org/", "San Francisco Transgender Film Festival")</f>
        <v>San Francisco Transgender Film Festival</v>
      </c>
      <c r="LJ31" s="43" t="s">
        <v>50</v>
      </c>
      <c r="NB31" s="90"/>
    </row>
    <row r="32">
      <c r="BA32" s="76" t="str">
        <f>hyperlink("http://mcminnvillefilmfest.org/", "McMinnville Short Film Festival")</f>
        <v>McMinnville Short Film Festival</v>
      </c>
      <c r="BD32" s="43" t="s">
        <v>50</v>
      </c>
      <c r="BK32" s="45"/>
      <c r="BP32" s="76" t="str">
        <f>hyperlink("https://www.sundialfilmfestival.com/", "Sundial Film Festival")</f>
        <v>Sundial Film Festival</v>
      </c>
      <c r="BQ32" s="43" t="s">
        <v>50</v>
      </c>
      <c r="CA32" s="106" t="str">
        <f>hyperlink("http://www.irishfilmfestival.com/", "Irish Film Festival Boston")</f>
        <v>Irish Film Festival Boston</v>
      </c>
      <c r="CE32" s="43" t="s">
        <v>50</v>
      </c>
      <c r="CF32" s="45"/>
      <c r="CG32" s="47" t="str">
        <f>hyperlink("http://www.gsff.org/", "Garden State Film Festival")</f>
        <v>Garden State Film Festival</v>
      </c>
      <c r="CK32" s="43" t="s">
        <v>50</v>
      </c>
      <c r="CL32" s="45"/>
      <c r="CP32" s="243" t="str">
        <f>hyperlink("https://centralfilmfest.org/", "Central Film Festival")</f>
        <v>Central Film Festival</v>
      </c>
      <c r="CR32" s="43" t="s">
        <v>50</v>
      </c>
      <c r="CT32" s="45"/>
      <c r="DA32" s="45"/>
      <c r="DC32" s="129" t="str">
        <f>hyperlink("http://www.clexacon.com", "ClexaCon Film Festival")</f>
        <v>ClexaCon Film Festival</v>
      </c>
      <c r="DG32" s="43" t="s">
        <v>50</v>
      </c>
      <c r="DK32" s="76" t="str">
        <f>hyperlink("http://hsufilmfestival.com/", "Humboldt International Film Festival")</f>
        <v>Humboldt International Film Festival</v>
      </c>
      <c r="DP32" s="43" t="s">
        <v>50</v>
      </c>
      <c r="DQ32" s="63" t="str">
        <f>hyperlink("http://www.boomtownfestival.com/wordpress", "Boomtown Film &amp; Music Festival")</f>
        <v>Boomtown Film &amp; Music Festival</v>
      </c>
      <c r="DT32" s="43" t="s">
        <v>50</v>
      </c>
      <c r="DX32" s="45"/>
      <c r="FF32" s="45"/>
      <c r="JI32" s="205" t="str">
        <f>hyperlink("https://www.imaginethisprods.com/", "Imagine This Women's International Film Festival")</f>
        <v>Imagine This Women's International Film Festival</v>
      </c>
      <c r="JL32" s="43" t="s">
        <v>50</v>
      </c>
      <c r="JN32" s="45"/>
      <c r="JU32" s="45"/>
      <c r="JW32" s="108" t="str">
        <f>hyperlink("http://www.alfilmfest.com/", "Apocalypse Later International Fantastic Film Festival")</f>
        <v>Apocalypse Later International Fantastic Film Festival</v>
      </c>
      <c r="JZ32" s="43" t="s">
        <v>50</v>
      </c>
      <c r="KB32" s="45"/>
      <c r="KC32" s="63" t="str">
        <f>hyperlink("http://www.adkfilmfestival.org/", "Adirondack Film Festival")</f>
        <v>Adirondack Film Festival</v>
      </c>
      <c r="KG32" s="43" t="s">
        <v>50</v>
      </c>
      <c r="KI32" s="45"/>
      <c r="KJ32" s="63" t="str">
        <f>hyperlink("https://artisnaples.org/naples-international-film-festival/", "Naples International Film Festival")</f>
        <v>Naples International Film Festival</v>
      </c>
      <c r="KN32" s="43" t="s">
        <v>50</v>
      </c>
      <c r="KZ32" s="63" t="str">
        <f>hyperlink("http://goldengateinternationalfilmfestival.com/", "Golden Gate International Film Festival")</f>
        <v>Golden Gate International Film Festival</v>
      </c>
      <c r="LC32" s="43" t="s">
        <v>50</v>
      </c>
      <c r="LE32" s="45"/>
      <c r="LF32" s="63" t="str">
        <f>hyperlink("http://shermanoaksfilmfestival.com/", "Sherman Oaks Film Festival")</f>
        <v>Sherman Oaks Film Festival</v>
      </c>
      <c r="LJ32" s="43" t="s">
        <v>50</v>
      </c>
      <c r="NB32" s="90"/>
    </row>
    <row r="33">
      <c r="A33" s="390"/>
      <c r="BA33" s="110" t="str">
        <f>hyperlink("http://glentheater.wixsite.com/billjohnsonfilm", "Bill Johnson Black Film Festival")</f>
        <v>Bill Johnson Black Film Festival</v>
      </c>
      <c r="BC33" s="43" t="s">
        <v>50</v>
      </c>
      <c r="BD33" s="45"/>
      <c r="CA33" s="63" t="str">
        <f>hyperlink("http://tmvff.org/", "Martha's Vinyard Film Festival")</f>
        <v>Martha's Vinyard Film Festival</v>
      </c>
      <c r="CE33" s="43" t="s">
        <v>50</v>
      </c>
      <c r="CF33" s="45"/>
      <c r="CG33" s="45"/>
      <c r="CH33" s="63" t="str">
        <f>hyperlink("http://www.ann...festival.net/", "Annapolis Film Festival")</f>
        <v>Annapolis Film Festival</v>
      </c>
      <c r="CL33" s="43" t="s">
        <v>50</v>
      </c>
      <c r="CM33" s="45"/>
      <c r="CP33" s="76" t="str">
        <f>hyperlink("http://www.cleanshorts.org/", "Clean Shorts Film Festival")</f>
        <v>Clean Shorts Film Festival</v>
      </c>
      <c r="CR33" s="43" t="s">
        <v>50</v>
      </c>
      <c r="CS33" s="45"/>
      <c r="CU33" s="45"/>
      <c r="DA33" s="45"/>
      <c r="DB33" s="45"/>
      <c r="DC33" s="108" t="str">
        <f>hyperlink("http://www.twisteddreamsff.com", "Milwaukee Twisted Dreams Film Festival")</f>
        <v>Milwaukee Twisted Dreams Film Festival</v>
      </c>
      <c r="DG33" s="43" t="s">
        <v>50</v>
      </c>
      <c r="DI33" s="205" t="str">
        <f>hyperlink("http://www.artemisfilmfestival.com/", "Artemis Women in Action Film Festival ")</f>
        <v>Artemis Women in Action Film Festival </v>
      </c>
      <c r="DM33" s="43" t="s">
        <v>50</v>
      </c>
      <c r="DP33" s="45"/>
      <c r="DQ33" s="139" t="str">
        <f>hyperlink("https://icdocs.wordpress.com/", "Iowa City International Documentary Film Festival")</f>
        <v>Iowa City International Documentary Film Festival</v>
      </c>
      <c r="DT33" s="43" t="s">
        <v>50</v>
      </c>
      <c r="DV33" s="45"/>
      <c r="DX33" s="45"/>
      <c r="FF33" s="45"/>
      <c r="JI33" s="58" t="str">
        <f>hyperlink("https://www.maritimefilmfestival.com/", "International Maritime Film Festival")</f>
        <v>International Maritime Film Festival</v>
      </c>
      <c r="JL33" s="43" t="s">
        <v>50</v>
      </c>
      <c r="JM33" s="45"/>
      <c r="JU33" s="45"/>
      <c r="JW33" s="63" t="str">
        <f>hyperlink("http://www.firstglancefilms.com", "FirstGlance Philadelphia Film Fest")</f>
        <v>FirstGlance Philadelphia Film Fest</v>
      </c>
      <c r="JZ33" s="43" t="s">
        <v>50</v>
      </c>
      <c r="KA33" s="45"/>
      <c r="KB33" s="45"/>
      <c r="KC33" s="63" t="str">
        <f>hyperlink("https://www.bushwickfilmfestival.com/", "Bushwick Film Festival")</f>
        <v>Bushwick Film Festival</v>
      </c>
      <c r="KG33" s="43" t="s">
        <v>50</v>
      </c>
      <c r="KI33" s="45"/>
      <c r="KJ33" s="243" t="str">
        <f>hyperlink("https://www.nffty.org", "NFFTY (National Film Festival for Talented Youth)")</f>
        <v>NFFTY (National Film Festival for Talented Youth)</v>
      </c>
      <c r="KN33" s="43" t="s">
        <v>50</v>
      </c>
      <c r="KZ33" s="188" t="str">
        <f>hyperlink("http://www.sc-uff.com/", "South Carolina Underground Film Festival")</f>
        <v>South Carolina Underground Film Festival</v>
      </c>
      <c r="LC33" s="43" t="s">
        <v>50</v>
      </c>
      <c r="LF33" s="63" t="str">
        <f>hyperlink("http://southernscreen.org/", "Southern Screen Festival")</f>
        <v>Southern Screen Festival</v>
      </c>
      <c r="LJ33" s="43" t="s">
        <v>50</v>
      </c>
      <c r="NB33" s="90"/>
    </row>
    <row r="34">
      <c r="A34" s="390"/>
      <c r="BA34" s="60" t="str">
        <f>hyperlink("http://www.utahdancefilmfestival.org/", "Utah Dance Film Festival")</f>
        <v>Utah Dance Film Festival</v>
      </c>
      <c r="BC34" s="43" t="s">
        <v>50</v>
      </c>
      <c r="CA34" s="205" t="str">
        <f>hyperlink("https://www.nwffest.com/", "Nevada Women's Film Festival")</f>
        <v>Nevada Women's Film Festival</v>
      </c>
      <c r="CE34" s="43" t="s">
        <v>50</v>
      </c>
      <c r="CF34" s="45"/>
      <c r="CG34" s="45"/>
      <c r="CH34" s="63" t="str">
        <f>hyperlink("http://indiegrits.org/", "Indie Grits ")</f>
        <v>Indie Grits </v>
      </c>
      <c r="CL34" s="43" t="s">
        <v>50</v>
      </c>
      <c r="CM34" s="45"/>
      <c r="CP34" s="239" t="str">
        <f>hyperlink("http://www.difestofanim.com/", "Detroit International Festival of Animation")</f>
        <v>Detroit International Festival of Animation</v>
      </c>
      <c r="CR34" s="43" t="s">
        <v>50</v>
      </c>
      <c r="CU34" s="45"/>
      <c r="DC34" s="63" t="str">
        <f>hyperlink("http://www.vtxiff.com/", "Victoria TX Independent Film Festival, The ")</f>
        <v>Victoria TX Independent Film Festival, The </v>
      </c>
      <c r="DG34" s="43" t="s">
        <v>50</v>
      </c>
      <c r="DH34" s="45"/>
      <c r="DJ34" s="270" t="str">
        <f>hyperlink("http://www.hollywoodcomedyshortsfilmfest.com/", "Hollywood Comedy Shorts")</f>
        <v>Hollywood Comedy Shorts</v>
      </c>
      <c r="DN34" s="43" t="s">
        <v>50</v>
      </c>
      <c r="DO34" s="45"/>
      <c r="DP34" s="45"/>
      <c r="DQ34" s="63" t="str">
        <f>hyperlink("https://www.riverbendfilmfest.com/", "River Bend Film Festival")</f>
        <v>River Bend Film Festival</v>
      </c>
      <c r="DT34" s="43" t="s">
        <v>50</v>
      </c>
      <c r="DU34" s="45"/>
      <c r="DV34" s="45"/>
      <c r="DW34" s="45"/>
      <c r="FE34" s="45"/>
      <c r="FF34" s="45"/>
      <c r="JI34" s="106" t="str">
        <f>hyperlink("https://hiberniantransmedia.org/moviehooley/", "Irish American Movie Hooley")</f>
        <v>Irish American Movie Hooley</v>
      </c>
      <c r="JL34" s="43" t="s">
        <v>50</v>
      </c>
      <c r="JM34" s="45"/>
      <c r="JN34" s="45"/>
      <c r="JU34" s="45"/>
      <c r="JW34" s="63" t="str">
        <f>hyperlink("hobnobben.org", "Hobnobben Film Festival")</f>
        <v>Hobnobben Film Festival</v>
      </c>
      <c r="JZ34" s="43" t="s">
        <v>50</v>
      </c>
      <c r="KB34" s="45"/>
      <c r="KC34" s="63" t="str">
        <f>hyperlink("https://www.chelseafilm.org/", "Chelsea Film Festival")</f>
        <v>Chelsea Film Festival</v>
      </c>
      <c r="KG34" s="43" t="s">
        <v>50</v>
      </c>
      <c r="KI34" s="45"/>
      <c r="KJ34" s="162" t="str">
        <f>hyperlink("http://www.nightmaresfest.com/", "Nightmares Film Festival")</f>
        <v>Nightmares Film Festival</v>
      </c>
      <c r="KN34" s="43" t="s">
        <v>50</v>
      </c>
      <c r="KZ34" s="63" t="str">
        <f>hyperlink("http://southeasternfilm.com/", "Southeastern International Film Festival")</f>
        <v>Southeastern International Film Festival</v>
      </c>
      <c r="LC34" s="43" t="s">
        <v>50</v>
      </c>
      <c r="LF34" s="63" t="str">
        <f>hyperlink("https://www.teaneckfilmfestival.org/", "Teaneck International Film Festival")</f>
        <v>Teaneck International Film Festival</v>
      </c>
      <c r="LJ34" s="43" t="s">
        <v>50</v>
      </c>
      <c r="NB34" s="90"/>
    </row>
    <row r="35">
      <c r="A35" s="390"/>
      <c r="BB35" s="58" t="str">
        <f>hyperlink("http://njfilmfest.com", "United States Super 8 Film and Digital Video Festival")</f>
        <v>United States Super 8 Film and Digital Video Festival</v>
      </c>
      <c r="BD35" s="43" t="s">
        <v>50</v>
      </c>
      <c r="CA35" s="63" t="str">
        <f>hyperlink("https://www.tcifilmfest.org/", "Treasure Coast International Film Festival")</f>
        <v>Treasure Coast International Film Festival</v>
      </c>
      <c r="CE35" s="43" t="s">
        <v>50</v>
      </c>
      <c r="CG35" s="45"/>
      <c r="CH35" s="139" t="str">
        <f>hyperlink("https://sebastopolfilmfestival.org/", "Sebastopol Documentary Film Festival")</f>
        <v>Sebastopol Documentary Film Festival</v>
      </c>
      <c r="CL35" s="43" t="s">
        <v>50</v>
      </c>
      <c r="CM35" s="45"/>
      <c r="CR35" s="63" t="str">
        <f>hyperlink("https://davisfilmfestival.business.site", "Davis Film Festival")</f>
        <v>Davis Film Festival</v>
      </c>
      <c r="CS35" s="43" t="s">
        <v>50</v>
      </c>
      <c r="CU35" s="45"/>
      <c r="CY35" s="45"/>
      <c r="CZ35" s="45"/>
      <c r="DA35" s="49" t="str">
        <f>hyperlink("http://ssuindiefilmfest.weebly.com/", "SSU Indie Film Festival")</f>
        <v>SSU Indie Film Festival</v>
      </c>
      <c r="DD35" s="43" t="s">
        <v>50</v>
      </c>
      <c r="DE35" s="270" t="str">
        <f>hyperlink("https://info.filmfestivalcircuit.com/houston-comedy-film-festival", "Houston Comedy Film Festival")</f>
        <v>Houston Comedy Film Festival</v>
      </c>
      <c r="DF35" s="43" t="s">
        <v>50</v>
      </c>
      <c r="DJ35" s="110" t="str">
        <f>hyperlink("http://www.lasvegasblackfilmfestival.com/", "Las Vegas Black Film Festival")</f>
        <v>Las Vegas Black Film Festival</v>
      </c>
      <c r="DN35" s="43" t="s">
        <v>50</v>
      </c>
      <c r="DP35" s="45"/>
      <c r="DQ35" s="63" t="str">
        <f>hyperlink("http://www.twisteralleyfilmfestival.com/", "Twister Alley Film Festival")</f>
        <v>Twister Alley Film Festival</v>
      </c>
      <c r="DT35" s="43" t="s">
        <v>50</v>
      </c>
      <c r="DU35" s="45"/>
      <c r="DV35" s="45"/>
      <c r="DW35" s="45"/>
      <c r="FE35" s="45"/>
      <c r="FF35" s="45"/>
      <c r="JI35" s="63" t="str">
        <f>hyperlink("https://www.revolutionmefilms.com/", "Revolution Me Film Festival")</f>
        <v>Revolution Me Film Festival</v>
      </c>
      <c r="JL35" s="43" t="s">
        <v>50</v>
      </c>
      <c r="JM35" s="45"/>
      <c r="JN35" s="45"/>
      <c r="JU35" s="45"/>
      <c r="JW35" s="63" t="str">
        <f>hyperlink("http://www.indigomoonfilmfestival.com/", "Indigo Moon Film Festival")</f>
        <v>Indigo Moon Film Festival</v>
      </c>
      <c r="JZ35" s="43" t="s">
        <v>50</v>
      </c>
      <c r="KA35" s="45"/>
      <c r="KC35" s="63" t="str">
        <f>hyperlink("http://www.valleycon.com/filmfest/", "Fargo Fantastic Film Festival")</f>
        <v>Fargo Fantastic Film Festival</v>
      </c>
      <c r="KG35" s="43" t="s">
        <v>50</v>
      </c>
      <c r="KI35" s="45"/>
      <c r="KJ35" s="76" t="str">
        <f>hyperlink("https://www.sjsff.com/", "San Jose International Short Film Festival")</f>
        <v>San Jose International Short Film Festival</v>
      </c>
      <c r="KN35" s="43" t="s">
        <v>50</v>
      </c>
      <c r="KZ35" s="76" t="str">
        <f>hyperlink("http://24fpsfest.com", "24fps International Short Film Festival")</f>
        <v>24fps International Short Film Festival</v>
      </c>
      <c r="LB35" s="43" t="s">
        <v>50</v>
      </c>
      <c r="LF35" s="162" t="str">
        <f>hyperlink("http://buriedalivefilmfest.com/", "Buried Alive Film Festival")</f>
        <v>Buried Alive Film Festival</v>
      </c>
      <c r="LI35" s="43" t="s">
        <v>50</v>
      </c>
      <c r="NB35" s="90"/>
    </row>
    <row r="36">
      <c r="A36" s="390"/>
      <c r="BB36" s="63" t="str">
        <f>hyperlink("http://frontrangefilmfest.com/", "Front Range Film Festival")</f>
        <v>Front Range Film Festival</v>
      </c>
      <c r="BC36" s="43" t="s">
        <v>50</v>
      </c>
      <c r="CB36" s="58" t="str">
        <f>hyperlink("https://nwfilmforum.org/festivals/bydesign-art-design-architecture-festival", "By Design Film Festival")</f>
        <v>By Design Film Festival</v>
      </c>
      <c r="CE36" s="43" t="s">
        <v>50</v>
      </c>
      <c r="CH36" s="63" t="str">
        <f>hyperlink("http://trentonfilmsociety.org/trenton-film-festival/", "Trenton Film Festival")</f>
        <v>Trenton Film Festival</v>
      </c>
      <c r="CL36" s="43" t="s">
        <v>50</v>
      </c>
      <c r="CT36" s="45"/>
      <c r="DA36" s="45"/>
      <c r="DC36" s="243" t="str">
        <f>hyperlink("http://scoutfilmfestival.org/ ", "Scout Film Festival")</f>
        <v>Scout Film Festival</v>
      </c>
      <c r="DF36" s="43" t="s">
        <v>50</v>
      </c>
      <c r="DG36" s="45"/>
      <c r="DJ36" s="188" t="str">
        <f>hyperlink("https://milwaukeeundergroundfilm.org/", "Milwaukee Underground Film Festival")</f>
        <v>Milwaukee Underground Film Festival</v>
      </c>
      <c r="DN36" s="43" t="s">
        <v>50</v>
      </c>
      <c r="DO36" s="45"/>
      <c r="DR36" s="58" t="str">
        <f>hyperlink("http://lifefilmfest.com/", "Life Fest Film Festival")</f>
        <v>Life Fest Film Festival</v>
      </c>
      <c r="DU36" s="43" t="s">
        <v>50</v>
      </c>
      <c r="DW36" s="45"/>
      <c r="FE36" s="45"/>
      <c r="JI36" s="76" t="str">
        <f>hyperlink("https://sfindie.com", "San Francisco Independent Short Film Festival")</f>
        <v>San Francisco Independent Short Film Festival</v>
      </c>
      <c r="JL36" s="43" t="s">
        <v>50</v>
      </c>
      <c r="JN36" s="45"/>
      <c r="JT36" s="45"/>
      <c r="JU36" s="45"/>
      <c r="JW36" s="162" t="str">
        <f>hyperlink("https://www.newhorrorfest.com/", "Northeast Wisconsin Horror Film Festival")</f>
        <v>Northeast Wisconsin Horror Film Festival</v>
      </c>
      <c r="JZ36" s="43" t="s">
        <v>50</v>
      </c>
      <c r="KC36" s="205" t="str">
        <f>hyperlink("http://www.lafemme.org/", "La Femme Film Festival")</f>
        <v>La Femme Film Festival</v>
      </c>
      <c r="KG36" s="43" t="s">
        <v>50</v>
      </c>
      <c r="KI36" s="45"/>
      <c r="KJ36" s="63" t="str">
        <f>hyperlink("http://eofilmfest.com/", "Eastern Oregon Film Festival")</f>
        <v>Eastern Oregon Film Festival</v>
      </c>
      <c r="KM36" s="43" t="s">
        <v>50</v>
      </c>
      <c r="KZ36" s="63" t="str">
        <f>hyperlink("https://www.billythekidfilmfestival.com", "Billy The Kid Film Festival")</f>
        <v>Billy The Kid Film Festival</v>
      </c>
      <c r="LB36" s="43" t="s">
        <v>50</v>
      </c>
      <c r="NB36" s="90"/>
    </row>
    <row r="37">
      <c r="A37" s="390"/>
      <c r="BB37" s="60" t="str">
        <f>hyperlink("https://www.lifeartdance.org/film-festival", "Life In Motion: A Colorado Dance Film Festival")</f>
        <v>Life In Motion: A Colorado Dance Film Festival</v>
      </c>
      <c r="BC37" s="43" t="s">
        <v>50</v>
      </c>
      <c r="CB37" s="270" t="str">
        <f>hyperlink("https://www.chicagocomedyfilmfestival.com/", "Chicago Comedy Film Festival")</f>
        <v>Chicago Comedy Film Festival</v>
      </c>
      <c r="CE37" s="43" t="s">
        <v>50</v>
      </c>
      <c r="CH37" s="63" t="str">
        <f>hyperlink("http://www.vailfilmfestival.com/", "Vail Film Festival")</f>
        <v>Vail Film Festival</v>
      </c>
      <c r="CL37" s="43" t="s">
        <v>50</v>
      </c>
      <c r="CT37" s="45"/>
      <c r="DA37" s="45"/>
      <c r="DC37" s="63" t="str">
        <f>hyperlink("http://www.tupelofilmfestival.net/", "Tupelo Film Festival")</f>
        <v>Tupelo Film Festival</v>
      </c>
      <c r="DF37" s="43" t="s">
        <v>50</v>
      </c>
      <c r="DJ37" s="110" t="str">
        <f>hyperlink("https://www.langstonseattle.org/lhaaff/", "Seattle Black Film Festival")</f>
        <v>Seattle Black Film Festival</v>
      </c>
      <c r="DN37" s="43" t="s">
        <v>50</v>
      </c>
      <c r="DO37" s="45"/>
      <c r="DP37" s="45"/>
      <c r="DR37" s="63" t="str">
        <f>hyperlink("https://filmfreeway.com/WestSoundFilmFestival", "West Sound Film Festival")</f>
        <v>West Sound Film Festival</v>
      </c>
      <c r="DU37" s="43" t="s">
        <v>50</v>
      </c>
      <c r="JI37" s="76" t="str">
        <f>hyperlink("http://www.nysiff.com/", "New York State International Film Festival")</f>
        <v>New York State International Film Festival</v>
      </c>
      <c r="JK37" s="43" t="s">
        <v>50</v>
      </c>
      <c r="JN37" s="45"/>
      <c r="JU37" s="45"/>
      <c r="JW37" s="63" t="str">
        <f>hyperlink("http://www.trifi.org/", "Tri-Cities International Film Festival")</f>
        <v>Tri-Cities International Film Festival</v>
      </c>
      <c r="JZ37" s="43" t="s">
        <v>50</v>
      </c>
      <c r="KC37" s="63" t="str">
        <f>hyperlink("https://www.middleburgfilm.org/", "Middleburg Film Festival")</f>
        <v>Middleburg Film Festival</v>
      </c>
      <c r="KG37" s="43" t="s">
        <v>50</v>
      </c>
      <c r="KI37" s="45"/>
      <c r="KJ37" s="76" t="str">
        <f>hyperlink("http://www.melbournefilmfest.com", "Melbourne Independent Filmmakers Festival, The")</f>
        <v>Melbourne Independent Filmmakers Festival, The</v>
      </c>
      <c r="KM37" s="43" t="s">
        <v>50</v>
      </c>
      <c r="KZ37" s="63" t="str">
        <f>hyperlink("https://www.twinfallssandwichesfilmfestival.com/", "Twin Falls Sandwiches Film Festival")</f>
        <v>Twin Falls Sandwiches Film Festival</v>
      </c>
      <c r="LB37" s="43" t="s">
        <v>50</v>
      </c>
      <c r="NB37" s="90"/>
    </row>
    <row r="38">
      <c r="A38" s="390"/>
      <c r="CB38" s="162" t="str">
        <f>hyperlink("http://www.horrorhound.com/FilmFest", "HorrorHound Weekend Film Festival")</f>
        <v>HorrorHound Weekend Film Festival</v>
      </c>
      <c r="CE38" s="43" t="s">
        <v>50</v>
      </c>
      <c r="CH38" s="63" t="str">
        <f>hyperlink("http://www.adv...turefilm.org/", "Adventure Film Festival")</f>
        <v>Adventure Film Festival</v>
      </c>
      <c r="CK38" s="43" t="s">
        <v>50</v>
      </c>
      <c r="CL38" s="45"/>
      <c r="CT38" s="45"/>
      <c r="DB38" s="45"/>
      <c r="DD38" s="63" t="str">
        <f>hyperlink("https://columbusfilmfestival.wordpress.com/", "Columbus International Film &amp; Video Festival")</f>
        <v>Columbus International Film &amp; Video Festival</v>
      </c>
      <c r="DF38" s="43" t="s">
        <v>50</v>
      </c>
      <c r="DK38" s="86" t="str">
        <f>hyperlink("https://5pointfilm.org/", "5Point Adventure Film Festival")</f>
        <v>5Point Adventure Film Festival</v>
      </c>
      <c r="DN38" s="43" t="s">
        <v>50</v>
      </c>
      <c r="DP38" s="63" t="str">
        <f>hyperlink("https://ridgewoodguildfilmfest.com/", "Ridgewood Guild International Film Festival, The ")</f>
        <v>Ridgewood Guild International Film Festival, The </v>
      </c>
      <c r="DR38" s="43" t="s">
        <v>50</v>
      </c>
      <c r="DT38" s="45"/>
      <c r="JJ38" s="162" t="str">
        <f>hyperlink("http://www.chicagohorrorfest.com/", "Chicago Horror Film Festival")</f>
        <v>Chicago Horror Film Festival</v>
      </c>
      <c r="JL38" s="43" t="s">
        <v>50</v>
      </c>
      <c r="JN38" s="45"/>
      <c r="JR38" s="45"/>
      <c r="JS38" s="45"/>
      <c r="JT38" s="45"/>
      <c r="JU38" s="45"/>
      <c r="KC38" s="63" t="str">
        <f>hyperlink("https://nhfilmfestival.com/", "New Hampshire Film Festival ")</f>
        <v>New Hampshire Film Festival </v>
      </c>
      <c r="KG38" s="43" t="s">
        <v>50</v>
      </c>
      <c r="KI38" s="45"/>
      <c r="KJ38" s="76" t="str">
        <f>hyperlink("http://www.sfshorts.org/", "SF Shorts: San Francisco International Festival of Short Films")</f>
        <v>SF Shorts: San Francisco International Festival of Short Films</v>
      </c>
      <c r="KM38" s="43" t="s">
        <v>50</v>
      </c>
      <c r="LA38" s="76" t="str">
        <f>hyperlink("http://copashortsfilmfest.org", "Copa Short Film Fest")</f>
        <v>Copa Short Film Fest</v>
      </c>
      <c r="LC38" s="43" t="s">
        <v>50</v>
      </c>
      <c r="NB38" s="90"/>
    </row>
    <row r="39">
      <c r="A39" s="390"/>
      <c r="CB39" s="76" t="str">
        <f>hyperlink("http://www.taosshortz.com/2016/", "Taos Shortz Film Fest ")</f>
        <v>Taos Shortz Film Fest </v>
      </c>
      <c r="CE39" s="43" t="s">
        <v>50</v>
      </c>
      <c r="CH39" s="63" t="str">
        <f>hyperlink("https://www.treefortmusicfest.com/fort/filmfort/", "FilmFort")</f>
        <v>FilmFort</v>
      </c>
      <c r="CK39" s="43" t="s">
        <v>50</v>
      </c>
      <c r="CL39" s="45"/>
      <c r="CR39" s="45"/>
      <c r="CS39" s="45"/>
      <c r="CT39" s="45"/>
      <c r="DA39" s="45"/>
      <c r="DD39" s="243" t="str">
        <f>hyperlink("http://www.harvardfilmfestival.org/", "Harvard College Film Festival")</f>
        <v>Harvard College Film Festival</v>
      </c>
      <c r="DF39" s="43" t="s">
        <v>50</v>
      </c>
      <c r="DG39" s="45"/>
      <c r="DK39" s="136" t="str">
        <f>hyperlink("https://www.apafilm.org/", "DC Asian Pacific American Film Festival")</f>
        <v>DC Asian Pacific American Film Festival</v>
      </c>
      <c r="DN39" s="43" t="s">
        <v>50</v>
      </c>
      <c r="DR39" s="76" t="str">
        <f>hyperlink("http://petalumafilmalliance.org/", "Film Fest Petaluma")</f>
        <v>Film Fest Petaluma</v>
      </c>
      <c r="DT39" s="43" t="s">
        <v>50</v>
      </c>
      <c r="JJ39" s="205" t="str">
        <f>hyperlink("https://www.lesfemmesinternational.org/", "Les Femmes Underground International Film Festival")</f>
        <v>Les Femmes Underground International Film Festival</v>
      </c>
      <c r="JK39" s="43" t="s">
        <v>50</v>
      </c>
      <c r="JN39" s="45"/>
      <c r="KC39" s="129" t="str">
        <f>hyperlink("http://thedccenter.org/reelaffirmations", "Reel Affirmations: Washington DC's International LGBTQ Film Festival")</f>
        <v>Reel Affirmations: Washington DC's International LGBTQ Film Festival</v>
      </c>
      <c r="KG39" s="43" t="s">
        <v>50</v>
      </c>
      <c r="KH39" s="45"/>
      <c r="KI39" s="45"/>
      <c r="KK39" s="162" t="str">
        <f>hyperlink("http://freakshowfilmfest.com/", "FREAKSHOW Horror Film Festival")</f>
        <v>FREAKSHOW Horror Film Festival</v>
      </c>
      <c r="KN39" s="43" t="s">
        <v>50</v>
      </c>
      <c r="LA39" s="58" t="str">
        <f>hyperlink("https://www.sfveteransfilmfestival.org/", "San Francisco Veterans Film Festival")</f>
        <v>San Francisco Veterans Film Festival</v>
      </c>
      <c r="LC39" s="43" t="s">
        <v>50</v>
      </c>
      <c r="NB39" s="90"/>
    </row>
    <row r="40">
      <c r="A40" s="390"/>
      <c r="CB40" s="60" t="str">
        <f>hyperlink("http://www.detourdance.com/tdff/", "Tiny Dance Film Festival")</f>
        <v>Tiny Dance Film Festival</v>
      </c>
      <c r="CD40" s="43" t="s">
        <v>50</v>
      </c>
      <c r="CE40" s="45"/>
      <c r="CI40" s="63" t="str">
        <f>hyperlink("http://bigeasyinternationalfilmfestival.com", "Big Easy International Film Festival")</f>
        <v>Big Easy International Film Festival</v>
      </c>
      <c r="CL40" s="43" t="s">
        <v>50</v>
      </c>
      <c r="CS40" s="45"/>
      <c r="CT40" s="45"/>
      <c r="DA40" s="45"/>
      <c r="DE40" s="243" t="str">
        <f>hyperlink("https://kcfilmfest.org/reel-spirit/competition/", "Reel Spirit Young Filmmakers")</f>
        <v>Reel Spirit Young Filmmakers</v>
      </c>
      <c r="DF40" s="43" t="s">
        <v>50</v>
      </c>
      <c r="DG40" s="45"/>
      <c r="DK40" s="63" t="str">
        <f>hyperlink("https://www.moniff.org/", "Monadnock International Film Festival")</f>
        <v>Monadnock International Film Festival</v>
      </c>
      <c r="DN40" s="43" t="s">
        <v>50</v>
      </c>
      <c r="DR40" s="243" t="str">
        <f>hyperlink("http://www.trinityfilmfestival.org/", "Trinity Film Festival")</f>
        <v>Trinity Film Festival</v>
      </c>
      <c r="DT40" s="43" t="s">
        <v>50</v>
      </c>
      <c r="JJ40" s="76" t="str">
        <f>hyperlink("https://nebulacreatives.com/shortcut-100-2018/", "Shortcut100")</f>
        <v>Shortcut100</v>
      </c>
      <c r="JK40" s="43" t="s">
        <v>50</v>
      </c>
      <c r="JN40" s="45"/>
      <c r="KC40" s="63" t="str">
        <f>hyperlink("https://www.riffct.org", "Ridgefield Independent Film Festival")</f>
        <v>Ridgefield Independent Film Festival</v>
      </c>
      <c r="KG40" s="43" t="s">
        <v>50</v>
      </c>
      <c r="KI40" s="45"/>
      <c r="KK40" s="139" t="str">
        <f>hyperlink("https://www.fhff.org/", "Friday Harbor Film Festival")</f>
        <v>Friday Harbor Film Festival</v>
      </c>
      <c r="KN40" s="43" t="s">
        <v>50</v>
      </c>
      <c r="LB40" s="63" t="str">
        <f>hyperlink("http://www.blowupfilmfest.com/", "Blow-Up Arthouse Film Festival")</f>
        <v>Blow-Up Arthouse Film Festival</v>
      </c>
      <c r="LD40" s="43" t="s">
        <v>50</v>
      </c>
      <c r="NB40" s="90"/>
    </row>
    <row r="41">
      <c r="A41" s="390"/>
      <c r="CI41" s="63" t="str">
        <f>hyperlink("https://www.worldwidecinemaframes.com/global-cinema-film-festival", "Global Cinema Film Festival of Boston")</f>
        <v>Global Cinema Film Festival of Boston</v>
      </c>
      <c r="CL41" s="43" t="s">
        <v>50</v>
      </c>
      <c r="CT41" s="45"/>
      <c r="DA41" s="45"/>
      <c r="DF41" s="270" t="str">
        <f>hyperlink("https://info.filmfestivalcircuit.com/austin-comedy-short-film-festival", "Austin Comedy Short Film Festival")</f>
        <v>Austin Comedy Short Film Festival</v>
      </c>
      <c r="DG41" s="43" t="s">
        <v>50</v>
      </c>
      <c r="DK41" s="108" t="str">
        <f>hyperlink("http://motorcitynightmares.com/", "Motor City Nightmares International Film Festival")</f>
        <v>Motor City Nightmares International Film Festival</v>
      </c>
      <c r="DN41" s="43" t="s">
        <v>50</v>
      </c>
      <c r="JJ41" s="76" t="str">
        <f>hyperlink("http://www.sunnysideshorts.com", "Sunnyside Shorts International Film Festival")</f>
        <v>Sunnyside Shorts International Film Festival</v>
      </c>
      <c r="JK41" s="43" t="s">
        <v>50</v>
      </c>
      <c r="JN41" s="45"/>
      <c r="KC41" s="110" t="str">
        <f>hyperlink("http://www.umff.com/", "Urban Mediamakers Festival")</f>
        <v>Urban Mediamakers Festival</v>
      </c>
      <c r="KG41" s="43" t="s">
        <v>50</v>
      </c>
      <c r="KI41" s="45"/>
      <c r="KK41" s="162" t="str">
        <f>hyperlink("http://horrorhausfilmfestival.com/", "Horror Haus")</f>
        <v>Horror Haus</v>
      </c>
      <c r="KN41" s="43" t="s">
        <v>50</v>
      </c>
      <c r="LA41" s="76" t="str">
        <f>hyperlink("http://pictoclik.com/", "Pictoclik Film Festival")</f>
        <v>Pictoclik Film Festival</v>
      </c>
      <c r="LB41" s="43" t="s">
        <v>50</v>
      </c>
      <c r="NB41" s="90"/>
    </row>
    <row r="42">
      <c r="A42" s="390"/>
      <c r="CI42" s="63" t="str">
        <f>hyperlink("https://www.marylandiff.com/", "Maryland International Film Festival")</f>
        <v>Maryland International Film Festival</v>
      </c>
      <c r="CL42" s="43" t="s">
        <v>50</v>
      </c>
      <c r="CZ42" s="45"/>
      <c r="DA42" s="45"/>
      <c r="DF42" s="76" t="str">
        <f>hyperlink("http://rockabyemedia.com/soul-4-reel", "Soul 4 Reel Film Festival, The ")</f>
        <v>Soul 4 Reel Film Festival, The </v>
      </c>
      <c r="DG42" s="43" t="s">
        <v>50</v>
      </c>
      <c r="DK42" s="76" t="str">
        <f>hyperlink("https://westchesterfilmfestival.com/", "West Chester International Short Film Festival")</f>
        <v>West Chester International Short Film Festival</v>
      </c>
      <c r="DN42" s="43" t="s">
        <v>50</v>
      </c>
      <c r="JL42" s="45"/>
      <c r="JM42" s="45"/>
      <c r="JN42" s="45"/>
      <c r="KC42" s="63" t="str">
        <f>hyperlink("http://theartistsforum.org/", "Artists Forum Festival of the Moving Image, The")</f>
        <v>Artists Forum Festival of the Moving Image, The</v>
      </c>
      <c r="KF42" s="43" t="s">
        <v>50</v>
      </c>
      <c r="KG42" s="63" t="str">
        <f>hyperlink("https://www.greenwichvillagefilmfestival.com/", "Greenwich Village Film Festival")</f>
        <v>Greenwich Village Film Festival</v>
      </c>
      <c r="KJ42" s="43" t="s">
        <v>50</v>
      </c>
      <c r="KL42" s="63" t="str">
        <f>hyperlink("http://ellensburgfilmfestival.com/", "Ellensburg Film Festival")</f>
        <v>Ellensburg Film Festival</v>
      </c>
      <c r="KM42" s="43" t="s">
        <v>50</v>
      </c>
      <c r="LA42" s="136" t="str">
        <f>hyperlink("https://sdaff.org", "San Diego Asian Film Festival")</f>
        <v>San Diego Asian Film Festival</v>
      </c>
      <c r="LB42" s="43" t="s">
        <v>50</v>
      </c>
      <c r="NB42" s="90"/>
    </row>
    <row r="43">
      <c r="A43" s="390"/>
      <c r="CI43" s="243" t="str">
        <f>hyperlink("http://www.yalestudentfilmfest.com/", "Yale Student Film Festival")</f>
        <v>Yale Student Film Festival</v>
      </c>
      <c r="CL43" s="43" t="s">
        <v>50</v>
      </c>
      <c r="CZ43" s="45"/>
      <c r="DA43" s="45"/>
      <c r="DB43" s="45"/>
      <c r="DM43" s="86" t="str">
        <f>hyperlink("https://www.earthportfilm.org/", "Earth Port Film Festival")</f>
        <v>Earth Port Film Festival</v>
      </c>
      <c r="DN43" s="43" t="s">
        <v>50</v>
      </c>
      <c r="JM43" s="45"/>
      <c r="KC43" s="76" t="str">
        <f>hyperlink("https://www.crownheightsfilmfestival.com/", "Crown Heights Film Festival")</f>
        <v>Crown Heights Film Festival</v>
      </c>
      <c r="KF43" s="43" t="s">
        <v>50</v>
      </c>
      <c r="KH43" s="45"/>
      <c r="NB43" s="90"/>
    </row>
    <row r="44">
      <c r="A44" s="390"/>
      <c r="CI44" s="139" t="str">
        <f>hyperlink("https://www.bethesda.org/bethesda/bethesda-film-fest", "Bethesda Film Festival")</f>
        <v>Bethesda Film Festival</v>
      </c>
      <c r="CK44" s="43" t="s">
        <v>50</v>
      </c>
      <c r="CZ44" s="45"/>
      <c r="DA44" s="45"/>
      <c r="DB44" s="45"/>
      <c r="KC44" s="243" t="str">
        <f>hyperlink("https://urban15.org/josiah-media-festival/", "Josiah Media Festival (Urban 15)")</f>
        <v>Josiah Media Festival (Urban 15)</v>
      </c>
      <c r="KF44" s="43" t="s">
        <v>50</v>
      </c>
      <c r="KH44" s="45"/>
      <c r="KJ44" s="45"/>
      <c r="NB44" s="90"/>
    </row>
    <row r="45">
      <c r="A45" s="390"/>
      <c r="CI45" s="76" t="str">
        <f>hyperlink("http://speechlessfilmfestival.com/", "Speechless Film Festival")</f>
        <v>Speechless Film Festival</v>
      </c>
      <c r="CK45" s="43" t="s">
        <v>50</v>
      </c>
      <c r="DA45" s="45"/>
      <c r="DB45" s="45"/>
      <c r="KD45" s="188" t="str">
        <f>hyperlink("http://www.portlandunknown.com/", "Portland Unknown Film Festival")</f>
        <v>Portland Unknown Film Festival</v>
      </c>
      <c r="KG45" s="43" t="s">
        <v>50</v>
      </c>
      <c r="KJ45" s="45"/>
      <c r="NB45" s="90"/>
    </row>
    <row r="46">
      <c r="A46" s="390"/>
      <c r="CJ46" s="108" t="str">
        <f>hyperlink("https://www.mopop.org/sffsff ", "Science Fiction and Fantasy Short Film Festival")</f>
        <v>Science Fiction and Fantasy Short Film Festival</v>
      </c>
      <c r="CK46" s="43" t="s">
        <v>50</v>
      </c>
      <c r="DA46" s="45"/>
      <c r="DB46" s="45"/>
      <c r="KD46" s="162" t="str">
        <f>hyperlink("http://scareacon.com/", "Scare-A-Con Film Festival")</f>
        <v>Scare-A-Con Film Festival</v>
      </c>
      <c r="KG46" s="43" t="s">
        <v>50</v>
      </c>
      <c r="KH46" s="45"/>
      <c r="NB46" s="90"/>
    </row>
    <row r="47">
      <c r="A47" s="390"/>
      <c r="CJ47" s="76" t="str">
        <f>hyperlink("https://www.acmusic.org/productions/sound-of-silent-film-festival-2019/", "Sound of Silent Film Festival")</f>
        <v>Sound of Silent Film Festival</v>
      </c>
      <c r="CK47" s="43" t="s">
        <v>50</v>
      </c>
      <c r="KD47" s="108" t="str">
        <f>hyperlink("https://www.telluridehorrorshow.com/", "Telluride Horror Show ")</f>
        <v>Telluride Horror Show </v>
      </c>
      <c r="KG47" s="43" t="s">
        <v>50</v>
      </c>
      <c r="KH47" s="45"/>
      <c r="NB47" s="90"/>
    </row>
    <row r="48">
      <c r="A48" s="390"/>
      <c r="KD48" s="58" t="str">
        <f>hyperlink("http://www.actorsfestival.com/", "Best Actors Film Festival")</f>
        <v>Best Actors Film Festival</v>
      </c>
      <c r="KF48" s="43" t="s">
        <v>50</v>
      </c>
      <c r="NB48" s="90"/>
    </row>
    <row r="49">
      <c r="A49" s="414" t="str">
        <f>IMAGE(GOOGLEANALYTICS("UA-149355390-1", "2020 Film Festival Database &amp; Calendar",sheetName()))</f>
        <v/>
      </c>
      <c r="KD49" s="162" t="str">
        <f>hyperlink("www.fearfete.com", "Fear Fete")</f>
        <v>Fear Fete</v>
      </c>
      <c r="KF49" s="43" t="s">
        <v>50</v>
      </c>
      <c r="NB49" s="90"/>
    </row>
    <row r="50">
      <c r="A50" s="414"/>
      <c r="KD50" s="63" t="str">
        <f>hyperlink("http://ssffwest.com/", "Sunscreen Film Fest West")</f>
        <v>Sunscreen Film Fest West</v>
      </c>
      <c r="KF50" s="43" t="s">
        <v>50</v>
      </c>
      <c r="NB50" s="90"/>
    </row>
    <row r="51">
      <c r="A51" s="414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  <c r="DG51" s="90"/>
      <c r="DH51" s="90"/>
      <c r="DI51" s="90"/>
      <c r="DJ51" s="90"/>
      <c r="DK51" s="90"/>
      <c r="DL51" s="90"/>
      <c r="DM51" s="90"/>
      <c r="DN51" s="90"/>
      <c r="DO51" s="90"/>
      <c r="DP51" s="90"/>
      <c r="DQ51" s="90"/>
      <c r="DR51" s="90"/>
      <c r="DS51" s="90"/>
      <c r="DT51" s="90"/>
      <c r="DU51" s="90"/>
      <c r="DV51" s="90"/>
      <c r="DW51" s="90"/>
      <c r="DX51" s="90"/>
      <c r="DY51" s="90"/>
      <c r="DZ51" s="90"/>
      <c r="EA51" s="90"/>
      <c r="EB51" s="90"/>
      <c r="EC51" s="90"/>
      <c r="ED51" s="90"/>
      <c r="EE51" s="90"/>
      <c r="EF51" s="90"/>
      <c r="EG51" s="90"/>
      <c r="EH51" s="90"/>
      <c r="EI51" s="90"/>
      <c r="EJ51" s="90"/>
      <c r="EK51" s="90"/>
      <c r="EL51" s="90"/>
      <c r="EM51" s="90"/>
      <c r="EN51" s="90"/>
      <c r="EO51" s="90"/>
      <c r="EP51" s="90"/>
      <c r="EQ51" s="90"/>
      <c r="ER51" s="90"/>
      <c r="ES51" s="90"/>
      <c r="ET51" s="90"/>
      <c r="EU51" s="90"/>
      <c r="EV51" s="90"/>
      <c r="EW51" s="90"/>
      <c r="EX51" s="90"/>
      <c r="EY51" s="90"/>
      <c r="EZ51" s="90"/>
      <c r="FA51" s="90"/>
      <c r="FB51" s="90"/>
      <c r="FC51" s="90"/>
      <c r="FD51" s="90"/>
      <c r="FE51" s="90"/>
      <c r="FF51" s="90"/>
      <c r="FG51" s="90"/>
      <c r="FH51" s="90"/>
      <c r="FI51" s="90"/>
      <c r="FJ51" s="90"/>
      <c r="FK51" s="90"/>
      <c r="FL51" s="90"/>
      <c r="FM51" s="90"/>
      <c r="FN51" s="90"/>
      <c r="FO51" s="90"/>
      <c r="FP51" s="90"/>
      <c r="FQ51" s="90"/>
      <c r="FR51" s="90"/>
      <c r="FS51" s="90"/>
      <c r="FT51" s="90"/>
      <c r="FU51" s="90"/>
      <c r="FV51" s="90"/>
      <c r="FW51" s="90"/>
      <c r="FX51" s="90"/>
      <c r="FY51" s="90"/>
      <c r="FZ51" s="90"/>
      <c r="GA51" s="90"/>
      <c r="GB51" s="90"/>
      <c r="GC51" s="90"/>
      <c r="GD51" s="90"/>
      <c r="GE51" s="90"/>
      <c r="GF51" s="90"/>
      <c r="GG51" s="90"/>
      <c r="GH51" s="90"/>
      <c r="GI51" s="90"/>
      <c r="GJ51" s="90"/>
      <c r="GK51" s="90"/>
      <c r="GL51" s="90"/>
      <c r="GM51" s="90"/>
      <c r="GN51" s="90"/>
      <c r="GO51" s="90"/>
      <c r="GP51" s="90"/>
      <c r="GQ51" s="90"/>
      <c r="GR51" s="90"/>
      <c r="GS51" s="90"/>
      <c r="GT51" s="90"/>
      <c r="GU51" s="90"/>
      <c r="GV51" s="90"/>
      <c r="GW51" s="90"/>
      <c r="GX51" s="90"/>
      <c r="GY51" s="90"/>
      <c r="GZ51" s="90"/>
      <c r="HA51" s="90"/>
      <c r="HB51" s="90"/>
      <c r="HC51" s="90"/>
      <c r="HD51" s="90"/>
      <c r="HE51" s="90"/>
      <c r="HF51" s="90"/>
      <c r="HG51" s="90"/>
      <c r="HH51" s="90"/>
      <c r="HI51" s="90"/>
      <c r="HJ51" s="90"/>
      <c r="HK51" s="90"/>
      <c r="HL51" s="90"/>
      <c r="HM51" s="90"/>
      <c r="HN51" s="90"/>
      <c r="HO51" s="90"/>
      <c r="HP51" s="90"/>
      <c r="HQ51" s="90"/>
      <c r="HR51" s="90"/>
      <c r="HS51" s="90"/>
      <c r="HT51" s="90"/>
      <c r="HU51" s="90"/>
      <c r="HV51" s="90"/>
      <c r="HW51" s="90"/>
      <c r="HX51" s="90"/>
      <c r="HY51" s="90"/>
      <c r="HZ51" s="90"/>
      <c r="IA51" s="90"/>
      <c r="IB51" s="90"/>
      <c r="IC51" s="90"/>
      <c r="ID51" s="90"/>
      <c r="IE51" s="90"/>
      <c r="IF51" s="90"/>
      <c r="IG51" s="90"/>
      <c r="IH51" s="90"/>
      <c r="II51" s="90"/>
      <c r="IJ51" s="90"/>
      <c r="IK51" s="90"/>
      <c r="IL51" s="90"/>
      <c r="IM51" s="90"/>
      <c r="IN51" s="90"/>
      <c r="IO51" s="90"/>
      <c r="IP51" s="90"/>
      <c r="IQ51" s="90"/>
      <c r="IR51" s="90"/>
      <c r="IS51" s="90"/>
      <c r="IT51" s="90"/>
      <c r="IU51" s="90"/>
      <c r="IV51" s="90"/>
      <c r="IW51" s="90"/>
      <c r="IX51" s="90"/>
      <c r="IY51" s="90"/>
      <c r="IZ51" s="90"/>
      <c r="JA51" s="90"/>
      <c r="JB51" s="90"/>
      <c r="JC51" s="90"/>
      <c r="JD51" s="90"/>
      <c r="JE51" s="90"/>
      <c r="JF51" s="90"/>
      <c r="JG51" s="90"/>
      <c r="JH51" s="90"/>
      <c r="JI51" s="90"/>
      <c r="JJ51" s="90"/>
      <c r="JK51" s="90"/>
      <c r="JL51" s="90"/>
      <c r="JM51" s="90"/>
      <c r="JN51" s="90"/>
      <c r="JO51" s="90"/>
      <c r="JP51" s="90"/>
      <c r="JQ51" s="90"/>
      <c r="JR51" s="90"/>
      <c r="JS51" s="90"/>
      <c r="JT51" s="90"/>
      <c r="JU51" s="90"/>
      <c r="JV51" s="90"/>
      <c r="JW51" s="90"/>
      <c r="JX51" s="90"/>
      <c r="JY51" s="90"/>
      <c r="JZ51" s="90"/>
      <c r="KA51" s="90"/>
      <c r="KB51" s="90"/>
      <c r="KC51" s="90"/>
      <c r="KD51" s="416"/>
      <c r="KE51" s="58" t="str">
        <f>hyperlink("http://www.superfestfilm.com/", "Superfest International Disability Film Festival")</f>
        <v>Superfest International Disability Film Festival</v>
      </c>
      <c r="KG51" s="74" t="s">
        <v>50</v>
      </c>
      <c r="KH51" s="90"/>
      <c r="KI51" s="90"/>
      <c r="KJ51" s="90"/>
      <c r="KK51" s="90"/>
      <c r="KL51" s="90"/>
      <c r="KM51" s="90"/>
      <c r="KN51" s="90"/>
      <c r="KO51" s="90"/>
      <c r="KP51" s="90"/>
      <c r="KQ51" s="90"/>
      <c r="KR51" s="90"/>
      <c r="KS51" s="90"/>
      <c r="KT51" s="90"/>
      <c r="KU51" s="90"/>
      <c r="KV51" s="90"/>
      <c r="KW51" s="90"/>
      <c r="KX51" s="90"/>
      <c r="KY51" s="90"/>
      <c r="KZ51" s="90"/>
      <c r="LA51" s="90"/>
      <c r="LB51" s="90"/>
      <c r="LC51" s="90"/>
      <c r="LD51" s="90"/>
      <c r="LE51" s="90"/>
      <c r="LF51" s="90"/>
      <c r="LG51" s="90"/>
      <c r="LH51" s="90"/>
      <c r="LI51" s="90"/>
      <c r="LJ51" s="90"/>
      <c r="LK51" s="90"/>
      <c r="LL51" s="90"/>
      <c r="LM51" s="90"/>
      <c r="LN51" s="90"/>
      <c r="LO51" s="90"/>
      <c r="LP51" s="90"/>
      <c r="LQ51" s="90"/>
      <c r="LR51" s="90"/>
      <c r="LS51" s="90"/>
      <c r="LT51" s="90"/>
      <c r="LU51" s="90"/>
      <c r="LV51" s="90"/>
      <c r="LW51" s="90"/>
      <c r="LX51" s="90"/>
      <c r="LY51" s="90"/>
      <c r="LZ51" s="90"/>
      <c r="MA51" s="90"/>
      <c r="MB51" s="90"/>
      <c r="MC51" s="90"/>
      <c r="MD51" s="90"/>
      <c r="ME51" s="90"/>
      <c r="MF51" s="90"/>
      <c r="MG51" s="90"/>
      <c r="MH51" s="90"/>
      <c r="MI51" s="90"/>
      <c r="MJ51" s="90"/>
      <c r="MK51" s="90"/>
      <c r="ML51" s="90"/>
      <c r="MM51" s="90"/>
      <c r="MN51" s="90"/>
      <c r="MO51" s="90"/>
      <c r="MP51" s="90"/>
      <c r="MQ51" s="90"/>
      <c r="MR51" s="90"/>
      <c r="MS51" s="90"/>
      <c r="MT51" s="90"/>
      <c r="MU51" s="90"/>
      <c r="MV51" s="90"/>
      <c r="MW51" s="90"/>
      <c r="MX51" s="90"/>
      <c r="MY51" s="90"/>
      <c r="MZ51" s="90"/>
      <c r="NA51" s="90"/>
      <c r="NB51" s="90"/>
    </row>
    <row r="52">
      <c r="A52" s="414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  <c r="BT52" s="90"/>
      <c r="BU52" s="90"/>
      <c r="BV52" s="90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90"/>
      <c r="CQ52" s="90"/>
      <c r="CR52" s="90"/>
      <c r="CS52" s="90"/>
      <c r="CT52" s="90"/>
      <c r="CU52" s="90"/>
      <c r="CV52" s="90"/>
      <c r="CW52" s="90"/>
      <c r="CX52" s="90"/>
      <c r="CY52" s="90"/>
      <c r="CZ52" s="90"/>
      <c r="DA52" s="90"/>
      <c r="DB52" s="90"/>
      <c r="DC52" s="90"/>
      <c r="DD52" s="90"/>
      <c r="DE52" s="90"/>
      <c r="DF52" s="90"/>
      <c r="DG52" s="90"/>
      <c r="DH52" s="90"/>
      <c r="DI52" s="90"/>
      <c r="DJ52" s="90"/>
      <c r="DK52" s="90"/>
      <c r="DL52" s="90"/>
      <c r="DM52" s="90"/>
      <c r="DN52" s="90"/>
      <c r="DO52" s="90"/>
      <c r="DP52" s="90"/>
      <c r="DQ52" s="90"/>
      <c r="DR52" s="90"/>
      <c r="DS52" s="90"/>
      <c r="DT52" s="90"/>
      <c r="DU52" s="90"/>
      <c r="DV52" s="90"/>
      <c r="DW52" s="90"/>
      <c r="DX52" s="90"/>
      <c r="DY52" s="90"/>
      <c r="DZ52" s="90"/>
      <c r="EA52" s="90"/>
      <c r="EB52" s="90"/>
      <c r="EC52" s="90"/>
      <c r="ED52" s="90"/>
      <c r="EE52" s="90"/>
      <c r="EF52" s="90"/>
      <c r="EG52" s="90"/>
      <c r="EH52" s="90"/>
      <c r="EI52" s="90"/>
      <c r="EJ52" s="90"/>
      <c r="EK52" s="90"/>
      <c r="EL52" s="90"/>
      <c r="EM52" s="90"/>
      <c r="EN52" s="90"/>
      <c r="EO52" s="90"/>
      <c r="EP52" s="90"/>
      <c r="EQ52" s="90"/>
      <c r="ER52" s="90"/>
      <c r="ES52" s="90"/>
      <c r="ET52" s="90"/>
      <c r="EU52" s="90"/>
      <c r="EV52" s="90"/>
      <c r="EW52" s="90"/>
      <c r="EX52" s="90"/>
      <c r="EY52" s="90"/>
      <c r="EZ52" s="90"/>
      <c r="FA52" s="90"/>
      <c r="FB52" s="90"/>
      <c r="FC52" s="90"/>
      <c r="FD52" s="90"/>
      <c r="FE52" s="90"/>
      <c r="FF52" s="90"/>
      <c r="FG52" s="90"/>
      <c r="FH52" s="90"/>
      <c r="FI52" s="90"/>
      <c r="FJ52" s="90"/>
      <c r="FK52" s="90"/>
      <c r="FL52" s="90"/>
      <c r="FM52" s="90"/>
      <c r="FN52" s="90"/>
      <c r="FO52" s="90"/>
      <c r="FP52" s="90"/>
      <c r="FQ52" s="90"/>
      <c r="FR52" s="90"/>
      <c r="FS52" s="90"/>
      <c r="FT52" s="90"/>
      <c r="FU52" s="90"/>
      <c r="FV52" s="90"/>
      <c r="FW52" s="90"/>
      <c r="FX52" s="90"/>
      <c r="FY52" s="90"/>
      <c r="FZ52" s="90"/>
      <c r="GA52" s="90"/>
      <c r="GB52" s="90"/>
      <c r="GC52" s="90"/>
      <c r="GD52" s="90"/>
      <c r="GE52" s="90"/>
      <c r="GF52" s="90"/>
      <c r="GG52" s="90"/>
      <c r="GH52" s="90"/>
      <c r="GI52" s="90"/>
      <c r="GJ52" s="90"/>
      <c r="GK52" s="90"/>
      <c r="GL52" s="90"/>
      <c r="GM52" s="90"/>
      <c r="GN52" s="90"/>
      <c r="GO52" s="90"/>
      <c r="GP52" s="90"/>
      <c r="GQ52" s="90"/>
      <c r="GR52" s="90"/>
      <c r="GS52" s="90"/>
      <c r="GT52" s="90"/>
      <c r="GU52" s="90"/>
      <c r="GV52" s="90"/>
      <c r="GW52" s="90"/>
      <c r="GX52" s="90"/>
      <c r="GY52" s="90"/>
      <c r="GZ52" s="90"/>
      <c r="HA52" s="90"/>
      <c r="HB52" s="90"/>
      <c r="HC52" s="90"/>
      <c r="HD52" s="90"/>
      <c r="HE52" s="90"/>
      <c r="HF52" s="90"/>
      <c r="HG52" s="90"/>
      <c r="HH52" s="90"/>
      <c r="HI52" s="90"/>
      <c r="HJ52" s="90"/>
      <c r="HK52" s="90"/>
      <c r="HL52" s="90"/>
      <c r="HM52" s="90"/>
      <c r="HN52" s="90"/>
      <c r="HO52" s="90"/>
      <c r="HP52" s="90"/>
      <c r="HQ52" s="90"/>
      <c r="HR52" s="90"/>
      <c r="HS52" s="90"/>
      <c r="HT52" s="90"/>
      <c r="HU52" s="90"/>
      <c r="HV52" s="90"/>
      <c r="HW52" s="90"/>
      <c r="HX52" s="90"/>
      <c r="HY52" s="90"/>
      <c r="HZ52" s="90"/>
      <c r="IA52" s="90"/>
      <c r="IB52" s="90"/>
      <c r="IC52" s="90"/>
      <c r="ID52" s="90"/>
      <c r="IE52" s="90"/>
      <c r="IF52" s="90"/>
      <c r="IG52" s="90"/>
      <c r="IH52" s="90"/>
      <c r="II52" s="90"/>
      <c r="IJ52" s="90"/>
      <c r="IK52" s="90"/>
      <c r="IL52" s="90"/>
      <c r="IM52" s="90"/>
      <c r="IN52" s="90"/>
      <c r="IO52" s="90"/>
      <c r="IP52" s="90"/>
      <c r="IQ52" s="90"/>
      <c r="IR52" s="90"/>
      <c r="IS52" s="90"/>
      <c r="IT52" s="90"/>
      <c r="IU52" s="90"/>
      <c r="IV52" s="90"/>
      <c r="IW52" s="90"/>
      <c r="IX52" s="90"/>
      <c r="IY52" s="90"/>
      <c r="IZ52" s="90"/>
      <c r="JA52" s="90"/>
      <c r="JB52" s="90"/>
      <c r="JC52" s="90"/>
      <c r="JD52" s="90"/>
      <c r="JE52" s="90"/>
      <c r="JF52" s="90"/>
      <c r="JG52" s="90"/>
      <c r="JH52" s="90"/>
      <c r="JI52" s="90"/>
      <c r="JJ52" s="90"/>
      <c r="JK52" s="90"/>
      <c r="JL52" s="90"/>
      <c r="JM52" s="90"/>
      <c r="JN52" s="90"/>
      <c r="JO52" s="90"/>
      <c r="JP52" s="90"/>
      <c r="JQ52" s="90"/>
      <c r="JR52" s="90"/>
      <c r="JS52" s="90"/>
      <c r="JT52" s="90"/>
      <c r="JU52" s="90"/>
      <c r="JV52" s="90"/>
      <c r="JW52" s="90"/>
      <c r="JX52" s="90"/>
      <c r="JY52" s="90"/>
      <c r="JZ52" s="418"/>
      <c r="KA52" s="418"/>
      <c r="KB52" s="418"/>
      <c r="KC52" s="418"/>
      <c r="KD52" s="418"/>
      <c r="KE52" s="418"/>
      <c r="KF52" s="418"/>
      <c r="KG52" s="419"/>
      <c r="KH52" s="418"/>
      <c r="KI52" s="418"/>
      <c r="KJ52" s="418"/>
      <c r="KK52" s="418"/>
      <c r="KL52" s="418"/>
      <c r="KM52" s="418"/>
      <c r="KN52" s="90"/>
      <c r="KO52" s="90"/>
      <c r="KP52" s="90"/>
      <c r="KQ52" s="90"/>
      <c r="KR52" s="90"/>
      <c r="KS52" s="90"/>
      <c r="KT52" s="90"/>
      <c r="KU52" s="90"/>
      <c r="KV52" s="90"/>
      <c r="KW52" s="90"/>
      <c r="KX52" s="90"/>
      <c r="KY52" s="90"/>
      <c r="KZ52" s="90"/>
      <c r="LA52" s="90"/>
      <c r="LB52" s="90"/>
      <c r="LC52" s="90"/>
      <c r="LD52" s="90"/>
      <c r="LE52" s="90"/>
      <c r="LF52" s="90"/>
      <c r="LG52" s="90"/>
      <c r="LH52" s="90"/>
      <c r="LI52" s="90"/>
      <c r="LJ52" s="90"/>
      <c r="LK52" s="90"/>
      <c r="LL52" s="90"/>
      <c r="LM52" s="90"/>
      <c r="LN52" s="90"/>
      <c r="LO52" s="90"/>
      <c r="LP52" s="90"/>
      <c r="LQ52" s="90"/>
      <c r="LR52" s="90"/>
      <c r="LS52" s="90"/>
      <c r="LT52" s="90"/>
      <c r="LU52" s="90"/>
      <c r="LV52" s="90"/>
      <c r="LW52" s="90"/>
      <c r="LX52" s="90"/>
      <c r="LY52" s="90"/>
      <c r="LZ52" s="90"/>
      <c r="MA52" s="90"/>
      <c r="MB52" s="90"/>
      <c r="MC52" s="90"/>
      <c r="MD52" s="90"/>
      <c r="ME52" s="90"/>
      <c r="MF52" s="90"/>
      <c r="MG52" s="90"/>
      <c r="MH52" s="90"/>
      <c r="MI52" s="90"/>
      <c r="MJ52" s="90"/>
      <c r="MK52" s="90"/>
      <c r="ML52" s="90"/>
      <c r="MM52" s="90"/>
      <c r="MN52" s="90"/>
      <c r="MO52" s="90"/>
      <c r="MP52" s="90"/>
      <c r="MQ52" s="90"/>
      <c r="MR52" s="90"/>
      <c r="MS52" s="90"/>
      <c r="MT52" s="90"/>
      <c r="MU52" s="90"/>
      <c r="MV52" s="90"/>
      <c r="MW52" s="90"/>
      <c r="MX52" s="90"/>
      <c r="MY52" s="90"/>
      <c r="MZ52" s="90"/>
      <c r="NA52" s="90"/>
      <c r="NB52" s="90"/>
    </row>
  </sheetData>
  <mergeCells count="786"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DZ3:EV3"/>
    <mergeCell ref="EY3:EZ3"/>
    <mergeCell ref="FB3:GR3"/>
    <mergeCell ref="GW3:HG3"/>
    <mergeCell ref="HI3:HN3"/>
    <mergeCell ref="HR3:LX3"/>
    <mergeCell ref="MA3:MJ3"/>
    <mergeCell ref="C3:F3"/>
    <mergeCell ref="J3:U3"/>
    <mergeCell ref="Y3:BC3"/>
    <mergeCell ref="BF3:BJ3"/>
    <mergeCell ref="BP3:CY3"/>
    <mergeCell ref="DC3:DQ3"/>
    <mergeCell ref="DS3:DT3"/>
    <mergeCell ref="EF4:HZ4"/>
    <mergeCell ref="IH4:IP4"/>
    <mergeCell ref="IT4:JD4"/>
    <mergeCell ref="JH4:JM4"/>
    <mergeCell ref="JO4:KS4"/>
    <mergeCell ref="KZ4:LP4"/>
    <mergeCell ref="LW4:MK4"/>
    <mergeCell ref="J4:M4"/>
    <mergeCell ref="P4:AC4"/>
    <mergeCell ref="AH4:AJ4"/>
    <mergeCell ref="AL4:BQ4"/>
    <mergeCell ref="BT4:CD4"/>
    <mergeCell ref="CK4:DQ4"/>
    <mergeCell ref="DT4:ED4"/>
    <mergeCell ref="IN5:IW5"/>
    <mergeCell ref="JA5:JD5"/>
    <mergeCell ref="JH5:JX5"/>
    <mergeCell ref="KA5:KY5"/>
    <mergeCell ref="LA5:LO5"/>
    <mergeCell ref="MB5:MK5"/>
    <mergeCell ref="DX5:EO5"/>
    <mergeCell ref="ET5:FX5"/>
    <mergeCell ref="GC5:GE5"/>
    <mergeCell ref="GI5:GK5"/>
    <mergeCell ref="GP5:HG5"/>
    <mergeCell ref="HK5:HU5"/>
    <mergeCell ref="HZ5:IH5"/>
    <mergeCell ref="K5:M5"/>
    <mergeCell ref="P5:Z5"/>
    <mergeCell ref="AF5:BI5"/>
    <mergeCell ref="BN5:CA5"/>
    <mergeCell ref="CC5:CK5"/>
    <mergeCell ref="CN5:DQ5"/>
    <mergeCell ref="DS5:DT5"/>
    <mergeCell ref="EF6:EV6"/>
    <mergeCell ref="FA6:GE6"/>
    <mergeCell ref="GJ6:GL6"/>
    <mergeCell ref="GP6:GZ6"/>
    <mergeCell ref="HB6:HG6"/>
    <mergeCell ref="HL6:HU6"/>
    <mergeCell ref="HZ6:IA6"/>
    <mergeCell ref="MA6:ME6"/>
    <mergeCell ref="MH6:MP6"/>
    <mergeCell ref="IC6:II6"/>
    <mergeCell ref="IN6:IV6"/>
    <mergeCell ref="IY6:JN6"/>
    <mergeCell ref="JP6:JY6"/>
    <mergeCell ref="KE6:KT6"/>
    <mergeCell ref="KX6:LI6"/>
    <mergeCell ref="LL6:LP6"/>
    <mergeCell ref="L6:U6"/>
    <mergeCell ref="X6:AH6"/>
    <mergeCell ref="AN6:BL6"/>
    <mergeCell ref="BN6:BW6"/>
    <mergeCell ref="CC6:CR6"/>
    <mergeCell ref="CV6:DQ6"/>
    <mergeCell ref="DW6:EA6"/>
    <mergeCell ref="IT7:JC7"/>
    <mergeCell ref="JH7:JR7"/>
    <mergeCell ref="JU7:JZ7"/>
    <mergeCell ref="KC7:KQ7"/>
    <mergeCell ref="KT7:LI7"/>
    <mergeCell ref="LL7:LO7"/>
    <mergeCell ref="MA7:MD7"/>
    <mergeCell ref="MH7:MK7"/>
    <mergeCell ref="EE7:FC7"/>
    <mergeCell ref="FE7:FZ7"/>
    <mergeCell ref="GJ7:GS7"/>
    <mergeCell ref="GY7:HF7"/>
    <mergeCell ref="HL7:HU7"/>
    <mergeCell ref="HY7:IB7"/>
    <mergeCell ref="IG7:IN7"/>
    <mergeCell ref="K7:M7"/>
    <mergeCell ref="O7:T7"/>
    <mergeCell ref="AA7:AV7"/>
    <mergeCell ref="BA7:BW7"/>
    <mergeCell ref="CC7:CN7"/>
    <mergeCell ref="CP7:DC7"/>
    <mergeCell ref="DK7:DZ7"/>
    <mergeCell ref="CU8:DH8"/>
    <mergeCell ref="DJ8:DT8"/>
    <mergeCell ref="DY8:EN8"/>
    <mergeCell ref="ET8:FC8"/>
    <mergeCell ref="FG8:FW8"/>
    <mergeCell ref="GQ8:GZ8"/>
    <mergeCell ref="HB8:HG8"/>
    <mergeCell ref="KB8:KM8"/>
    <mergeCell ref="KR8:KS8"/>
    <mergeCell ref="KY8:LI8"/>
    <mergeCell ref="LM8:LP8"/>
    <mergeCell ref="MA8:MD8"/>
    <mergeCell ref="MI8:MJ8"/>
    <mergeCell ref="HK8:HN8"/>
    <mergeCell ref="HR8:IA8"/>
    <mergeCell ref="IG8:IM8"/>
    <mergeCell ref="IO8:IW8"/>
    <mergeCell ref="JA8:JD8"/>
    <mergeCell ref="JH8:JR8"/>
    <mergeCell ref="JU8:JY8"/>
    <mergeCell ref="L8:M8"/>
    <mergeCell ref="P8:U8"/>
    <mergeCell ref="W8:AD8"/>
    <mergeCell ref="AG8:BC8"/>
    <mergeCell ref="BH8:BW8"/>
    <mergeCell ref="BY8:CD8"/>
    <mergeCell ref="CG8:CR8"/>
    <mergeCell ref="JO9:JY9"/>
    <mergeCell ref="KC9:KM9"/>
    <mergeCell ref="KY9:LI9"/>
    <mergeCell ref="LN9:LP9"/>
    <mergeCell ref="MC9:MD9"/>
    <mergeCell ref="HB9:HF9"/>
    <mergeCell ref="HK9:HS9"/>
    <mergeCell ref="HY9:IB9"/>
    <mergeCell ref="IE9:II9"/>
    <mergeCell ref="IM9:IP9"/>
    <mergeCell ref="IR9:IW9"/>
    <mergeCell ref="JC9:JJ9"/>
    <mergeCell ref="CV9:DE9"/>
    <mergeCell ref="DJ9:DX9"/>
    <mergeCell ref="EE9:EO9"/>
    <mergeCell ref="ER9:EV9"/>
    <mergeCell ref="EZ9:FN9"/>
    <mergeCell ref="FQ9:FX9"/>
    <mergeCell ref="GO9:GW9"/>
    <mergeCell ref="Q9:U9"/>
    <mergeCell ref="Y9:AE9"/>
    <mergeCell ref="AK9:BE9"/>
    <mergeCell ref="BG9:BJ9"/>
    <mergeCell ref="BL9:BW9"/>
    <mergeCell ref="BY9:CD9"/>
    <mergeCell ref="CG9:CR9"/>
    <mergeCell ref="CG10:CR10"/>
    <mergeCell ref="CU10:CX10"/>
    <mergeCell ref="DB10:DM10"/>
    <mergeCell ref="DQ10:EA10"/>
    <mergeCell ref="EE10:EO10"/>
    <mergeCell ref="ES10:EV10"/>
    <mergeCell ref="FA10:FJ10"/>
    <mergeCell ref="IR10:IW10"/>
    <mergeCell ref="JA10:JD10"/>
    <mergeCell ref="JI10:JQ10"/>
    <mergeCell ref="JV10:KF10"/>
    <mergeCell ref="KI10:KS10"/>
    <mergeCell ref="KY10:LI10"/>
    <mergeCell ref="LO10:LP10"/>
    <mergeCell ref="FL10:FZ10"/>
    <mergeCell ref="GP10:GX10"/>
    <mergeCell ref="HC10:HG10"/>
    <mergeCell ref="HL10:HT10"/>
    <mergeCell ref="HZ10:IB10"/>
    <mergeCell ref="IE10:IH10"/>
    <mergeCell ref="IN10:IP10"/>
    <mergeCell ref="Q10:U10"/>
    <mergeCell ref="W10:AA10"/>
    <mergeCell ref="AE10:AS10"/>
    <mergeCell ref="AU10:AV10"/>
    <mergeCell ref="AX10:BC10"/>
    <mergeCell ref="BG10:BQ10"/>
    <mergeCell ref="BT10:CD10"/>
    <mergeCell ref="IS11:IW11"/>
    <mergeCell ref="JA11:JD11"/>
    <mergeCell ref="JH11:JO11"/>
    <mergeCell ref="JQ11:JR11"/>
    <mergeCell ref="JV11:KF11"/>
    <mergeCell ref="KJ11:KT11"/>
    <mergeCell ref="KY11:LI11"/>
    <mergeCell ref="LO11:LP11"/>
    <mergeCell ref="GQ11:GY11"/>
    <mergeCell ref="HD11:HG11"/>
    <mergeCell ref="HK11:HN11"/>
    <mergeCell ref="HQ11:HU11"/>
    <mergeCell ref="HZ11:IB11"/>
    <mergeCell ref="IF11:II11"/>
    <mergeCell ref="IM11:IQ11"/>
    <mergeCell ref="FC13:FI13"/>
    <mergeCell ref="FN13:FX13"/>
    <mergeCell ref="CA13:CK13"/>
    <mergeCell ref="CN13:CU13"/>
    <mergeCell ref="CX13:DE13"/>
    <mergeCell ref="DJ13:DT13"/>
    <mergeCell ref="DZ13:EH13"/>
    <mergeCell ref="EL13:EO13"/>
    <mergeCell ref="ET13:EZ13"/>
    <mergeCell ref="IS13:IV13"/>
    <mergeCell ref="JA13:JC13"/>
    <mergeCell ref="IT14:IW14"/>
    <mergeCell ref="JA14:JC14"/>
    <mergeCell ref="JG14:JK14"/>
    <mergeCell ref="JO14:JX14"/>
    <mergeCell ref="KC14:KM14"/>
    <mergeCell ref="KZ14:LI14"/>
    <mergeCell ref="HR13:HU13"/>
    <mergeCell ref="HR14:HU14"/>
    <mergeCell ref="GJ13:GP13"/>
    <mergeCell ref="GT13:GZ13"/>
    <mergeCell ref="HE13:HG13"/>
    <mergeCell ref="HZ13:IA13"/>
    <mergeCell ref="IG13:II13"/>
    <mergeCell ref="IN13:IP13"/>
    <mergeCell ref="GQ14:GW14"/>
    <mergeCell ref="IG14:II14"/>
    <mergeCell ref="DB11:DM11"/>
    <mergeCell ref="DQ11:EA11"/>
    <mergeCell ref="ED11:EG11"/>
    <mergeCell ref="EI11:EO11"/>
    <mergeCell ref="ET11:FB11"/>
    <mergeCell ref="FG11:FQ11"/>
    <mergeCell ref="FS11:FZ11"/>
    <mergeCell ref="Q11:T11"/>
    <mergeCell ref="Y11:AE11"/>
    <mergeCell ref="AO11:BC11"/>
    <mergeCell ref="BG11:BJ11"/>
    <mergeCell ref="BO11:BW11"/>
    <mergeCell ref="CA11:CK11"/>
    <mergeCell ref="CO11:CY11"/>
    <mergeCell ref="KY12:LI12"/>
    <mergeCell ref="LP12:LQ12"/>
    <mergeCell ref="X12:AA12"/>
    <mergeCell ref="X13:Z13"/>
    <mergeCell ref="CA12:CK12"/>
    <mergeCell ref="CP12:CX12"/>
    <mergeCell ref="DC12:DM12"/>
    <mergeCell ref="DQ12:EA12"/>
    <mergeCell ref="ED12:EH12"/>
    <mergeCell ref="EK12:EO12"/>
    <mergeCell ref="ES12:EV12"/>
    <mergeCell ref="FA12:FI12"/>
    <mergeCell ref="FM12:FW12"/>
    <mergeCell ref="GP12:GW12"/>
    <mergeCell ref="HD12:HG12"/>
    <mergeCell ref="HL12:HM12"/>
    <mergeCell ref="HR12:HU12"/>
    <mergeCell ref="HZ12:IB12"/>
    <mergeCell ref="JE13:JJ13"/>
    <mergeCell ref="JM13:JR13"/>
    <mergeCell ref="JV13:KF13"/>
    <mergeCell ref="KL13:KS13"/>
    <mergeCell ref="KZ13:LI13"/>
    <mergeCell ref="IF12:II12"/>
    <mergeCell ref="IN12:IQ12"/>
    <mergeCell ref="IS12:IV12"/>
    <mergeCell ref="JB12:JE12"/>
    <mergeCell ref="JI12:JO12"/>
    <mergeCell ref="JV12:KF12"/>
    <mergeCell ref="KJ12:KQ12"/>
    <mergeCell ref="AH13:AN13"/>
    <mergeCell ref="AR13:BD13"/>
    <mergeCell ref="Y15:Z15"/>
    <mergeCell ref="AI15:AN15"/>
    <mergeCell ref="AR15:BC15"/>
    <mergeCell ref="BG15:BJ15"/>
    <mergeCell ref="BQ12:BW12"/>
    <mergeCell ref="BS13:BW13"/>
    <mergeCell ref="BO15:BS15"/>
    <mergeCell ref="BU15:CC15"/>
    <mergeCell ref="CH15:CR15"/>
    <mergeCell ref="CW15:CX15"/>
    <mergeCell ref="CZ15:DF15"/>
    <mergeCell ref="R12:U12"/>
    <mergeCell ref="AD12:AH12"/>
    <mergeCell ref="AK12:AW12"/>
    <mergeCell ref="AZ12:BI12"/>
    <mergeCell ref="BN12:BO12"/>
    <mergeCell ref="R13:T13"/>
    <mergeCell ref="BH13:BO13"/>
    <mergeCell ref="R14:T14"/>
    <mergeCell ref="Y14:AA14"/>
    <mergeCell ref="AL14:AW14"/>
    <mergeCell ref="AZ14:BI14"/>
    <mergeCell ref="BL14:BQ14"/>
    <mergeCell ref="BS14:CA14"/>
    <mergeCell ref="CH14:CR14"/>
    <mergeCell ref="FG14:FN14"/>
    <mergeCell ref="FR14:FX14"/>
    <mergeCell ref="ES14:EU14"/>
    <mergeCell ref="ET15:EU15"/>
    <mergeCell ref="IT15:IW15"/>
    <mergeCell ref="JB15:JD15"/>
    <mergeCell ref="JG15:JK15"/>
    <mergeCell ref="JO15:JX15"/>
    <mergeCell ref="KD15:KM15"/>
    <mergeCell ref="KW15:LE15"/>
    <mergeCell ref="LG15:LP15"/>
    <mergeCell ref="EW15:FB15"/>
    <mergeCell ref="FF15:FJ15"/>
    <mergeCell ref="FL15:FR15"/>
    <mergeCell ref="FU15:FX15"/>
    <mergeCell ref="GM15:GP15"/>
    <mergeCell ref="GU15:GZ15"/>
    <mergeCell ref="HR15:HU15"/>
    <mergeCell ref="KI17:KO17"/>
    <mergeCell ref="KX17:LE17"/>
    <mergeCell ref="GV17:GZ17"/>
    <mergeCell ref="HR17:HU17"/>
    <mergeCell ref="IU17:IW17"/>
    <mergeCell ref="JB17:JD17"/>
    <mergeCell ref="JG17:JK17"/>
    <mergeCell ref="JO17:JU17"/>
    <mergeCell ref="JW17:KF17"/>
    <mergeCell ref="EA14:EH14"/>
    <mergeCell ref="EA15:EH15"/>
    <mergeCell ref="CW14:CX14"/>
    <mergeCell ref="CZ14:DF14"/>
    <mergeCell ref="DJ14:DT14"/>
    <mergeCell ref="EM14:EP14"/>
    <mergeCell ref="EW14:FC14"/>
    <mergeCell ref="DK15:DU15"/>
    <mergeCell ref="EM15:EP15"/>
    <mergeCell ref="DD16:DM16"/>
    <mergeCell ref="DR16:EA16"/>
    <mergeCell ref="EF16:EJ16"/>
    <mergeCell ref="EN16:EQ16"/>
    <mergeCell ref="ES16:EV16"/>
    <mergeCell ref="EX16:FC16"/>
    <mergeCell ref="FG16:FK16"/>
    <mergeCell ref="JG16:JK16"/>
    <mergeCell ref="JM16:JR16"/>
    <mergeCell ref="JT16:KC16"/>
    <mergeCell ref="KE16:KL16"/>
    <mergeCell ref="KN16:KT16"/>
    <mergeCell ref="KV16:LA16"/>
    <mergeCell ref="LE16:LM16"/>
    <mergeCell ref="LG17:LH17"/>
    <mergeCell ref="FN16:FP16"/>
    <mergeCell ref="FR16:FX16"/>
    <mergeCell ref="GQ16:GU16"/>
    <mergeCell ref="GW16:GZ16"/>
    <mergeCell ref="HR16:HU16"/>
    <mergeCell ref="IT16:IV16"/>
    <mergeCell ref="JB16:JD16"/>
    <mergeCell ref="Z16:AA16"/>
    <mergeCell ref="AK16:AO16"/>
    <mergeCell ref="AT16:BE16"/>
    <mergeCell ref="BG16:BJ16"/>
    <mergeCell ref="BM16:BQ16"/>
    <mergeCell ref="BW16:CB16"/>
    <mergeCell ref="CH16:CR16"/>
    <mergeCell ref="AM17:AW17"/>
    <mergeCell ref="BA17:BJ17"/>
    <mergeCell ref="BM17:BQ17"/>
    <mergeCell ref="BT17:BW17"/>
    <mergeCell ref="CB17:CK17"/>
    <mergeCell ref="CO17:CV17"/>
    <mergeCell ref="DD17:DM17"/>
    <mergeCell ref="IU19:IV19"/>
    <mergeCell ref="JG19:JK19"/>
    <mergeCell ref="EM19:EO19"/>
    <mergeCell ref="EZ19:FC19"/>
    <mergeCell ref="FF19:FI19"/>
    <mergeCell ref="FL19:FP19"/>
    <mergeCell ref="FU19:FX19"/>
    <mergeCell ref="GX19:GY19"/>
    <mergeCell ref="HR19:HU19"/>
    <mergeCell ref="EL20:EM20"/>
    <mergeCell ref="EZ20:FC20"/>
    <mergeCell ref="FF20:FI20"/>
    <mergeCell ref="FM20:FQ20"/>
    <mergeCell ref="FU20:FX20"/>
    <mergeCell ref="GX20:GY20"/>
    <mergeCell ref="HR20:HT20"/>
    <mergeCell ref="DQ21:DX21"/>
    <mergeCell ref="EF21:EH21"/>
    <mergeCell ref="EZ21:FC21"/>
    <mergeCell ref="FG21:FJ21"/>
    <mergeCell ref="FM21:FQ21"/>
    <mergeCell ref="FX21:GA21"/>
    <mergeCell ref="HS21:HU21"/>
    <mergeCell ref="DR22:DT22"/>
    <mergeCell ref="DX22:EA22"/>
    <mergeCell ref="BA22:BH22"/>
    <mergeCell ref="BO22:BQ22"/>
    <mergeCell ref="BV22:BW22"/>
    <mergeCell ref="CD22:CK22"/>
    <mergeCell ref="CN22:CR22"/>
    <mergeCell ref="DA22:DE22"/>
    <mergeCell ref="DI22:DP22"/>
    <mergeCell ref="JU21:JY21"/>
    <mergeCell ref="JV22:JZ22"/>
    <mergeCell ref="JH21:JK21"/>
    <mergeCell ref="JO21:JR21"/>
    <mergeCell ref="KB21:KI21"/>
    <mergeCell ref="KK21:KM21"/>
    <mergeCell ref="KZ21:LF21"/>
    <mergeCell ref="JH22:JK22"/>
    <mergeCell ref="JO22:JR22"/>
    <mergeCell ref="AS18:BB18"/>
    <mergeCell ref="AT19:BC19"/>
    <mergeCell ref="AM20:AP20"/>
    <mergeCell ref="AX20:BG20"/>
    <mergeCell ref="BI20:BJ20"/>
    <mergeCell ref="AM21:AN21"/>
    <mergeCell ref="BB21:BJ21"/>
    <mergeCell ref="AR20:AV20"/>
    <mergeCell ref="AS21:AV21"/>
    <mergeCell ref="AS22:AV22"/>
    <mergeCell ref="AS23:AV23"/>
    <mergeCell ref="AZ23:BE23"/>
    <mergeCell ref="BG23:BJ23"/>
    <mergeCell ref="BO23:BQ23"/>
    <mergeCell ref="DB24:DF24"/>
    <mergeCell ref="DJ24:DQ24"/>
    <mergeCell ref="DX24:EA24"/>
    <mergeCell ref="EG24:EH24"/>
    <mergeCell ref="AZ24:BB24"/>
    <mergeCell ref="AZ25:BC25"/>
    <mergeCell ref="AT26:AW26"/>
    <mergeCell ref="BB26:BE26"/>
    <mergeCell ref="BG26:BI26"/>
    <mergeCell ref="FG25:FJ25"/>
    <mergeCell ref="FN25:FQ25"/>
    <mergeCell ref="FG26:FJ26"/>
    <mergeCell ref="FG27:FJ27"/>
    <mergeCell ref="FG28:FI28"/>
    <mergeCell ref="FK28:FN28"/>
    <mergeCell ref="FH29:FI29"/>
    <mergeCell ref="BZ25:CD25"/>
    <mergeCell ref="CF25:CK25"/>
    <mergeCell ref="DD25:DJ25"/>
    <mergeCell ref="DN25:DT25"/>
    <mergeCell ref="DX25:DZ25"/>
    <mergeCell ref="EH25:EI25"/>
    <mergeCell ref="FB25:FC25"/>
    <mergeCell ref="DH26:DL26"/>
    <mergeCell ref="DN26:DT26"/>
    <mergeCell ref="DY26:DZ26"/>
    <mergeCell ref="DK32:DO32"/>
    <mergeCell ref="DQ32:DS32"/>
    <mergeCell ref="CP33:CQ33"/>
    <mergeCell ref="DC33:DF33"/>
    <mergeCell ref="DI33:DL33"/>
    <mergeCell ref="DQ33:DS33"/>
    <mergeCell ref="BA33:BB33"/>
    <mergeCell ref="CA34:CD34"/>
    <mergeCell ref="CH34:CK34"/>
    <mergeCell ref="CP34:CQ34"/>
    <mergeCell ref="DC34:DF34"/>
    <mergeCell ref="DJ34:DM34"/>
    <mergeCell ref="DQ34:DS34"/>
    <mergeCell ref="DJ35:DM35"/>
    <mergeCell ref="DJ36:DM36"/>
    <mergeCell ref="DJ37:DM37"/>
    <mergeCell ref="BA34:BB34"/>
    <mergeCell ref="BB35:BC35"/>
    <mergeCell ref="CA35:CD35"/>
    <mergeCell ref="DA35:DC35"/>
    <mergeCell ref="DQ35:DS35"/>
    <mergeCell ref="CB36:CD36"/>
    <mergeCell ref="DC36:DE36"/>
    <mergeCell ref="DK38:DM38"/>
    <mergeCell ref="DP38:DQ38"/>
    <mergeCell ref="DD39:DE39"/>
    <mergeCell ref="DK39:DM39"/>
    <mergeCell ref="DK40:DM40"/>
    <mergeCell ref="DR40:DS40"/>
    <mergeCell ref="DK41:DM41"/>
    <mergeCell ref="DK42:DM42"/>
    <mergeCell ref="CB37:CD37"/>
    <mergeCell ref="CH37:CK37"/>
    <mergeCell ref="DC37:DE37"/>
    <mergeCell ref="DR37:DT37"/>
    <mergeCell ref="CB38:CD38"/>
    <mergeCell ref="DD38:DE38"/>
    <mergeCell ref="CB39:CD39"/>
    <mergeCell ref="DR39:DS39"/>
    <mergeCell ref="CI44:CJ44"/>
    <mergeCell ref="CI45:CJ45"/>
    <mergeCell ref="CH38:CJ38"/>
    <mergeCell ref="CH39:CJ39"/>
    <mergeCell ref="CB40:CC40"/>
    <mergeCell ref="CI40:CK40"/>
    <mergeCell ref="CI41:CK41"/>
    <mergeCell ref="CI42:CK42"/>
    <mergeCell ref="CI43:CK43"/>
    <mergeCell ref="BO24:BQ24"/>
    <mergeCell ref="BO25:BQ25"/>
    <mergeCell ref="BO26:BP26"/>
    <mergeCell ref="BZ26:CD26"/>
    <mergeCell ref="CH26:CM26"/>
    <mergeCell ref="CO26:CR26"/>
    <mergeCell ref="DB26:DF26"/>
    <mergeCell ref="AS24:AV24"/>
    <mergeCell ref="BD24:BI24"/>
    <mergeCell ref="BZ24:CC24"/>
    <mergeCell ref="CE24:CJ24"/>
    <mergeCell ref="CN24:CR24"/>
    <mergeCell ref="BG25:BI25"/>
    <mergeCell ref="CO25:CR25"/>
    <mergeCell ref="CO27:CR27"/>
    <mergeCell ref="DB27:DE27"/>
    <mergeCell ref="DH27:DM27"/>
    <mergeCell ref="DP27:DT27"/>
    <mergeCell ref="AS25:AV25"/>
    <mergeCell ref="AS27:AU27"/>
    <mergeCell ref="BH27:BJ27"/>
    <mergeCell ref="BZ27:CD27"/>
    <mergeCell ref="CF27:CJ27"/>
    <mergeCell ref="AT28:AV28"/>
    <mergeCell ref="BH28:BJ28"/>
    <mergeCell ref="DI29:DM29"/>
    <mergeCell ref="DQ29:DT29"/>
    <mergeCell ref="AZ27:BB27"/>
    <mergeCell ref="AZ28:BB28"/>
    <mergeCell ref="AT29:AV29"/>
    <mergeCell ref="BA29:BC29"/>
    <mergeCell ref="BH29:BJ29"/>
    <mergeCell ref="AT30:AU30"/>
    <mergeCell ref="BH30:BJ30"/>
    <mergeCell ref="CH35:CK35"/>
    <mergeCell ref="CH36:CK36"/>
    <mergeCell ref="DR36:DT36"/>
    <mergeCell ref="JW36:JY36"/>
    <mergeCell ref="JW37:JY37"/>
    <mergeCell ref="JV27:JY27"/>
    <mergeCell ref="JV28:JY28"/>
    <mergeCell ref="JW32:JY32"/>
    <mergeCell ref="JW33:JY33"/>
    <mergeCell ref="JW34:JY34"/>
    <mergeCell ref="JW35:JY35"/>
    <mergeCell ref="KC36:KF36"/>
    <mergeCell ref="KD45:KF45"/>
    <mergeCell ref="KD46:KF46"/>
    <mergeCell ref="KD47:KF47"/>
    <mergeCell ref="KD48:KE48"/>
    <mergeCell ref="KD49:KE49"/>
    <mergeCell ref="KD50:KE50"/>
    <mergeCell ref="KE51:KF51"/>
    <mergeCell ref="KC37:KF37"/>
    <mergeCell ref="KC39:KF39"/>
    <mergeCell ref="KC40:KF40"/>
    <mergeCell ref="KC41:KF41"/>
    <mergeCell ref="KC42:KE42"/>
    <mergeCell ref="KC43:KE43"/>
    <mergeCell ref="KC44:KE44"/>
    <mergeCell ref="KZ36:LA36"/>
    <mergeCell ref="LA39:LB39"/>
    <mergeCell ref="KK40:KM40"/>
    <mergeCell ref="LB40:LC40"/>
    <mergeCell ref="KK41:KM41"/>
    <mergeCell ref="KG42:KI42"/>
    <mergeCell ref="KZ34:LB34"/>
    <mergeCell ref="KZ35:LA35"/>
    <mergeCell ref="KJ36:KL36"/>
    <mergeCell ref="KJ37:KL37"/>
    <mergeCell ref="KC38:KF38"/>
    <mergeCell ref="KJ38:KL38"/>
    <mergeCell ref="KK39:KM39"/>
    <mergeCell ref="KI27:KL27"/>
    <mergeCell ref="KI28:KL28"/>
    <mergeCell ref="KY28:LB28"/>
    <mergeCell ref="LE28:LH28"/>
    <mergeCell ref="JH29:JJ29"/>
    <mergeCell ref="JV29:JY29"/>
    <mergeCell ref="KA29:KE29"/>
    <mergeCell ref="KJ29:KM29"/>
    <mergeCell ref="KY29:LA29"/>
    <mergeCell ref="LF29:LI29"/>
    <mergeCell ref="JH26:JK26"/>
    <mergeCell ref="JH27:JK27"/>
    <mergeCell ref="JP27:JR27"/>
    <mergeCell ref="KA27:KF27"/>
    <mergeCell ref="JH28:JK28"/>
    <mergeCell ref="JP28:JQ28"/>
    <mergeCell ref="KA28:KE28"/>
    <mergeCell ref="JH31:JJ31"/>
    <mergeCell ref="JI32:JK32"/>
    <mergeCell ref="JI33:JK33"/>
    <mergeCell ref="JI34:JK34"/>
    <mergeCell ref="JI35:JK35"/>
    <mergeCell ref="JI36:JK36"/>
    <mergeCell ref="JI37:JJ37"/>
    <mergeCell ref="JJ38:JK38"/>
    <mergeCell ref="JH30:JJ30"/>
    <mergeCell ref="JV30:JY30"/>
    <mergeCell ref="KJ30:KM30"/>
    <mergeCell ref="LF30:LI30"/>
    <mergeCell ref="JW31:JY31"/>
    <mergeCell ref="KJ31:KM31"/>
    <mergeCell ref="LF31:LI31"/>
    <mergeCell ref="KY30:LA30"/>
    <mergeCell ref="KY31:LA31"/>
    <mergeCell ref="KZ32:LB32"/>
    <mergeCell ref="LF32:LI32"/>
    <mergeCell ref="KZ33:LB33"/>
    <mergeCell ref="LF33:LI33"/>
    <mergeCell ref="LF34:LI34"/>
    <mergeCell ref="LF35:LH35"/>
    <mergeCell ref="KZ37:LA37"/>
    <mergeCell ref="LA38:LB38"/>
    <mergeCell ref="FS17:FY17"/>
    <mergeCell ref="GQ17:GT17"/>
    <mergeCell ref="DQ17:DY17"/>
    <mergeCell ref="ED17:EG17"/>
    <mergeCell ref="EM17:EO17"/>
    <mergeCell ref="ET17:EV17"/>
    <mergeCell ref="EY17:FC17"/>
    <mergeCell ref="FE17:FH17"/>
    <mergeCell ref="FL17:FQ17"/>
    <mergeCell ref="CS18:CY18"/>
    <mergeCell ref="DC18:DH18"/>
    <mergeCell ref="DK18:DT18"/>
    <mergeCell ref="DW18:EA18"/>
    <mergeCell ref="EE18:EH18"/>
    <mergeCell ref="EM18:EO18"/>
    <mergeCell ref="ET18:EV18"/>
    <mergeCell ref="EY18:FC18"/>
    <mergeCell ref="FF18:FG18"/>
    <mergeCell ref="FI18:FM18"/>
    <mergeCell ref="FP18:FQ18"/>
    <mergeCell ref="FU18:FX18"/>
    <mergeCell ref="GP18:GR18"/>
    <mergeCell ref="GV18:GY18"/>
    <mergeCell ref="BM18:BQ18"/>
    <mergeCell ref="BN19:BQ19"/>
    <mergeCell ref="CB18:CK18"/>
    <mergeCell ref="CB19:CK19"/>
    <mergeCell ref="CM19:CR19"/>
    <mergeCell ref="DD19:DL19"/>
    <mergeCell ref="DP19:DW19"/>
    <mergeCell ref="DY19:EA19"/>
    <mergeCell ref="EE19:EH19"/>
    <mergeCell ref="JN18:JR18"/>
    <mergeCell ref="JO19:JR19"/>
    <mergeCell ref="JW19:KE19"/>
    <mergeCell ref="KI19:KM19"/>
    <mergeCell ref="LA19:LH19"/>
    <mergeCell ref="HR18:HU18"/>
    <mergeCell ref="IU18:IW18"/>
    <mergeCell ref="JC18:JD18"/>
    <mergeCell ref="JG18:JK18"/>
    <mergeCell ref="JW18:KE18"/>
    <mergeCell ref="KI18:KN18"/>
    <mergeCell ref="KZ18:LG18"/>
    <mergeCell ref="AK18:AO18"/>
    <mergeCell ref="BD18:BJ18"/>
    <mergeCell ref="BT18:BW18"/>
    <mergeCell ref="CO18:CQ18"/>
    <mergeCell ref="AL19:AO19"/>
    <mergeCell ref="BG19:BJ19"/>
    <mergeCell ref="BT19:BW19"/>
    <mergeCell ref="BT20:BW20"/>
    <mergeCell ref="BY20:CC20"/>
    <mergeCell ref="CI20:CR20"/>
    <mergeCell ref="DC20:DJ20"/>
    <mergeCell ref="DL20:DT20"/>
    <mergeCell ref="DW20:DZ20"/>
    <mergeCell ref="EF20:EH20"/>
    <mergeCell ref="IU20:IV20"/>
    <mergeCell ref="JG20:JK20"/>
    <mergeCell ref="JO20:JR20"/>
    <mergeCell ref="JV20:KC20"/>
    <mergeCell ref="KE20:KF20"/>
    <mergeCell ref="KI20:KM20"/>
    <mergeCell ref="KZ20:LF20"/>
    <mergeCell ref="LH20:LI20"/>
    <mergeCell ref="BN20:BQ20"/>
    <mergeCell ref="BN21:BP21"/>
    <mergeCell ref="BT21:BW21"/>
    <mergeCell ref="BZ21:CD21"/>
    <mergeCell ref="CI21:CQ21"/>
    <mergeCell ref="DA21:DC21"/>
    <mergeCell ref="DE21:DL21"/>
    <mergeCell ref="KW22:LA22"/>
    <mergeCell ref="LC22:LH22"/>
    <mergeCell ref="KX23:LB23"/>
    <mergeCell ref="LE23:LI23"/>
    <mergeCell ref="EF22:EH22"/>
    <mergeCell ref="EZ22:FC22"/>
    <mergeCell ref="FG22:FJ22"/>
    <mergeCell ref="FM22:FQ22"/>
    <mergeCell ref="FV22:FX22"/>
    <mergeCell ref="KC22:KJ22"/>
    <mergeCell ref="KM22:KO22"/>
    <mergeCell ref="CB23:CH23"/>
    <mergeCell ref="CN23:CR23"/>
    <mergeCell ref="DA23:DE23"/>
    <mergeCell ref="DI23:DP23"/>
    <mergeCell ref="DR23:DT23"/>
    <mergeCell ref="DX23:EA23"/>
    <mergeCell ref="EF23:EG23"/>
    <mergeCell ref="KC23:KJ23"/>
    <mergeCell ref="KL23:KM23"/>
    <mergeCell ref="KD25:KJ25"/>
    <mergeCell ref="KL25:KM25"/>
    <mergeCell ref="KA26:KF26"/>
    <mergeCell ref="KJ26:KN26"/>
    <mergeCell ref="FG23:FJ23"/>
    <mergeCell ref="FG24:FJ24"/>
    <mergeCell ref="FV23:FX23"/>
    <mergeCell ref="FV24:FW24"/>
    <mergeCell ref="FB23:FC23"/>
    <mergeCell ref="FM23:FQ23"/>
    <mergeCell ref="JH23:JK23"/>
    <mergeCell ref="JV23:JZ23"/>
    <mergeCell ref="FB24:FC24"/>
    <mergeCell ref="FN24:FQ24"/>
    <mergeCell ref="JH24:JK24"/>
    <mergeCell ref="LE25:LI25"/>
    <mergeCell ref="LE26:LI26"/>
    <mergeCell ref="KY27:LB27"/>
    <mergeCell ref="LE27:LI27"/>
    <mergeCell ref="JW24:JX24"/>
    <mergeCell ref="JZ24:KF24"/>
    <mergeCell ref="KI24:KM24"/>
    <mergeCell ref="KX24:LA24"/>
    <mergeCell ref="LE24:LI24"/>
    <mergeCell ref="KX25:LA25"/>
    <mergeCell ref="KY26:LB26"/>
    <mergeCell ref="JO23:JQ23"/>
    <mergeCell ref="JP24:JR24"/>
    <mergeCell ref="JH25:JK25"/>
    <mergeCell ref="JP25:JR25"/>
    <mergeCell ref="JV25:JZ25"/>
    <mergeCell ref="JP26:JR26"/>
    <mergeCell ref="JV26:JY26"/>
    <mergeCell ref="BZ28:CD28"/>
    <mergeCell ref="CG28:CK28"/>
    <mergeCell ref="CO28:CQ28"/>
    <mergeCell ref="DB28:DE28"/>
    <mergeCell ref="DH28:DM28"/>
    <mergeCell ref="DP28:DS28"/>
    <mergeCell ref="BO27:BP27"/>
    <mergeCell ref="BO28:BP28"/>
    <mergeCell ref="BP29:BQ29"/>
    <mergeCell ref="CA29:CC29"/>
    <mergeCell ref="CE29:CI29"/>
    <mergeCell ref="CP29:CR29"/>
    <mergeCell ref="DC29:DG29"/>
    <mergeCell ref="CP30:CQ30"/>
    <mergeCell ref="CP31:CQ31"/>
    <mergeCell ref="DI30:DM30"/>
    <mergeCell ref="DI31:DM31"/>
    <mergeCell ref="CA30:CD30"/>
    <mergeCell ref="CG30:CK30"/>
    <mergeCell ref="DC30:DF30"/>
    <mergeCell ref="DQ30:DT30"/>
    <mergeCell ref="CA31:CD31"/>
    <mergeCell ref="CI31:CM31"/>
    <mergeCell ref="DC31:DF31"/>
    <mergeCell ref="DQ31:DT31"/>
    <mergeCell ref="CG32:CJ32"/>
    <mergeCell ref="CH33:CK33"/>
    <mergeCell ref="BA30:BC30"/>
    <mergeCell ref="BA31:BC31"/>
    <mergeCell ref="BA32:BC32"/>
    <mergeCell ref="CA32:CD32"/>
    <mergeCell ref="CP32:CQ32"/>
    <mergeCell ref="DC32:DF32"/>
    <mergeCell ref="CA33:CD33"/>
    <mergeCell ref="KC34:KF34"/>
    <mergeCell ref="KC35:KF35"/>
    <mergeCell ref="KB30:KF30"/>
    <mergeCell ref="KB31:KF31"/>
    <mergeCell ref="KC32:KF32"/>
    <mergeCell ref="KJ32:KM32"/>
    <mergeCell ref="KC33:KF33"/>
    <mergeCell ref="KJ33:KM33"/>
    <mergeCell ref="KJ34:KM34"/>
    <mergeCell ref="KJ35:KM35"/>
  </mergeCells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W3" s="66" t="str">
        <f>hyperlink("http://www.lightfieldfilm.org/", "Light Field")</f>
        <v>Light Field</v>
      </c>
      <c r="CC3" s="43" t="s">
        <v>50</v>
      </c>
      <c r="CZ3" s="45"/>
      <c r="DA3" s="232" t="str">
        <f>hyperlink("https://www.experimentsincinema.org/", "Experiments in Cinema")</f>
        <v>Experiments in Cinema</v>
      </c>
      <c r="DF3" s="43" t="s">
        <v>50</v>
      </c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232" t="str">
        <f>hyperlink("https://www.cinemarfa.org/", "CineMarfa Film Festival")</f>
        <v>CineMarfa Film Festival</v>
      </c>
      <c r="EB3" s="43" t="s">
        <v>50</v>
      </c>
      <c r="EC3" s="45"/>
      <c r="ED3" s="45"/>
      <c r="IA3" s="45"/>
      <c r="IB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N3" s="45"/>
      <c r="KT3" s="45"/>
      <c r="KU3" s="45"/>
      <c r="KV3" s="45"/>
      <c r="KW3" s="45"/>
      <c r="LQ3" s="45"/>
      <c r="LR3" s="45"/>
      <c r="LS3" s="45"/>
      <c r="MA3" s="66" t="str">
        <f>hyperlink("http://mononoawarefilm.com/", "MONO NO AWARE")</f>
        <v>MONO NO AWARE</v>
      </c>
      <c r="MK3" s="43" t="s">
        <v>50</v>
      </c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232" t="str">
        <f>hyperlink("http://www.onioncityfilmfest.org/", "Onion City Experimental Film + Video Festival")</f>
        <v>Onion City Experimental Film + Video Festival</v>
      </c>
      <c r="BX4" s="43" t="s">
        <v>50</v>
      </c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E4" s="45"/>
      <c r="JY4" s="45"/>
      <c r="KZ4" s="45"/>
      <c r="LC4" s="45"/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O5" s="45"/>
      <c r="JS5" s="45"/>
      <c r="JT5" s="45"/>
      <c r="KA5" s="45"/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18">
    <mergeCell ref="GA1:HE1"/>
    <mergeCell ref="HF1:IJ1"/>
    <mergeCell ref="IK1:JN1"/>
    <mergeCell ref="JO1:KS1"/>
    <mergeCell ref="KT1:LW1"/>
    <mergeCell ref="LX1:NB1"/>
    <mergeCell ref="BW3:CB3"/>
    <mergeCell ref="DA3:DE3"/>
    <mergeCell ref="DQ3:EA3"/>
    <mergeCell ref="MA3:MJ3"/>
    <mergeCell ref="BT4:BW4"/>
    <mergeCell ref="A1:A2"/>
    <mergeCell ref="B1:AF1"/>
    <mergeCell ref="AG1:BH1"/>
    <mergeCell ref="BI1:CM1"/>
    <mergeCell ref="CN1:DQ1"/>
    <mergeCell ref="DR1:EV1"/>
    <mergeCell ref="EW1:FZ1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hidden="1" min="1" max="1" width="15.57"/>
    <col customWidth="1" min="2" max="2" width="2.0"/>
    <col customWidth="1" min="3" max="3" width="87.43"/>
    <col customWidth="1" min="4" max="4" width="2.0"/>
    <col customWidth="1" min="5" max="5" width="19.29"/>
    <col customWidth="1" min="6" max="6" width="5.86"/>
    <col customWidth="1" min="7" max="7" width="11.57"/>
    <col customWidth="1" min="8" max="8" width="20.14"/>
    <col customWidth="1" min="9" max="9" width="1.71"/>
  </cols>
  <sheetData>
    <row r="1">
      <c r="A1" s="423" t="s">
        <v>1318</v>
      </c>
      <c r="B1" s="424"/>
      <c r="C1" s="425" t="s">
        <v>1319</v>
      </c>
      <c r="D1" s="424"/>
      <c r="E1" s="426" t="s">
        <v>1320</v>
      </c>
      <c r="F1" s="427"/>
      <c r="G1" s="427"/>
      <c r="H1" s="428"/>
      <c r="I1" s="429"/>
    </row>
    <row r="2" ht="15.0" customHeight="1">
      <c r="A2" s="414" t="str">
        <f>IMAGE(GOOGLEANALYTICS("UA-149355390-1", "2020 Film Festival Database &amp; Calendar",sheetName()))</f>
        <v/>
      </c>
      <c r="B2" s="424"/>
      <c r="C2" s="430" t="str">
        <f>HYPERLINK("http://www.filmfestivaldatabase.com/subscribe","Subscribe to our mailing list to receive quarterly updates from Film Festival Database!")</f>
        <v>Subscribe to our mailing list to receive quarterly updates from Film Festival Database!</v>
      </c>
      <c r="D2" s="424"/>
      <c r="E2" s="431"/>
      <c r="F2" s="432"/>
      <c r="G2" s="432"/>
      <c r="H2" s="433"/>
      <c r="I2" s="434"/>
    </row>
    <row r="3">
      <c r="A3" s="435"/>
      <c r="B3" s="424"/>
      <c r="C3" s="436" t="s">
        <v>1328</v>
      </c>
      <c r="D3" s="424"/>
      <c r="E3" s="437" t="s">
        <v>1330</v>
      </c>
      <c r="H3" s="438"/>
      <c r="I3" s="434"/>
    </row>
    <row r="4">
      <c r="A4" s="424"/>
      <c r="B4" s="424"/>
      <c r="C4" s="439" t="s">
        <v>1332</v>
      </c>
      <c r="D4" s="424"/>
      <c r="E4" s="440" t="str">
        <f>HYPERLINK("http://www.getelevent.com/","ELEVENT")</f>
        <v>ELEVENT</v>
      </c>
      <c r="H4" s="438"/>
      <c r="I4" s="434"/>
    </row>
    <row r="5">
      <c r="A5" s="424"/>
      <c r="B5" s="424"/>
      <c r="D5" s="424"/>
      <c r="E5" s="441" t="s">
        <v>1335</v>
      </c>
      <c r="H5" s="438"/>
      <c r="I5" s="434"/>
    </row>
    <row r="6">
      <c r="A6" s="424"/>
      <c r="B6" s="424"/>
      <c r="C6" s="442" t="s">
        <v>1337</v>
      </c>
      <c r="D6" s="424"/>
      <c r="E6" s="443" t="str">
        <f>HYPERLINK("https://filmfestivalalliance.org/","FILM FESTIVAL ALLIANCE")</f>
        <v>FILM FESTIVAL ALLIANCE</v>
      </c>
      <c r="H6" s="438"/>
      <c r="I6" s="444"/>
    </row>
    <row r="7" ht="15.75" customHeight="1">
      <c r="A7" s="424"/>
      <c r="B7" s="424"/>
      <c r="C7" s="445" t="s">
        <v>1340</v>
      </c>
      <c r="D7" s="424"/>
      <c r="E7" s="446" t="s">
        <v>1341</v>
      </c>
      <c r="H7" s="438"/>
      <c r="I7" s="447"/>
    </row>
    <row r="8" ht="15.75" customHeight="1">
      <c r="A8" s="424"/>
      <c r="B8" s="424"/>
      <c r="C8" s="448" t="s">
        <v>1344</v>
      </c>
      <c r="D8" s="424"/>
      <c r="E8" s="443" t="str">
        <f>HYPERLINK("https://www.soundstripe.com/","SOUNDSTRIPE")</f>
        <v>SOUNDSTRIPE</v>
      </c>
      <c r="H8" s="438"/>
      <c r="I8" s="429"/>
    </row>
    <row r="9" ht="15.75" customHeight="1">
      <c r="A9" s="424"/>
      <c r="B9" s="424"/>
      <c r="C9" s="449" t="s">
        <v>1346</v>
      </c>
      <c r="D9" s="424"/>
      <c r="E9" s="450" t="s">
        <v>1351</v>
      </c>
      <c r="H9" s="438"/>
      <c r="I9" s="451"/>
    </row>
    <row r="10" ht="15.75" customHeight="1">
      <c r="A10" s="424"/>
      <c r="B10" s="424"/>
      <c r="C10" s="452" t="s">
        <v>1352</v>
      </c>
      <c r="D10" s="424"/>
      <c r="E10" s="453" t="s">
        <v>1354</v>
      </c>
      <c r="H10" s="438"/>
      <c r="I10" s="451"/>
    </row>
    <row r="11" ht="15.75" customHeight="1">
      <c r="A11" s="424"/>
      <c r="B11" s="424"/>
      <c r="C11" s="448" t="s">
        <v>1356</v>
      </c>
      <c r="D11" s="424"/>
      <c r="E11" s="454"/>
      <c r="H11" s="438"/>
      <c r="I11" s="451"/>
    </row>
    <row r="12" ht="15.75" customHeight="1">
      <c r="A12" s="424"/>
      <c r="B12" s="424"/>
      <c r="C12" s="455"/>
      <c r="D12" s="424"/>
      <c r="E12" s="456" t="str">
        <f>HYPERLINK("https://eventive.org/","Eventive")</f>
        <v>Eventive</v>
      </c>
      <c r="H12" s="438"/>
      <c r="I12" s="457"/>
    </row>
    <row r="13" ht="15.75" customHeight="1">
      <c r="A13" s="424"/>
      <c r="B13" s="424"/>
      <c r="C13" s="458" t="s">
        <v>1362</v>
      </c>
      <c r="D13" s="424"/>
      <c r="E13" s="459" t="s">
        <v>1366</v>
      </c>
      <c r="H13" s="438"/>
      <c r="I13" s="457"/>
    </row>
    <row r="14" ht="15.75" customHeight="1">
      <c r="A14" s="424"/>
      <c r="B14" s="424"/>
      <c r="C14" s="452" t="s">
        <v>1368</v>
      </c>
      <c r="D14" s="424"/>
      <c r="E14" s="460" t="str">
        <f>HYPERLINK("http://www.indevu.com/","Indevu Films ")</f>
        <v>Indevu Films </v>
      </c>
      <c r="H14" s="438"/>
      <c r="I14" s="457"/>
    </row>
    <row r="15" ht="15.75" customHeight="1">
      <c r="A15" s="461"/>
      <c r="B15" s="461"/>
      <c r="C15" s="455"/>
      <c r="D15" s="461"/>
      <c r="E15" s="462" t="s">
        <v>1370</v>
      </c>
      <c r="H15" s="438"/>
      <c r="I15" s="463"/>
    </row>
    <row r="16" ht="15.75" customHeight="1">
      <c r="A16" s="424"/>
      <c r="B16" s="424"/>
      <c r="C16" s="458" t="s">
        <v>1371</v>
      </c>
      <c r="D16" s="424"/>
      <c r="E16" s="464"/>
      <c r="H16" s="438"/>
      <c r="I16" s="457"/>
    </row>
    <row r="17" ht="15.75" customHeight="1">
      <c r="A17" s="424"/>
      <c r="B17" s="424"/>
      <c r="C17" s="452" t="s">
        <v>1374</v>
      </c>
      <c r="D17" s="424"/>
      <c r="E17" s="465" t="s">
        <v>1375</v>
      </c>
      <c r="H17" s="438"/>
      <c r="I17" s="466"/>
    </row>
    <row r="18" ht="15.75" customHeight="1">
      <c r="A18" s="424"/>
      <c r="B18" s="424"/>
      <c r="C18" s="452" t="s">
        <v>1377</v>
      </c>
      <c r="D18" s="424"/>
      <c r="E18" s="467" t="str">
        <f>HYPERLINK("https://filmfreeway.com/","FilmFreeway")</f>
        <v>FilmFreeway</v>
      </c>
      <c r="H18" s="438"/>
      <c r="I18" s="466"/>
    </row>
    <row r="19" ht="15.75" customHeight="1">
      <c r="A19" s="424"/>
      <c r="B19" s="424"/>
      <c r="C19" s="452" t="s">
        <v>1381</v>
      </c>
      <c r="D19" s="424"/>
      <c r="E19" s="467" t="str">
        <f>HYPERLINK("http://reelplan.com/","Reel Plan")</f>
        <v>Reel Plan</v>
      </c>
      <c r="H19" s="438"/>
      <c r="I19" s="468"/>
    </row>
    <row r="20" ht="15.75" customHeight="1">
      <c r="A20" s="424"/>
      <c r="B20" s="424"/>
      <c r="C20" s="452" t="s">
        <v>1383</v>
      </c>
      <c r="D20" s="424"/>
      <c r="E20" s="469" t="str">
        <f>HYPERLINK("https://www.seedandspark.com/","Seed&amp;Spark")</f>
        <v>Seed&amp;Spark</v>
      </c>
      <c r="F20" s="471"/>
      <c r="G20" s="471"/>
      <c r="H20" s="472"/>
      <c r="I20" s="468"/>
    </row>
    <row r="21" ht="15.75" customHeight="1">
      <c r="A21" s="424"/>
      <c r="B21" s="424"/>
      <c r="C21" s="452" t="s">
        <v>1387</v>
      </c>
      <c r="D21" s="424"/>
      <c r="I21" s="473"/>
    </row>
    <row r="22" ht="15.75" customHeight="1">
      <c r="A22" s="424"/>
      <c r="B22" s="424"/>
      <c r="C22" s="452" t="s">
        <v>1388</v>
      </c>
      <c r="D22" s="424"/>
      <c r="E22" s="474" t="s">
        <v>1389</v>
      </c>
      <c r="F22" s="475"/>
      <c r="G22" s="475"/>
      <c r="H22" s="476"/>
      <c r="I22" s="477"/>
    </row>
    <row r="23" ht="15.75" customHeight="1">
      <c r="A23" s="424"/>
      <c r="B23" s="424"/>
      <c r="C23" s="452" t="s">
        <v>1394</v>
      </c>
      <c r="D23" s="424"/>
      <c r="E23" s="478" t="s">
        <v>1395</v>
      </c>
      <c r="F23" s="427"/>
      <c r="G23" s="427"/>
      <c r="H23" s="428"/>
      <c r="I23" s="473"/>
    </row>
    <row r="24" ht="15.75" customHeight="1">
      <c r="A24" s="424"/>
      <c r="B24" s="424"/>
      <c r="C24" s="479"/>
      <c r="D24" s="424"/>
      <c r="E24" s="454"/>
      <c r="H24" s="438"/>
      <c r="I24" s="473"/>
    </row>
    <row r="25">
      <c r="A25" s="424"/>
      <c r="B25" s="424"/>
      <c r="D25" s="424"/>
      <c r="E25" s="454"/>
      <c r="H25" s="438"/>
      <c r="I25" s="473"/>
    </row>
    <row r="26">
      <c r="A26" s="424"/>
      <c r="B26" s="424"/>
      <c r="C26" s="480" t="s">
        <v>1400</v>
      </c>
      <c r="D26" s="424"/>
      <c r="E26" s="481" t="str">
        <f>HYPERLINK("https://www.paypal.com/cgi-bin/webscr?cmd=_donations&amp;business=info@filmfestivaldatabase.com&amp;lc=US&amp;item_name=Film+Festival+Database&amp;no_note=0&amp;cn=&amp;curency_code=USD&amp;bn=PP-DonationsBF:btn_donateCC_LG.gif:NonHosted","CLICK HERE TO SUPPORT THE FILM FESTIVAL DATABASE")</f>
        <v>CLICK HERE TO SUPPORT THE FILM FESTIVAL DATABASE</v>
      </c>
      <c r="F26" s="471"/>
      <c r="G26" s="471"/>
      <c r="H26" s="472"/>
      <c r="I26" s="473"/>
    </row>
    <row r="27">
      <c r="A27" s="424"/>
      <c r="B27" s="424"/>
      <c r="C27" s="482" t="s">
        <v>1402</v>
      </c>
      <c r="D27" s="424"/>
      <c r="E27" s="444"/>
      <c r="F27" s="473"/>
      <c r="G27" s="473"/>
      <c r="H27" s="473"/>
      <c r="I27" s="447"/>
    </row>
    <row r="28" ht="15.75" customHeight="1">
      <c r="A28" s="424"/>
      <c r="B28" s="424"/>
      <c r="C28" s="483" t="s">
        <v>1405</v>
      </c>
      <c r="D28" s="424"/>
      <c r="E28" s="484" t="s">
        <v>1408</v>
      </c>
      <c r="F28" s="475"/>
      <c r="G28" s="475"/>
      <c r="H28" s="476"/>
      <c r="I28" s="447"/>
    </row>
    <row r="29">
      <c r="A29" s="424"/>
      <c r="B29" s="424"/>
      <c r="C29" s="483" t="s">
        <v>1411</v>
      </c>
      <c r="D29" s="424"/>
      <c r="E29" s="485"/>
      <c r="F29" s="427"/>
      <c r="G29" s="427"/>
      <c r="H29" s="428"/>
      <c r="I29" s="447"/>
    </row>
    <row r="30">
      <c r="A30" s="424"/>
      <c r="B30" s="424"/>
      <c r="C30" s="483" t="s">
        <v>1413</v>
      </c>
      <c r="D30" s="424"/>
      <c r="E30" s="486" t="str">
        <f>HYPERLINK("https://goo.gl/forms/RP5KXsCRO9jfU6Hh2","Request to add festival to database")</f>
        <v>Request to add festival to database</v>
      </c>
      <c r="H30" s="438"/>
      <c r="I30" s="447"/>
    </row>
    <row r="31">
      <c r="A31" s="424"/>
      <c r="B31" s="424"/>
      <c r="C31" s="483" t="s">
        <v>1417</v>
      </c>
      <c r="D31" s="424"/>
      <c r="E31" s="487" t="s">
        <v>1418</v>
      </c>
      <c r="H31" s="438"/>
      <c r="I31" s="447"/>
    </row>
    <row r="32">
      <c r="A32" s="424"/>
      <c r="B32" s="424"/>
      <c r="C32" s="488" t="s">
        <v>1420</v>
      </c>
      <c r="D32" s="424"/>
      <c r="E32" s="489"/>
      <c r="F32" s="490"/>
      <c r="G32" s="490"/>
      <c r="H32" s="491"/>
      <c r="I32" s="447"/>
    </row>
    <row r="33">
      <c r="A33" s="424"/>
      <c r="B33" s="424"/>
      <c r="D33" s="424"/>
      <c r="E33" s="492" t="str">
        <f>HYPERLINK("https://drive.google.com/open?id=1gOC4Ff4AuqLF0a-a3om9JN8lUIBweUn641FNZLEQ-_s","Submit 2020 Festival Dates / Submission Deadlines")</f>
        <v>Submit 2020 Festival Dates / Submission Deadlines</v>
      </c>
      <c r="H33" s="438"/>
      <c r="I33" s="447"/>
    </row>
    <row r="34">
      <c r="A34" s="424"/>
      <c r="B34" s="424"/>
      <c r="C34" s="493" t="s">
        <v>1426</v>
      </c>
      <c r="D34" s="424"/>
      <c r="E34" s="494"/>
      <c r="F34" s="495"/>
      <c r="G34" s="495"/>
      <c r="H34" s="496"/>
      <c r="I34" s="447"/>
    </row>
    <row r="35">
      <c r="A35" s="424"/>
      <c r="B35" s="424"/>
      <c r="C35" s="497"/>
      <c r="D35" s="424"/>
      <c r="E35" s="498" t="str">
        <f>HYPERLINK("https://drive.google.com/open?id=19r83kk1zpxp88_TntnWLYB8QK07Sj84WBpX9KAF6Dbg","Submit 2021 Festival Dates / Submission Deadlines")</f>
        <v>Submit 2021 Festival Dates / Submission Deadlines</v>
      </c>
      <c r="H35" s="438"/>
      <c r="I35" s="447"/>
    </row>
    <row r="36" ht="15.75" customHeight="1">
      <c r="A36" s="424"/>
      <c r="B36" s="424"/>
      <c r="C36" s="499" t="str">
        <f>HYPERLINK("https://twitter.com/mpforstein","Michael Forstein")</f>
        <v>Michael Forstein</v>
      </c>
      <c r="D36" s="424"/>
      <c r="E36" s="500"/>
      <c r="H36" s="438"/>
      <c r="I36" s="447"/>
    </row>
    <row r="37">
      <c r="A37" s="424"/>
      <c r="B37" s="424"/>
      <c r="C37" s="501">
        <v>43781.0</v>
      </c>
      <c r="D37" s="424"/>
      <c r="E37" s="498" t="str">
        <f>HYPERLINK("https://drive.google.com/open?id=1rdT_IPvfTt198XPEO8P2zHaO3jdNUchMWESLryQx8cY","Request to make edit or correct error")</f>
        <v>Request to make edit or correct error</v>
      </c>
      <c r="H37" s="438"/>
      <c r="I37" s="447"/>
    </row>
    <row r="38">
      <c r="A38" s="424"/>
      <c r="B38" s="424"/>
      <c r="C38" s="502"/>
      <c r="D38" s="424"/>
      <c r="E38" s="500"/>
      <c r="H38" s="438"/>
      <c r="I38" s="503"/>
    </row>
    <row r="39">
      <c r="A39" s="424"/>
      <c r="B39" s="424"/>
      <c r="C39" s="504" t="s">
        <v>1439</v>
      </c>
      <c r="D39" s="424"/>
      <c r="E39" s="505" t="s">
        <v>1440</v>
      </c>
      <c r="H39" s="438"/>
      <c r="I39" s="506"/>
    </row>
    <row r="40">
      <c r="A40" s="424"/>
      <c r="B40" s="424"/>
      <c r="C40" s="508" t="s">
        <v>1443</v>
      </c>
      <c r="D40" s="424"/>
      <c r="E40" s="509" t="str">
        <f>HYPERLINK("mailto:info@filmfestivaldatabase.com","info@filmfestivaldatabase.com")</f>
        <v>info@filmfestivaldatabase.com</v>
      </c>
      <c r="H40" s="438"/>
      <c r="I40" s="510"/>
    </row>
    <row r="41">
      <c r="A41" s="424"/>
      <c r="B41" s="424"/>
      <c r="C41" s="508" t="s">
        <v>1445</v>
      </c>
      <c r="D41" s="424"/>
      <c r="E41" s="511"/>
      <c r="F41" s="471"/>
      <c r="G41" s="471"/>
      <c r="H41" s="472"/>
      <c r="I41" s="512"/>
    </row>
    <row r="42">
      <c r="A42" s="424"/>
      <c r="B42" s="424"/>
      <c r="C42" s="508" t="s">
        <v>1449</v>
      </c>
      <c r="D42" s="424"/>
      <c r="E42" s="513"/>
      <c r="F42" s="513"/>
      <c r="G42" s="513"/>
      <c r="H42" s="513"/>
      <c r="I42" s="512"/>
    </row>
    <row r="43">
      <c r="A43" s="424"/>
      <c r="B43" s="424"/>
      <c r="C43" s="514"/>
      <c r="D43" s="424"/>
      <c r="E43" s="515" t="s">
        <v>1450</v>
      </c>
      <c r="F43" s="427"/>
      <c r="G43" s="427"/>
      <c r="H43" s="428"/>
      <c r="I43" s="516"/>
    </row>
    <row r="44">
      <c r="A44" s="424"/>
      <c r="B44" s="424"/>
      <c r="C44" s="508" t="s">
        <v>1453</v>
      </c>
      <c r="D44" s="424"/>
      <c r="E44" s="517" t="s">
        <v>1454</v>
      </c>
      <c r="F44" s="427"/>
      <c r="G44" s="427"/>
      <c r="H44" s="428"/>
      <c r="I44" s="503"/>
    </row>
    <row r="45">
      <c r="A45" s="424"/>
      <c r="B45" s="424"/>
      <c r="C45" s="508" t="s">
        <v>1455</v>
      </c>
      <c r="D45" s="424"/>
      <c r="E45" s="519" t="s">
        <v>1456</v>
      </c>
      <c r="H45" s="438"/>
      <c r="I45" s="506"/>
    </row>
    <row r="46">
      <c r="A46" s="424"/>
      <c r="B46" s="424"/>
      <c r="C46" s="508"/>
      <c r="D46" s="424"/>
      <c r="E46" s="519" t="s">
        <v>1460</v>
      </c>
      <c r="H46" s="438"/>
      <c r="I46" s="513"/>
    </row>
    <row r="47">
      <c r="A47" s="424"/>
      <c r="B47" s="424"/>
      <c r="C47" s="508" t="s">
        <v>1461</v>
      </c>
      <c r="D47" s="424"/>
      <c r="E47" s="520" t="s">
        <v>1462</v>
      </c>
      <c r="F47" s="471"/>
      <c r="G47" s="471"/>
      <c r="H47" s="472"/>
      <c r="I47" s="521"/>
    </row>
    <row r="48" ht="12.0" customHeight="1">
      <c r="A48" s="424"/>
      <c r="B48" s="424"/>
      <c r="C48" s="504" t="s">
        <v>1467</v>
      </c>
      <c r="D48" s="424"/>
      <c r="E48" s="522"/>
      <c r="I48" s="503"/>
    </row>
    <row r="49" ht="30.0" customHeight="1">
      <c r="A49" s="424"/>
      <c r="B49" s="424"/>
      <c r="C49" s="504" t="s">
        <v>1469</v>
      </c>
      <c r="D49" s="424"/>
      <c r="E49" s="522"/>
      <c r="F49" s="522"/>
      <c r="G49" s="522"/>
      <c r="H49" s="522"/>
      <c r="I49" s="503"/>
    </row>
    <row r="50" ht="15.75" customHeight="1">
      <c r="A50" s="424"/>
      <c r="B50" s="424"/>
      <c r="C50" s="523" t="str">
        <f>HYPERLINK("twitter.com/mpforstein","@mpforstein")</f>
        <v>@mpforstein</v>
      </c>
      <c r="D50" s="424"/>
      <c r="E50" s="522"/>
      <c r="F50" s="522"/>
      <c r="G50" s="522"/>
      <c r="H50" s="522"/>
      <c r="I50" s="503"/>
    </row>
    <row r="51" ht="6.75" customHeight="1">
      <c r="A51" s="424"/>
      <c r="B51" s="424"/>
      <c r="C51" s="524"/>
      <c r="D51" s="424"/>
      <c r="E51" s="522"/>
      <c r="F51" s="522"/>
      <c r="G51" s="522"/>
      <c r="H51" s="522"/>
      <c r="I51" s="503"/>
    </row>
  </sheetData>
  <mergeCells count="39">
    <mergeCell ref="E1:H1"/>
    <mergeCell ref="E3:H3"/>
    <mergeCell ref="E4:H4"/>
    <mergeCell ref="E5:H5"/>
    <mergeCell ref="E6:H6"/>
    <mergeCell ref="E7:H7"/>
    <mergeCell ref="E8:H8"/>
    <mergeCell ref="E9:H9"/>
    <mergeCell ref="E10:H11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2:H22"/>
    <mergeCell ref="E23:H25"/>
    <mergeCell ref="E26:H26"/>
    <mergeCell ref="E28:H28"/>
    <mergeCell ref="E29:H29"/>
    <mergeCell ref="E30:H30"/>
    <mergeCell ref="E31:H31"/>
    <mergeCell ref="E33:H33"/>
    <mergeCell ref="E35:H35"/>
    <mergeCell ref="E36:H36"/>
    <mergeCell ref="E45:H45"/>
    <mergeCell ref="E46:H46"/>
    <mergeCell ref="E47:H47"/>
    <mergeCell ref="E48:H48"/>
    <mergeCell ref="E37:H37"/>
    <mergeCell ref="E38:H38"/>
    <mergeCell ref="E39:H39"/>
    <mergeCell ref="E40:H40"/>
    <mergeCell ref="E41:H41"/>
    <mergeCell ref="E43:H43"/>
    <mergeCell ref="E44:H44"/>
  </mergeCells>
  <hyperlinks>
    <hyperlink r:id="rId1" ref="C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6.71"/>
    <col customWidth="1" hidden="1" min="2" max="3" width="5.71"/>
    <col customWidth="1" min="4" max="4" width="11.0"/>
    <col customWidth="1" min="5" max="5" width="36.71"/>
    <col customWidth="1" min="6" max="6" width="46.14"/>
    <col customWidth="1" min="7" max="7" width="13.29"/>
    <col customWidth="1" min="8" max="8" width="13.14"/>
    <col customWidth="1" min="10" max="10" width="19.0"/>
  </cols>
  <sheetData>
    <row r="1">
      <c r="A1" s="525" t="s">
        <v>1479</v>
      </c>
      <c r="B1" s="526" t="s">
        <v>1480</v>
      </c>
      <c r="C1" s="526" t="s">
        <v>19</v>
      </c>
      <c r="D1" s="527" t="s">
        <v>1482</v>
      </c>
      <c r="E1" s="528" t="s">
        <v>1484</v>
      </c>
      <c r="F1" s="529" t="s">
        <v>1487</v>
      </c>
      <c r="G1" s="529" t="s">
        <v>1488</v>
      </c>
      <c r="H1" s="530" t="s">
        <v>1489</v>
      </c>
      <c r="I1" s="530" t="s">
        <v>1491</v>
      </c>
      <c r="J1" s="529" t="s">
        <v>1492</v>
      </c>
    </row>
    <row r="2">
      <c r="A2" s="531"/>
      <c r="B2" s="532"/>
      <c r="C2" s="533"/>
      <c r="D2" s="534"/>
      <c r="E2" s="537"/>
      <c r="F2" s="538"/>
      <c r="G2" s="539"/>
      <c r="H2" s="539"/>
      <c r="I2" s="539"/>
      <c r="J2" s="531"/>
    </row>
    <row r="3">
      <c r="A3" s="531"/>
      <c r="B3" s="532"/>
      <c r="C3" s="533"/>
      <c r="D3" s="534"/>
      <c r="E3" s="537"/>
      <c r="F3" s="538"/>
      <c r="G3" s="539"/>
      <c r="H3" s="539"/>
      <c r="I3" s="539"/>
      <c r="J3" s="531"/>
    </row>
    <row r="4">
      <c r="A4" s="531"/>
      <c r="B4" s="532"/>
      <c r="C4" s="533"/>
      <c r="D4" s="534">
        <v>43920.0</v>
      </c>
      <c r="E4" s="537" t="s">
        <v>1495</v>
      </c>
      <c r="F4" s="538" t="s">
        <v>1496</v>
      </c>
      <c r="G4" s="539" t="b">
        <v>0</v>
      </c>
      <c r="H4" s="539" t="b">
        <v>0</v>
      </c>
      <c r="I4" s="539" t="b">
        <v>0</v>
      </c>
      <c r="J4" s="531"/>
    </row>
    <row r="5">
      <c r="A5" s="531"/>
      <c r="B5" s="532"/>
      <c r="C5" s="533"/>
      <c r="D5" s="534">
        <v>43912.0</v>
      </c>
      <c r="E5" s="537" t="s">
        <v>1499</v>
      </c>
      <c r="F5" s="538" t="s">
        <v>1500</v>
      </c>
      <c r="G5" s="539" t="b">
        <v>0</v>
      </c>
      <c r="H5" s="539" t="b">
        <v>0</v>
      </c>
      <c r="I5" s="539" t="b">
        <v>0</v>
      </c>
      <c r="J5" s="531"/>
    </row>
    <row r="6">
      <c r="A6" s="531"/>
      <c r="B6" s="532"/>
      <c r="C6" s="533"/>
      <c r="D6" s="534">
        <v>43912.0</v>
      </c>
      <c r="E6" s="537" t="s">
        <v>1499</v>
      </c>
      <c r="F6" s="538" t="s">
        <v>1501</v>
      </c>
      <c r="G6" s="540" t="s">
        <v>1502</v>
      </c>
      <c r="H6" s="540" t="s">
        <v>1502</v>
      </c>
      <c r="I6" s="539" t="b">
        <v>0</v>
      </c>
      <c r="J6" s="531"/>
    </row>
    <row r="7">
      <c r="A7" s="531"/>
      <c r="B7" s="532"/>
      <c r="C7" s="533"/>
      <c r="D7" s="534">
        <v>43912.0</v>
      </c>
      <c r="E7" s="537" t="s">
        <v>1504</v>
      </c>
      <c r="F7" s="538" t="s">
        <v>1505</v>
      </c>
      <c r="G7" s="540" t="s">
        <v>1502</v>
      </c>
      <c r="H7" s="540" t="s">
        <v>1502</v>
      </c>
      <c r="I7" s="539" t="b">
        <v>0</v>
      </c>
      <c r="J7" s="531"/>
    </row>
    <row r="8">
      <c r="A8" s="531"/>
      <c r="B8" s="532"/>
      <c r="C8" s="533"/>
      <c r="D8" s="534">
        <v>43909.0</v>
      </c>
      <c r="E8" s="537" t="s">
        <v>1506</v>
      </c>
      <c r="F8" s="538" t="s">
        <v>1507</v>
      </c>
      <c r="G8" s="540" t="s">
        <v>1502</v>
      </c>
      <c r="H8" s="540" t="s">
        <v>1502</v>
      </c>
      <c r="I8" s="539" t="b">
        <v>0</v>
      </c>
      <c r="J8" s="538" t="s">
        <v>1508</v>
      </c>
    </row>
    <row r="9">
      <c r="A9" s="531"/>
      <c r="B9" s="532"/>
      <c r="C9" s="533"/>
      <c r="D9" s="534">
        <v>43908.0</v>
      </c>
      <c r="E9" s="537" t="s">
        <v>1509</v>
      </c>
      <c r="F9" s="538" t="s">
        <v>1510</v>
      </c>
      <c r="G9" s="539" t="b">
        <v>0</v>
      </c>
      <c r="H9" s="539" t="b">
        <v>0</v>
      </c>
      <c r="I9" s="539" t="b">
        <v>0</v>
      </c>
      <c r="J9" s="531"/>
    </row>
    <row r="10">
      <c r="A10" s="531"/>
      <c r="B10" s="532"/>
      <c r="C10" s="533"/>
      <c r="D10" s="534">
        <v>43907.0</v>
      </c>
      <c r="E10" s="537" t="s">
        <v>1511</v>
      </c>
      <c r="F10" s="538" t="s">
        <v>1512</v>
      </c>
      <c r="G10" s="539" t="b">
        <v>0</v>
      </c>
      <c r="H10" s="539" t="b">
        <v>0</v>
      </c>
      <c r="I10" s="539" t="b">
        <v>0</v>
      </c>
      <c r="J10" s="531"/>
    </row>
    <row r="11">
      <c r="A11" s="531"/>
      <c r="B11" s="532"/>
      <c r="C11" s="533"/>
      <c r="D11" s="534">
        <v>43905.0</v>
      </c>
      <c r="E11" s="537" t="s">
        <v>1514</v>
      </c>
      <c r="F11" s="538" t="s">
        <v>1515</v>
      </c>
      <c r="G11" s="539" t="b">
        <v>0</v>
      </c>
      <c r="H11" s="539" t="b">
        <v>0</v>
      </c>
      <c r="I11" s="539" t="b">
        <v>0</v>
      </c>
      <c r="J11" s="531"/>
    </row>
    <row r="12">
      <c r="A12" s="531"/>
      <c r="B12" s="532"/>
      <c r="C12" s="533"/>
      <c r="D12" s="534">
        <v>43904.0</v>
      </c>
      <c r="E12" s="537" t="s">
        <v>1516</v>
      </c>
      <c r="F12" s="538" t="s">
        <v>1496</v>
      </c>
      <c r="G12" s="539" t="b">
        <v>0</v>
      </c>
      <c r="H12" s="539" t="b">
        <v>0</v>
      </c>
      <c r="I12" s="539" t="b">
        <v>0</v>
      </c>
      <c r="J12" s="531"/>
    </row>
    <row r="13">
      <c r="A13" s="531"/>
      <c r="B13" s="532"/>
      <c r="C13" s="533"/>
      <c r="D13" s="534">
        <v>43902.0</v>
      </c>
      <c r="E13" s="537" t="s">
        <v>1518</v>
      </c>
      <c r="F13" s="538" t="s">
        <v>1515</v>
      </c>
      <c r="G13" s="539" t="b">
        <v>0</v>
      </c>
      <c r="H13" s="539" t="b">
        <v>0</v>
      </c>
      <c r="I13" s="539" t="b">
        <v>0</v>
      </c>
      <c r="J13" s="531"/>
    </row>
    <row r="14">
      <c r="A14" s="531"/>
      <c r="B14" s="532"/>
      <c r="C14" s="533"/>
      <c r="D14" s="534">
        <v>43902.0</v>
      </c>
      <c r="E14" s="537" t="s">
        <v>1521</v>
      </c>
      <c r="F14" s="538" t="s">
        <v>1515</v>
      </c>
      <c r="G14" s="539" t="b">
        <v>0</v>
      </c>
      <c r="H14" s="539" t="b">
        <v>0</v>
      </c>
      <c r="I14" s="539" t="b">
        <v>0</v>
      </c>
      <c r="J14" s="531"/>
    </row>
    <row r="15">
      <c r="A15" s="531"/>
      <c r="B15" s="532"/>
      <c r="C15" s="533"/>
      <c r="D15" s="541">
        <v>43902.0</v>
      </c>
      <c r="E15" s="542" t="s">
        <v>1522</v>
      </c>
      <c r="F15" s="543" t="s">
        <v>1524</v>
      </c>
      <c r="G15" s="544" t="s">
        <v>1525</v>
      </c>
    </row>
    <row r="16">
      <c r="A16" s="531"/>
      <c r="B16" s="532"/>
      <c r="C16" s="533"/>
      <c r="D16" s="534">
        <v>43902.0</v>
      </c>
      <c r="E16" s="537" t="s">
        <v>1526</v>
      </c>
      <c r="F16" s="538" t="s">
        <v>1527</v>
      </c>
      <c r="G16" s="539" t="b">
        <v>0</v>
      </c>
      <c r="H16" s="539" t="b">
        <v>0</v>
      </c>
      <c r="I16" s="539" t="b">
        <v>0</v>
      </c>
      <c r="J16" s="531"/>
    </row>
    <row r="17">
      <c r="A17" s="531"/>
      <c r="B17" s="532"/>
      <c r="C17" s="533"/>
      <c r="D17" s="534">
        <v>43902.0</v>
      </c>
      <c r="E17" s="545" t="s">
        <v>702</v>
      </c>
      <c r="F17" s="538" t="s">
        <v>1530</v>
      </c>
      <c r="G17" s="539" t="b">
        <v>0</v>
      </c>
      <c r="H17" s="539" t="b">
        <v>0</v>
      </c>
      <c r="I17" s="539" t="b">
        <v>0</v>
      </c>
      <c r="J17" s="531"/>
    </row>
    <row r="18">
      <c r="A18" s="531"/>
      <c r="B18" s="532"/>
      <c r="C18" s="533"/>
      <c r="D18" s="534">
        <v>43902.0</v>
      </c>
      <c r="E18" s="537" t="s">
        <v>1533</v>
      </c>
      <c r="F18" s="538" t="s">
        <v>1530</v>
      </c>
      <c r="G18" s="539" t="b">
        <v>0</v>
      </c>
      <c r="H18" s="539" t="b">
        <v>0</v>
      </c>
      <c r="I18" s="539" t="b">
        <v>0</v>
      </c>
      <c r="J18" s="531"/>
    </row>
    <row r="19">
      <c r="A19" s="531"/>
      <c r="B19" s="532"/>
      <c r="C19" s="533"/>
      <c r="D19" s="534">
        <v>43883.0</v>
      </c>
      <c r="E19" s="546" t="s">
        <v>1535</v>
      </c>
      <c r="F19" s="538" t="s">
        <v>1500</v>
      </c>
      <c r="G19" s="539" t="b">
        <v>1</v>
      </c>
      <c r="H19" s="539" t="b">
        <v>1</v>
      </c>
      <c r="I19" s="539" t="b">
        <v>0</v>
      </c>
      <c r="J19" s="531"/>
    </row>
    <row r="20">
      <c r="A20" s="531"/>
      <c r="B20" s="532"/>
      <c r="C20" s="533"/>
      <c r="D20" s="534">
        <v>43883.0</v>
      </c>
      <c r="E20" s="546" t="s">
        <v>1536</v>
      </c>
      <c r="F20" s="538" t="s">
        <v>1500</v>
      </c>
      <c r="G20" s="539" t="b">
        <v>1</v>
      </c>
      <c r="H20" s="539" t="b">
        <v>1</v>
      </c>
      <c r="I20" s="539" t="b">
        <v>0</v>
      </c>
      <c r="J20" s="531"/>
    </row>
    <row r="21">
      <c r="A21" s="531"/>
      <c r="B21" s="532"/>
      <c r="C21" s="533"/>
      <c r="D21" s="534">
        <v>43883.0</v>
      </c>
      <c r="E21" s="546" t="s">
        <v>1538</v>
      </c>
      <c r="F21" s="538" t="s">
        <v>1500</v>
      </c>
      <c r="G21" s="539" t="b">
        <v>1</v>
      </c>
      <c r="H21" s="539" t="b">
        <v>1</v>
      </c>
      <c r="I21" s="539" t="b">
        <v>0</v>
      </c>
      <c r="J21" s="531"/>
    </row>
    <row r="22">
      <c r="A22" s="531"/>
      <c r="B22" s="532"/>
      <c r="C22" s="533"/>
      <c r="D22" s="534">
        <v>43883.0</v>
      </c>
      <c r="E22" s="546" t="s">
        <v>1539</v>
      </c>
      <c r="F22" s="538" t="s">
        <v>1500</v>
      </c>
      <c r="G22" s="539" t="b">
        <v>1</v>
      </c>
      <c r="H22" s="539" t="b">
        <v>1</v>
      </c>
      <c r="I22" s="539" t="b">
        <v>0</v>
      </c>
      <c r="J22" s="531"/>
    </row>
    <row r="23">
      <c r="A23" s="531"/>
      <c r="B23" s="532"/>
      <c r="C23" s="533"/>
      <c r="D23" s="534">
        <v>43883.0</v>
      </c>
      <c r="E23" s="546" t="s">
        <v>1540</v>
      </c>
      <c r="F23" s="538" t="s">
        <v>1500</v>
      </c>
      <c r="G23" s="539" t="b">
        <v>1</v>
      </c>
      <c r="H23" s="539" t="b">
        <v>1</v>
      </c>
      <c r="I23" s="539" t="b">
        <v>0</v>
      </c>
      <c r="J23" s="531"/>
    </row>
    <row r="24">
      <c r="A24" s="531"/>
      <c r="B24" s="532"/>
      <c r="C24" s="533"/>
      <c r="D24" s="534">
        <v>43883.0</v>
      </c>
      <c r="E24" s="546" t="s">
        <v>1541</v>
      </c>
      <c r="F24" s="538" t="s">
        <v>1500</v>
      </c>
      <c r="G24" s="539" t="b">
        <v>1</v>
      </c>
      <c r="H24" s="539" t="b">
        <v>1</v>
      </c>
      <c r="I24" s="539" t="b">
        <v>0</v>
      </c>
      <c r="J24" s="531"/>
    </row>
    <row r="25">
      <c r="A25" s="531"/>
      <c r="B25" s="532"/>
      <c r="C25" s="533"/>
      <c r="D25" s="534">
        <v>43883.0</v>
      </c>
      <c r="E25" s="546" t="s">
        <v>1542</v>
      </c>
      <c r="F25" s="538" t="s">
        <v>1500</v>
      </c>
      <c r="G25" s="539" t="b">
        <v>1</v>
      </c>
      <c r="H25" s="539" t="b">
        <v>1</v>
      </c>
      <c r="I25" s="539" t="b">
        <v>0</v>
      </c>
      <c r="J25" s="531"/>
    </row>
    <row r="26">
      <c r="A26" s="531"/>
      <c r="B26" s="532"/>
      <c r="C26" s="533"/>
      <c r="D26" s="534">
        <v>43883.0</v>
      </c>
      <c r="E26" s="546" t="s">
        <v>1546</v>
      </c>
      <c r="F26" s="538" t="s">
        <v>1500</v>
      </c>
      <c r="G26" s="539" t="b">
        <v>1</v>
      </c>
      <c r="H26" s="539" t="b">
        <v>1</v>
      </c>
      <c r="I26" s="539" t="b">
        <v>0</v>
      </c>
      <c r="J26" s="531"/>
    </row>
    <row r="27">
      <c r="A27" s="531"/>
      <c r="B27" s="532"/>
      <c r="C27" s="533"/>
      <c r="D27" s="534">
        <v>43883.0</v>
      </c>
      <c r="E27" s="546" t="s">
        <v>1547</v>
      </c>
      <c r="F27" s="538" t="s">
        <v>1500</v>
      </c>
      <c r="G27" s="539" t="b">
        <v>1</v>
      </c>
      <c r="H27" s="539" t="b">
        <v>1</v>
      </c>
      <c r="I27" s="539" t="b">
        <v>0</v>
      </c>
      <c r="J27" s="531"/>
    </row>
    <row r="28">
      <c r="A28" s="531"/>
      <c r="B28" s="532"/>
      <c r="C28" s="533"/>
      <c r="D28" s="534">
        <v>43883.0</v>
      </c>
      <c r="E28" s="546" t="s">
        <v>1548</v>
      </c>
      <c r="F28" s="538" t="s">
        <v>1500</v>
      </c>
      <c r="G28" s="539" t="b">
        <v>1</v>
      </c>
      <c r="H28" s="539" t="b">
        <v>1</v>
      </c>
      <c r="I28" s="539" t="b">
        <v>0</v>
      </c>
      <c r="J28" s="531"/>
    </row>
    <row r="29">
      <c r="A29" s="531"/>
      <c r="B29" s="532"/>
      <c r="C29" s="533"/>
      <c r="D29" s="534">
        <v>43883.0</v>
      </c>
      <c r="E29" s="546" t="s">
        <v>1550</v>
      </c>
      <c r="F29" s="538" t="s">
        <v>1500</v>
      </c>
      <c r="G29" s="539" t="b">
        <v>1</v>
      </c>
      <c r="H29" s="539" t="b">
        <v>1</v>
      </c>
      <c r="I29" s="539" t="b">
        <v>0</v>
      </c>
      <c r="J29" s="531"/>
    </row>
    <row r="30">
      <c r="A30" s="531"/>
      <c r="B30" s="532"/>
      <c r="C30" s="533"/>
      <c r="D30" s="534">
        <v>43883.0</v>
      </c>
      <c r="E30" s="546" t="s">
        <v>1551</v>
      </c>
      <c r="F30" s="538" t="s">
        <v>1500</v>
      </c>
      <c r="G30" s="539" t="b">
        <v>1</v>
      </c>
      <c r="H30" s="539" t="b">
        <v>1</v>
      </c>
      <c r="I30" s="539" t="b">
        <v>0</v>
      </c>
      <c r="J30" s="531"/>
    </row>
    <row r="31">
      <c r="A31" s="531"/>
      <c r="B31" s="532"/>
      <c r="C31" s="533"/>
      <c r="D31" s="534">
        <v>43883.0</v>
      </c>
      <c r="E31" s="546" t="s">
        <v>1552</v>
      </c>
      <c r="F31" s="538" t="s">
        <v>1500</v>
      </c>
      <c r="G31" s="539" t="b">
        <v>1</v>
      </c>
      <c r="H31" s="539" t="b">
        <v>1</v>
      </c>
      <c r="I31" s="539" t="b">
        <v>0</v>
      </c>
      <c r="J31" s="531"/>
    </row>
    <row r="32">
      <c r="A32" s="531"/>
      <c r="B32" s="532"/>
      <c r="C32" s="533"/>
      <c r="D32" s="534">
        <v>43883.0</v>
      </c>
      <c r="E32" s="546" t="s">
        <v>1553</v>
      </c>
      <c r="F32" s="538" t="s">
        <v>1500</v>
      </c>
      <c r="G32" s="539" t="b">
        <v>1</v>
      </c>
      <c r="H32" s="539" t="b">
        <v>1</v>
      </c>
      <c r="I32" s="539" t="b">
        <v>0</v>
      </c>
      <c r="J32" s="531"/>
    </row>
    <row r="33">
      <c r="A33" s="531"/>
      <c r="B33" s="532"/>
      <c r="C33" s="533"/>
      <c r="D33" s="534">
        <v>43883.0</v>
      </c>
      <c r="E33" s="546" t="s">
        <v>1555</v>
      </c>
      <c r="F33" s="538" t="s">
        <v>1500</v>
      </c>
      <c r="G33" s="539" t="b">
        <v>1</v>
      </c>
      <c r="H33" s="539" t="b">
        <v>1</v>
      </c>
      <c r="I33" s="539" t="b">
        <v>0</v>
      </c>
      <c r="J33" s="531"/>
    </row>
    <row r="34">
      <c r="A34" s="531"/>
      <c r="B34" s="532"/>
      <c r="C34" s="533"/>
      <c r="D34" s="534">
        <v>43883.0</v>
      </c>
      <c r="E34" s="546" t="s">
        <v>1556</v>
      </c>
      <c r="F34" s="538" t="s">
        <v>1500</v>
      </c>
      <c r="G34" s="539" t="b">
        <v>1</v>
      </c>
      <c r="H34" s="539" t="b">
        <v>1</v>
      </c>
      <c r="I34" s="539" t="b">
        <v>0</v>
      </c>
      <c r="J34" s="531"/>
    </row>
    <row r="35">
      <c r="A35" s="531"/>
      <c r="B35" s="532"/>
      <c r="C35" s="533"/>
      <c r="D35" s="534">
        <v>43883.0</v>
      </c>
      <c r="E35" s="546" t="s">
        <v>1557</v>
      </c>
      <c r="F35" s="538" t="s">
        <v>1500</v>
      </c>
      <c r="G35" s="539" t="b">
        <v>1</v>
      </c>
      <c r="H35" s="539" t="b">
        <v>1</v>
      </c>
      <c r="I35" s="539" t="b">
        <v>0</v>
      </c>
      <c r="J35" s="531"/>
    </row>
    <row r="36">
      <c r="A36" s="531"/>
      <c r="B36" s="532"/>
      <c r="C36" s="533"/>
      <c r="D36" s="534">
        <v>43883.0</v>
      </c>
      <c r="E36" s="546" t="s">
        <v>1558</v>
      </c>
      <c r="F36" s="538" t="s">
        <v>1500</v>
      </c>
      <c r="G36" s="539" t="b">
        <v>1</v>
      </c>
      <c r="H36" s="539" t="b">
        <v>1</v>
      </c>
      <c r="I36" s="539" t="b">
        <v>0</v>
      </c>
      <c r="J36" s="531"/>
    </row>
    <row r="37">
      <c r="A37" s="531"/>
      <c r="B37" s="532"/>
      <c r="C37" s="533"/>
      <c r="D37" s="534">
        <v>43883.0</v>
      </c>
      <c r="E37" s="546" t="s">
        <v>1559</v>
      </c>
      <c r="F37" s="538" t="s">
        <v>1500</v>
      </c>
      <c r="G37" s="539" t="b">
        <v>1</v>
      </c>
      <c r="H37" s="539" t="b">
        <v>1</v>
      </c>
      <c r="I37" s="539" t="b">
        <v>0</v>
      </c>
      <c r="J37" s="531"/>
    </row>
    <row r="38">
      <c r="A38" s="531"/>
      <c r="B38" s="532"/>
      <c r="C38" s="533"/>
      <c r="D38" s="534">
        <v>43883.0</v>
      </c>
      <c r="E38" s="546" t="s">
        <v>1560</v>
      </c>
      <c r="F38" s="538" t="s">
        <v>1500</v>
      </c>
      <c r="G38" s="539" t="b">
        <v>1</v>
      </c>
      <c r="H38" s="539" t="b">
        <v>1</v>
      </c>
      <c r="I38" s="539" t="b">
        <v>0</v>
      </c>
      <c r="J38" s="531"/>
    </row>
    <row r="39">
      <c r="A39" s="531"/>
      <c r="B39" s="532"/>
      <c r="C39" s="533"/>
      <c r="D39" s="534">
        <v>43883.0</v>
      </c>
      <c r="E39" s="546" t="s">
        <v>1561</v>
      </c>
      <c r="F39" s="538" t="s">
        <v>1500</v>
      </c>
      <c r="G39" s="539" t="b">
        <v>1</v>
      </c>
      <c r="H39" s="539" t="b">
        <v>1</v>
      </c>
      <c r="I39" s="539" t="b">
        <v>0</v>
      </c>
      <c r="J39" s="531"/>
    </row>
    <row r="40">
      <c r="A40" s="531"/>
      <c r="B40" s="532"/>
      <c r="C40" s="533"/>
      <c r="D40" s="534">
        <v>43883.0</v>
      </c>
      <c r="E40" s="546" t="s">
        <v>1562</v>
      </c>
      <c r="F40" s="538" t="s">
        <v>1500</v>
      </c>
      <c r="G40" s="539" t="b">
        <v>1</v>
      </c>
      <c r="H40" s="539" t="b">
        <v>1</v>
      </c>
      <c r="I40" s="539" t="b">
        <v>0</v>
      </c>
      <c r="J40" s="531"/>
    </row>
    <row r="41">
      <c r="A41" s="531"/>
      <c r="B41" s="532"/>
      <c r="C41" s="533"/>
      <c r="D41" s="534">
        <v>43883.0</v>
      </c>
      <c r="E41" s="546" t="s">
        <v>1563</v>
      </c>
      <c r="F41" s="538" t="s">
        <v>1500</v>
      </c>
      <c r="G41" s="539" t="b">
        <v>1</v>
      </c>
      <c r="H41" s="539" t="b">
        <v>1</v>
      </c>
      <c r="I41" s="539" t="b">
        <v>0</v>
      </c>
      <c r="J41" s="531"/>
    </row>
    <row r="42">
      <c r="A42" s="531"/>
      <c r="B42" s="532"/>
      <c r="C42" s="533"/>
      <c r="D42" s="534">
        <v>43883.0</v>
      </c>
      <c r="E42" s="546" t="s">
        <v>1564</v>
      </c>
      <c r="F42" s="538" t="s">
        <v>1500</v>
      </c>
      <c r="G42" s="539" t="b">
        <v>1</v>
      </c>
      <c r="H42" s="539" t="b">
        <v>1</v>
      </c>
      <c r="I42" s="539" t="b">
        <v>0</v>
      </c>
      <c r="J42" s="531"/>
    </row>
    <row r="43">
      <c r="A43" s="531"/>
      <c r="B43" s="532"/>
      <c r="C43" s="533"/>
      <c r="D43" s="534">
        <v>43883.0</v>
      </c>
      <c r="E43" s="546" t="s">
        <v>1565</v>
      </c>
      <c r="F43" s="538" t="s">
        <v>1500</v>
      </c>
      <c r="G43" s="539" t="b">
        <v>1</v>
      </c>
      <c r="H43" s="539" t="b">
        <v>1</v>
      </c>
      <c r="I43" s="539" t="b">
        <v>0</v>
      </c>
      <c r="J43" s="531"/>
    </row>
    <row r="44">
      <c r="A44" s="531"/>
      <c r="B44" s="532"/>
      <c r="C44" s="533"/>
      <c r="D44" s="534">
        <v>43883.0</v>
      </c>
      <c r="E44" s="546" t="s">
        <v>1566</v>
      </c>
      <c r="F44" s="538" t="s">
        <v>1500</v>
      </c>
      <c r="G44" s="539" t="b">
        <v>1</v>
      </c>
      <c r="H44" s="539" t="b">
        <v>1</v>
      </c>
      <c r="I44" s="539" t="b">
        <v>0</v>
      </c>
      <c r="J44" s="531"/>
    </row>
    <row r="45">
      <c r="A45" s="531"/>
      <c r="B45" s="532"/>
      <c r="C45" s="533"/>
      <c r="D45" s="534">
        <v>43883.0</v>
      </c>
      <c r="E45" s="546" t="s">
        <v>1567</v>
      </c>
      <c r="F45" s="538" t="s">
        <v>1500</v>
      </c>
      <c r="G45" s="539" t="b">
        <v>1</v>
      </c>
      <c r="H45" s="539" t="b">
        <v>1</v>
      </c>
      <c r="I45" s="539" t="b">
        <v>0</v>
      </c>
      <c r="J45" s="531"/>
    </row>
    <row r="46">
      <c r="A46" s="531"/>
      <c r="B46" s="532"/>
      <c r="C46" s="533"/>
      <c r="D46" s="534">
        <v>43883.0</v>
      </c>
      <c r="E46" s="546" t="s">
        <v>1569</v>
      </c>
      <c r="F46" s="538" t="s">
        <v>1500</v>
      </c>
      <c r="G46" s="539" t="b">
        <v>1</v>
      </c>
      <c r="H46" s="539" t="b">
        <v>1</v>
      </c>
      <c r="I46" s="539" t="b">
        <v>0</v>
      </c>
      <c r="J46" s="531"/>
    </row>
    <row r="47">
      <c r="A47" s="531"/>
      <c r="B47" s="532"/>
      <c r="C47" s="533"/>
      <c r="D47" s="534">
        <v>43883.0</v>
      </c>
      <c r="E47" s="546" t="s">
        <v>1570</v>
      </c>
      <c r="F47" s="538" t="s">
        <v>1500</v>
      </c>
      <c r="G47" s="539" t="b">
        <v>1</v>
      </c>
      <c r="H47" s="539" t="b">
        <v>1</v>
      </c>
      <c r="I47" s="539" t="b">
        <v>0</v>
      </c>
      <c r="J47" s="531"/>
    </row>
    <row r="48">
      <c r="A48" s="531"/>
      <c r="B48" s="532"/>
      <c r="C48" s="533"/>
      <c r="D48" s="534">
        <v>43883.0</v>
      </c>
      <c r="E48" s="546" t="s">
        <v>1573</v>
      </c>
      <c r="F48" s="538" t="s">
        <v>1500</v>
      </c>
      <c r="G48" s="539" t="b">
        <v>1</v>
      </c>
      <c r="H48" s="539" t="b">
        <v>1</v>
      </c>
      <c r="I48" s="539" t="b">
        <v>0</v>
      </c>
      <c r="J48" s="531"/>
    </row>
    <row r="49">
      <c r="A49" s="531"/>
      <c r="B49" s="532"/>
      <c r="C49" s="533"/>
      <c r="D49" s="534">
        <v>43883.0</v>
      </c>
      <c r="E49" s="546" t="s">
        <v>1574</v>
      </c>
      <c r="F49" s="538" t="s">
        <v>1500</v>
      </c>
      <c r="G49" s="539" t="b">
        <v>1</v>
      </c>
      <c r="H49" s="539" t="b">
        <v>1</v>
      </c>
      <c r="I49" s="539" t="b">
        <v>0</v>
      </c>
      <c r="J49" s="531"/>
    </row>
    <row r="50">
      <c r="A50" s="531"/>
      <c r="B50" s="532"/>
      <c r="C50" s="533"/>
      <c r="D50" s="534">
        <v>43883.0</v>
      </c>
      <c r="E50" s="546" t="s">
        <v>1575</v>
      </c>
      <c r="F50" s="538" t="s">
        <v>1500</v>
      </c>
      <c r="G50" s="539" t="b">
        <v>1</v>
      </c>
      <c r="H50" s="539" t="b">
        <v>1</v>
      </c>
      <c r="I50" s="539" t="b">
        <v>0</v>
      </c>
      <c r="J50" s="531"/>
    </row>
    <row r="51">
      <c r="A51" s="531"/>
      <c r="B51" s="532"/>
      <c r="C51" s="533"/>
      <c r="D51" s="534">
        <v>43883.0</v>
      </c>
      <c r="E51" s="546" t="s">
        <v>1576</v>
      </c>
      <c r="F51" s="538" t="s">
        <v>1500</v>
      </c>
      <c r="G51" s="539" t="b">
        <v>1</v>
      </c>
      <c r="H51" s="539" t="b">
        <v>1</v>
      </c>
      <c r="I51" s="539" t="b">
        <v>0</v>
      </c>
      <c r="J51" s="531"/>
    </row>
    <row r="52">
      <c r="A52" s="531"/>
      <c r="B52" s="532"/>
      <c r="C52" s="533"/>
      <c r="D52" s="534">
        <v>43883.0</v>
      </c>
      <c r="E52" s="546" t="s">
        <v>1577</v>
      </c>
      <c r="F52" s="538" t="s">
        <v>1500</v>
      </c>
      <c r="G52" s="539" t="b">
        <v>1</v>
      </c>
      <c r="H52" s="539" t="b">
        <v>1</v>
      </c>
      <c r="I52" s="539" t="b">
        <v>0</v>
      </c>
      <c r="J52" s="531"/>
    </row>
    <row r="53">
      <c r="A53" s="531"/>
      <c r="B53" s="532"/>
      <c r="C53" s="533"/>
      <c r="D53" s="534">
        <v>43883.0</v>
      </c>
      <c r="E53" s="546" t="s">
        <v>1578</v>
      </c>
      <c r="F53" s="538" t="s">
        <v>1500</v>
      </c>
      <c r="G53" s="539" t="b">
        <v>1</v>
      </c>
      <c r="H53" s="539" t="b">
        <v>1</v>
      </c>
      <c r="I53" s="539" t="b">
        <v>0</v>
      </c>
      <c r="J53" s="531"/>
    </row>
    <row r="54">
      <c r="A54" s="531"/>
      <c r="B54" s="532"/>
      <c r="C54" s="533"/>
      <c r="D54" s="534">
        <v>43883.0</v>
      </c>
      <c r="E54" s="546" t="s">
        <v>1579</v>
      </c>
      <c r="F54" s="538" t="s">
        <v>1500</v>
      </c>
      <c r="G54" s="539" t="b">
        <v>1</v>
      </c>
      <c r="H54" s="539" t="b">
        <v>1</v>
      </c>
      <c r="I54" s="539" t="b">
        <v>0</v>
      </c>
      <c r="J54" s="531"/>
    </row>
    <row r="55">
      <c r="A55" s="531"/>
      <c r="B55" s="532"/>
      <c r="C55" s="533"/>
      <c r="D55" s="534">
        <v>43883.0</v>
      </c>
      <c r="E55" s="546" t="s">
        <v>1580</v>
      </c>
      <c r="F55" s="538" t="s">
        <v>1500</v>
      </c>
      <c r="G55" s="539" t="b">
        <v>1</v>
      </c>
      <c r="H55" s="539" t="b">
        <v>1</v>
      </c>
      <c r="I55" s="539" t="b">
        <v>0</v>
      </c>
      <c r="J55" s="531"/>
    </row>
    <row r="56">
      <c r="A56" s="531"/>
      <c r="B56" s="532"/>
      <c r="C56" s="533"/>
      <c r="D56" s="534">
        <v>43883.0</v>
      </c>
      <c r="E56" s="546" t="s">
        <v>1581</v>
      </c>
      <c r="F56" s="538" t="s">
        <v>1500</v>
      </c>
      <c r="G56" s="539" t="b">
        <v>1</v>
      </c>
      <c r="H56" s="539" t="b">
        <v>1</v>
      </c>
      <c r="I56" s="539" t="b">
        <v>0</v>
      </c>
      <c r="J56" s="531"/>
    </row>
    <row r="57">
      <c r="A57" s="531"/>
      <c r="B57" s="532"/>
      <c r="C57" s="533"/>
      <c r="D57" s="534">
        <v>43883.0</v>
      </c>
      <c r="E57" s="546" t="s">
        <v>1582</v>
      </c>
      <c r="F57" s="538" t="s">
        <v>1500</v>
      </c>
      <c r="G57" s="539" t="b">
        <v>1</v>
      </c>
      <c r="H57" s="539" t="b">
        <v>1</v>
      </c>
      <c r="I57" s="539" t="b">
        <v>0</v>
      </c>
      <c r="J57" s="531"/>
    </row>
    <row r="58">
      <c r="A58" s="531"/>
      <c r="B58" s="532"/>
      <c r="C58" s="533"/>
      <c r="D58" s="534">
        <v>43883.0</v>
      </c>
      <c r="E58" s="546" t="s">
        <v>1584</v>
      </c>
      <c r="F58" s="538" t="s">
        <v>1500</v>
      </c>
      <c r="G58" s="539" t="b">
        <v>1</v>
      </c>
      <c r="H58" s="539" t="b">
        <v>1</v>
      </c>
      <c r="I58" s="539" t="b">
        <v>0</v>
      </c>
      <c r="J58" s="531"/>
    </row>
    <row r="59">
      <c r="A59" s="531"/>
      <c r="B59" s="532"/>
      <c r="C59" s="533"/>
      <c r="D59" s="534">
        <v>43883.0</v>
      </c>
      <c r="E59" s="546" t="s">
        <v>1585</v>
      </c>
      <c r="F59" s="538" t="s">
        <v>1500</v>
      </c>
      <c r="G59" s="539" t="b">
        <v>1</v>
      </c>
      <c r="H59" s="539" t="b">
        <v>1</v>
      </c>
      <c r="I59" s="539" t="b">
        <v>0</v>
      </c>
      <c r="J59" s="531"/>
    </row>
    <row r="60">
      <c r="A60" s="531"/>
      <c r="B60" s="532"/>
      <c r="C60" s="533"/>
      <c r="D60" s="534">
        <v>43883.0</v>
      </c>
      <c r="E60" s="546" t="s">
        <v>1586</v>
      </c>
      <c r="F60" s="538" t="s">
        <v>1500</v>
      </c>
      <c r="G60" s="539" t="b">
        <v>1</v>
      </c>
      <c r="H60" s="539" t="b">
        <v>1</v>
      </c>
      <c r="I60" s="539" t="b">
        <v>0</v>
      </c>
      <c r="J60" s="531"/>
    </row>
    <row r="61">
      <c r="A61" s="531"/>
      <c r="B61" s="532"/>
      <c r="C61" s="533"/>
      <c r="D61" s="534">
        <v>43883.0</v>
      </c>
      <c r="E61" s="546" t="s">
        <v>1587</v>
      </c>
      <c r="F61" s="538" t="s">
        <v>1500</v>
      </c>
      <c r="G61" s="539" t="b">
        <v>1</v>
      </c>
      <c r="H61" s="539" t="b">
        <v>1</v>
      </c>
      <c r="I61" s="539" t="b">
        <v>0</v>
      </c>
      <c r="J61" s="531"/>
    </row>
    <row r="62">
      <c r="A62" s="531"/>
      <c r="B62" s="532"/>
      <c r="C62" s="533"/>
      <c r="D62" s="534">
        <v>43883.0</v>
      </c>
      <c r="E62" s="546" t="s">
        <v>1591</v>
      </c>
      <c r="F62" s="538" t="s">
        <v>1500</v>
      </c>
      <c r="G62" s="539" t="b">
        <v>1</v>
      </c>
      <c r="H62" s="539" t="b">
        <v>1</v>
      </c>
      <c r="I62" s="539" t="b">
        <v>0</v>
      </c>
      <c r="J62" s="531"/>
    </row>
    <row r="63">
      <c r="A63" s="531"/>
      <c r="B63" s="532"/>
      <c r="C63" s="533"/>
      <c r="D63" s="534">
        <v>43883.0</v>
      </c>
      <c r="E63" s="546" t="s">
        <v>1592</v>
      </c>
      <c r="F63" s="538" t="s">
        <v>1500</v>
      </c>
      <c r="G63" s="539" t="b">
        <v>1</v>
      </c>
      <c r="H63" s="539" t="b">
        <v>1</v>
      </c>
      <c r="I63" s="539" t="b">
        <v>0</v>
      </c>
      <c r="J63" s="531"/>
    </row>
    <row r="64">
      <c r="A64" s="531"/>
      <c r="B64" s="532"/>
      <c r="C64" s="533"/>
      <c r="D64" s="534">
        <v>43883.0</v>
      </c>
      <c r="E64" s="546" t="s">
        <v>1593</v>
      </c>
      <c r="F64" s="538" t="s">
        <v>1500</v>
      </c>
      <c r="G64" s="539" t="b">
        <v>1</v>
      </c>
      <c r="H64" s="539" t="b">
        <v>1</v>
      </c>
      <c r="I64" s="539" t="b">
        <v>0</v>
      </c>
      <c r="J64" s="531"/>
    </row>
    <row r="65">
      <c r="A65" s="531"/>
      <c r="B65" s="532"/>
      <c r="C65" s="533"/>
      <c r="D65" s="534">
        <v>43883.0</v>
      </c>
      <c r="E65" s="546" t="s">
        <v>1594</v>
      </c>
      <c r="F65" s="538" t="s">
        <v>1500</v>
      </c>
      <c r="G65" s="539" t="b">
        <v>1</v>
      </c>
      <c r="H65" s="539" t="b">
        <v>1</v>
      </c>
      <c r="I65" s="539" t="b">
        <v>0</v>
      </c>
      <c r="J65" s="531"/>
    </row>
    <row r="66">
      <c r="A66" s="531"/>
      <c r="B66" s="532"/>
      <c r="C66" s="533"/>
      <c r="D66" s="534">
        <v>43883.0</v>
      </c>
      <c r="E66" s="546" t="s">
        <v>738</v>
      </c>
      <c r="F66" s="538" t="s">
        <v>1500</v>
      </c>
      <c r="G66" s="539" t="b">
        <v>1</v>
      </c>
      <c r="H66" s="539" t="b">
        <v>1</v>
      </c>
      <c r="I66" s="539" t="b">
        <v>0</v>
      </c>
      <c r="J66" s="531"/>
    </row>
    <row r="67">
      <c r="A67" s="531"/>
      <c r="B67" s="532"/>
      <c r="C67" s="533"/>
      <c r="D67" s="534">
        <v>43883.0</v>
      </c>
      <c r="E67" s="546" t="s">
        <v>1596</v>
      </c>
      <c r="F67" s="538" t="s">
        <v>1500</v>
      </c>
      <c r="G67" s="539" t="b">
        <v>1</v>
      </c>
      <c r="H67" s="539" t="b">
        <v>1</v>
      </c>
      <c r="I67" s="539" t="b">
        <v>0</v>
      </c>
      <c r="J67" s="531"/>
    </row>
    <row r="68">
      <c r="A68" s="531"/>
      <c r="B68" s="532"/>
      <c r="C68" s="533"/>
      <c r="D68" s="534">
        <v>43883.0</v>
      </c>
      <c r="E68" s="546" t="s">
        <v>1600</v>
      </c>
      <c r="F68" s="538" t="s">
        <v>1500</v>
      </c>
      <c r="G68" s="539" t="b">
        <v>1</v>
      </c>
      <c r="H68" s="539" t="b">
        <v>1</v>
      </c>
      <c r="I68" s="539" t="b">
        <v>0</v>
      </c>
      <c r="J68" s="531"/>
    </row>
    <row r="69">
      <c r="A69" s="531"/>
      <c r="B69" s="532"/>
      <c r="C69" s="533"/>
      <c r="D69" s="534">
        <v>43883.0</v>
      </c>
      <c r="E69" s="546" t="s">
        <v>1601</v>
      </c>
      <c r="F69" s="538" t="s">
        <v>1500</v>
      </c>
      <c r="G69" s="539" t="b">
        <v>1</v>
      </c>
      <c r="H69" s="539" t="b">
        <v>1</v>
      </c>
      <c r="I69" s="539" t="b">
        <v>0</v>
      </c>
      <c r="J69" s="531"/>
    </row>
    <row r="70">
      <c r="A70" s="531"/>
      <c r="B70" s="532"/>
      <c r="C70" s="533"/>
      <c r="D70" s="534">
        <v>43883.0</v>
      </c>
      <c r="E70" s="546" t="s">
        <v>1602</v>
      </c>
      <c r="F70" s="538" t="s">
        <v>1500</v>
      </c>
      <c r="G70" s="539" t="b">
        <v>1</v>
      </c>
      <c r="H70" s="539" t="b">
        <v>1</v>
      </c>
      <c r="I70" s="539" t="b">
        <v>0</v>
      </c>
      <c r="J70" s="531"/>
    </row>
    <row r="71">
      <c r="A71" s="531"/>
      <c r="B71" s="532"/>
      <c r="C71" s="533"/>
      <c r="D71" s="534">
        <v>43883.0</v>
      </c>
      <c r="E71" s="546" t="s">
        <v>1603</v>
      </c>
      <c r="F71" s="538" t="s">
        <v>1500</v>
      </c>
      <c r="G71" s="539" t="b">
        <v>1</v>
      </c>
      <c r="H71" s="539" t="b">
        <v>1</v>
      </c>
      <c r="I71" s="539" t="b">
        <v>0</v>
      </c>
      <c r="J71" s="531"/>
    </row>
    <row r="72">
      <c r="A72" s="531"/>
      <c r="B72" s="532"/>
      <c r="C72" s="533"/>
      <c r="D72" s="534">
        <v>43883.0</v>
      </c>
      <c r="E72" s="546" t="s">
        <v>1605</v>
      </c>
      <c r="F72" s="538" t="s">
        <v>1500</v>
      </c>
      <c r="G72" s="539" t="b">
        <v>1</v>
      </c>
      <c r="H72" s="539" t="b">
        <v>1</v>
      </c>
      <c r="I72" s="539" t="b">
        <v>0</v>
      </c>
      <c r="J72" s="531"/>
    </row>
    <row r="73">
      <c r="A73" s="531"/>
      <c r="B73" s="532"/>
      <c r="C73" s="533"/>
      <c r="D73" s="534">
        <v>43883.0</v>
      </c>
      <c r="E73" s="546" t="s">
        <v>1606</v>
      </c>
      <c r="F73" s="538" t="s">
        <v>1500</v>
      </c>
      <c r="G73" s="539" t="b">
        <v>1</v>
      </c>
      <c r="H73" s="539" t="b">
        <v>1</v>
      </c>
      <c r="I73" s="539" t="b">
        <v>0</v>
      </c>
      <c r="J73" s="531"/>
    </row>
    <row r="74">
      <c r="A74" s="531"/>
      <c r="B74" s="532"/>
      <c r="C74" s="533"/>
      <c r="D74" s="534">
        <v>43883.0</v>
      </c>
      <c r="E74" s="546" t="s">
        <v>1607</v>
      </c>
      <c r="F74" s="538" t="s">
        <v>1500</v>
      </c>
      <c r="G74" s="539" t="b">
        <v>1</v>
      </c>
      <c r="H74" s="539" t="b">
        <v>1</v>
      </c>
      <c r="I74" s="539" t="b">
        <v>0</v>
      </c>
      <c r="J74" s="531"/>
    </row>
    <row r="75">
      <c r="A75" s="531"/>
      <c r="B75" s="532"/>
      <c r="C75" s="533"/>
      <c r="D75" s="534">
        <v>43883.0</v>
      </c>
      <c r="E75" s="546" t="s">
        <v>1609</v>
      </c>
      <c r="F75" s="538" t="s">
        <v>1500</v>
      </c>
      <c r="G75" s="539" t="b">
        <v>1</v>
      </c>
      <c r="H75" s="539" t="b">
        <v>1</v>
      </c>
      <c r="I75" s="539" t="b">
        <v>0</v>
      </c>
      <c r="J75" s="531"/>
    </row>
    <row r="76">
      <c r="A76" s="531"/>
      <c r="B76" s="532"/>
      <c r="C76" s="533"/>
      <c r="D76" s="534">
        <v>43883.0</v>
      </c>
      <c r="E76" s="546" t="s">
        <v>1610</v>
      </c>
      <c r="F76" s="538" t="s">
        <v>1500</v>
      </c>
      <c r="G76" s="539" t="b">
        <v>1</v>
      </c>
      <c r="H76" s="539" t="b">
        <v>1</v>
      </c>
      <c r="I76" s="539" t="b">
        <v>0</v>
      </c>
      <c r="J76" s="531"/>
    </row>
    <row r="77">
      <c r="A77" s="531"/>
      <c r="B77" s="532"/>
      <c r="C77" s="533"/>
      <c r="D77" s="534">
        <v>43883.0</v>
      </c>
      <c r="E77" s="546" t="s">
        <v>1611</v>
      </c>
      <c r="F77" s="538" t="s">
        <v>1500</v>
      </c>
      <c r="G77" s="539" t="b">
        <v>1</v>
      </c>
      <c r="H77" s="539" t="b">
        <v>1</v>
      </c>
      <c r="I77" s="539" t="b">
        <v>0</v>
      </c>
      <c r="J77" s="531"/>
    </row>
    <row r="78">
      <c r="A78" s="531"/>
      <c r="B78" s="532"/>
      <c r="C78" s="533"/>
      <c r="D78" s="534">
        <v>43883.0</v>
      </c>
      <c r="E78" s="546" t="s">
        <v>1612</v>
      </c>
      <c r="F78" s="538" t="s">
        <v>1500</v>
      </c>
      <c r="G78" s="539" t="b">
        <v>1</v>
      </c>
      <c r="H78" s="539" t="b">
        <v>1</v>
      </c>
      <c r="I78" s="539" t="b">
        <v>0</v>
      </c>
      <c r="J78" s="531"/>
    </row>
    <row r="79">
      <c r="A79" s="531"/>
      <c r="B79" s="532"/>
      <c r="C79" s="533"/>
      <c r="D79" s="534">
        <v>43883.0</v>
      </c>
      <c r="E79" s="546" t="s">
        <v>1614</v>
      </c>
      <c r="F79" s="538" t="s">
        <v>1500</v>
      </c>
      <c r="G79" s="539" t="b">
        <v>1</v>
      </c>
      <c r="H79" s="539" t="b">
        <v>1</v>
      </c>
      <c r="I79" s="539" t="b">
        <v>0</v>
      </c>
      <c r="J79" s="531"/>
    </row>
    <row r="80">
      <c r="A80" s="531"/>
      <c r="B80" s="532"/>
      <c r="C80" s="533"/>
      <c r="D80" s="534">
        <v>43883.0</v>
      </c>
      <c r="E80" s="546" t="s">
        <v>1616</v>
      </c>
      <c r="F80" s="538" t="s">
        <v>1500</v>
      </c>
      <c r="G80" s="539" t="b">
        <v>1</v>
      </c>
      <c r="H80" s="539" t="b">
        <v>1</v>
      </c>
      <c r="I80" s="539" t="b">
        <v>0</v>
      </c>
      <c r="J80" s="531"/>
    </row>
    <row r="81">
      <c r="A81" s="531"/>
      <c r="B81" s="532"/>
      <c r="C81" s="533"/>
      <c r="D81" s="534">
        <v>43883.0</v>
      </c>
      <c r="E81" s="546" t="s">
        <v>1617</v>
      </c>
      <c r="F81" s="538" t="s">
        <v>1500</v>
      </c>
      <c r="G81" s="539" t="b">
        <v>1</v>
      </c>
      <c r="H81" s="539" t="b">
        <v>1</v>
      </c>
      <c r="I81" s="539" t="b">
        <v>0</v>
      </c>
      <c r="J81" s="531"/>
    </row>
    <row r="82">
      <c r="A82" s="531"/>
      <c r="B82" s="532"/>
      <c r="C82" s="533"/>
      <c r="D82" s="534">
        <v>43883.0</v>
      </c>
      <c r="E82" s="546" t="s">
        <v>1618</v>
      </c>
      <c r="F82" s="538" t="s">
        <v>1500</v>
      </c>
      <c r="G82" s="539" t="b">
        <v>1</v>
      </c>
      <c r="H82" s="539" t="b">
        <v>1</v>
      </c>
      <c r="I82" s="539" t="b">
        <v>0</v>
      </c>
      <c r="J82" s="531"/>
    </row>
    <row r="83">
      <c r="A83" s="531"/>
      <c r="B83" s="532"/>
      <c r="C83" s="533"/>
      <c r="D83" s="534">
        <v>43883.0</v>
      </c>
      <c r="E83" s="546" t="s">
        <v>1619</v>
      </c>
      <c r="F83" s="538" t="s">
        <v>1500</v>
      </c>
      <c r="G83" s="539" t="b">
        <v>1</v>
      </c>
      <c r="H83" s="539" t="b">
        <v>1</v>
      </c>
      <c r="I83" s="539" t="b">
        <v>0</v>
      </c>
      <c r="J83" s="531"/>
    </row>
    <row r="84">
      <c r="A84" s="531"/>
      <c r="B84" s="532"/>
      <c r="C84" s="533"/>
      <c r="D84" s="534">
        <v>43883.0</v>
      </c>
      <c r="E84" s="546" t="s">
        <v>1621</v>
      </c>
      <c r="F84" s="538" t="s">
        <v>1500</v>
      </c>
      <c r="G84" s="539" t="b">
        <v>1</v>
      </c>
      <c r="H84" s="539" t="b">
        <v>1</v>
      </c>
      <c r="I84" s="539" t="b">
        <v>0</v>
      </c>
      <c r="J84" s="531"/>
    </row>
    <row r="85">
      <c r="A85" s="531"/>
      <c r="B85" s="532"/>
      <c r="C85" s="533"/>
      <c r="D85" s="534">
        <v>43883.0</v>
      </c>
      <c r="E85" s="546" t="s">
        <v>1622</v>
      </c>
      <c r="F85" s="538" t="s">
        <v>1500</v>
      </c>
      <c r="G85" s="539" t="b">
        <v>1</v>
      </c>
      <c r="H85" s="539" t="b">
        <v>1</v>
      </c>
      <c r="I85" s="539" t="b">
        <v>0</v>
      </c>
      <c r="J85" s="531"/>
    </row>
    <row r="86">
      <c r="A86" s="531"/>
      <c r="B86" s="532"/>
      <c r="C86" s="533"/>
      <c r="D86" s="534">
        <v>43883.0</v>
      </c>
      <c r="E86" s="546" t="s">
        <v>1623</v>
      </c>
      <c r="F86" s="538" t="s">
        <v>1500</v>
      </c>
      <c r="G86" s="539" t="b">
        <v>1</v>
      </c>
      <c r="H86" s="539" t="b">
        <v>1</v>
      </c>
      <c r="I86" s="539" t="b">
        <v>0</v>
      </c>
      <c r="J86" s="531"/>
    </row>
    <row r="87">
      <c r="A87" s="531"/>
      <c r="B87" s="532"/>
      <c r="C87" s="533"/>
      <c r="D87" s="534">
        <v>43883.0</v>
      </c>
      <c r="E87" s="546" t="s">
        <v>1624</v>
      </c>
      <c r="F87" s="538" t="s">
        <v>1500</v>
      </c>
      <c r="G87" s="539" t="b">
        <v>1</v>
      </c>
      <c r="H87" s="539" t="b">
        <v>1</v>
      </c>
      <c r="I87" s="539" t="b">
        <v>0</v>
      </c>
      <c r="J87" s="531"/>
    </row>
    <row r="88">
      <c r="A88" s="531"/>
      <c r="B88" s="532"/>
      <c r="C88" s="533"/>
      <c r="D88" s="534">
        <v>43883.0</v>
      </c>
      <c r="E88" s="546" t="s">
        <v>1626</v>
      </c>
      <c r="F88" s="538" t="s">
        <v>1500</v>
      </c>
      <c r="G88" s="539" t="b">
        <v>1</v>
      </c>
      <c r="H88" s="539" t="b">
        <v>1</v>
      </c>
      <c r="I88" s="539" t="b">
        <v>0</v>
      </c>
      <c r="J88" s="531"/>
    </row>
    <row r="89">
      <c r="A89" s="531"/>
      <c r="B89" s="532"/>
      <c r="C89" s="533"/>
      <c r="D89" s="534">
        <v>43883.0</v>
      </c>
      <c r="E89" s="546" t="s">
        <v>1627</v>
      </c>
      <c r="F89" s="538" t="s">
        <v>1500</v>
      </c>
      <c r="G89" s="539" t="b">
        <v>1</v>
      </c>
      <c r="H89" s="539" t="b">
        <v>1</v>
      </c>
      <c r="I89" s="539" t="b">
        <v>0</v>
      </c>
      <c r="J89" s="531"/>
    </row>
    <row r="90">
      <c r="A90" s="531"/>
      <c r="B90" s="532"/>
      <c r="C90" s="533"/>
      <c r="D90" s="534">
        <v>43883.0</v>
      </c>
      <c r="E90" s="546" t="s">
        <v>1630</v>
      </c>
      <c r="F90" s="538" t="s">
        <v>1500</v>
      </c>
      <c r="G90" s="539" t="b">
        <v>1</v>
      </c>
      <c r="H90" s="539" t="b">
        <v>1</v>
      </c>
      <c r="I90" s="539" t="b">
        <v>0</v>
      </c>
      <c r="J90" s="531"/>
    </row>
    <row r="91">
      <c r="A91" s="531"/>
      <c r="B91" s="532"/>
      <c r="C91" s="533"/>
      <c r="D91" s="534">
        <v>43883.0</v>
      </c>
      <c r="E91" s="546" t="s">
        <v>1632</v>
      </c>
      <c r="F91" s="538" t="s">
        <v>1500</v>
      </c>
      <c r="G91" s="539" t="b">
        <v>1</v>
      </c>
      <c r="H91" s="539" t="b">
        <v>1</v>
      </c>
      <c r="I91" s="539" t="b">
        <v>0</v>
      </c>
      <c r="J91" s="531"/>
    </row>
    <row r="92">
      <c r="A92" s="531"/>
      <c r="B92" s="532"/>
      <c r="C92" s="533"/>
      <c r="D92" s="534">
        <v>43883.0</v>
      </c>
      <c r="E92" s="546" t="s">
        <v>1633</v>
      </c>
      <c r="F92" s="538" t="s">
        <v>1500</v>
      </c>
      <c r="G92" s="539" t="b">
        <v>1</v>
      </c>
      <c r="H92" s="539" t="b">
        <v>1</v>
      </c>
      <c r="I92" s="539" t="b">
        <v>0</v>
      </c>
      <c r="J92" s="531"/>
    </row>
    <row r="93">
      <c r="A93" s="531"/>
      <c r="B93" s="532"/>
      <c r="C93" s="533"/>
      <c r="D93" s="534">
        <v>43883.0</v>
      </c>
      <c r="E93" s="546" t="s">
        <v>1634</v>
      </c>
      <c r="F93" s="538" t="s">
        <v>1500</v>
      </c>
      <c r="G93" s="539" t="b">
        <v>1</v>
      </c>
      <c r="H93" s="539" t="b">
        <v>1</v>
      </c>
      <c r="I93" s="539" t="b">
        <v>0</v>
      </c>
      <c r="J93" s="531"/>
    </row>
    <row r="94">
      <c r="A94" s="531"/>
      <c r="B94" s="532"/>
      <c r="C94" s="533"/>
      <c r="D94" s="534">
        <v>43883.0</v>
      </c>
      <c r="E94" s="546" t="s">
        <v>1535</v>
      </c>
      <c r="F94" s="538" t="s">
        <v>1501</v>
      </c>
      <c r="G94" s="540" t="s">
        <v>1502</v>
      </c>
      <c r="H94" s="540" t="s">
        <v>1502</v>
      </c>
      <c r="I94" s="539" t="b">
        <v>0</v>
      </c>
      <c r="J94" s="531"/>
    </row>
    <row r="95">
      <c r="A95" s="531"/>
      <c r="B95" s="532"/>
      <c r="C95" s="533"/>
      <c r="D95" s="534">
        <v>43883.0</v>
      </c>
      <c r="E95" s="546" t="s">
        <v>1536</v>
      </c>
      <c r="F95" s="538" t="s">
        <v>1501</v>
      </c>
      <c r="G95" s="540" t="s">
        <v>1502</v>
      </c>
      <c r="H95" s="540" t="s">
        <v>1502</v>
      </c>
      <c r="I95" s="539" t="b">
        <v>0</v>
      </c>
      <c r="J95" s="531"/>
    </row>
    <row r="96">
      <c r="A96" s="531"/>
      <c r="B96" s="532"/>
      <c r="C96" s="533"/>
      <c r="D96" s="534">
        <v>43883.0</v>
      </c>
      <c r="E96" s="546" t="s">
        <v>1539</v>
      </c>
      <c r="F96" s="538" t="s">
        <v>1501</v>
      </c>
      <c r="G96" s="540" t="s">
        <v>1502</v>
      </c>
      <c r="H96" s="540" t="s">
        <v>1502</v>
      </c>
      <c r="I96" s="539" t="b">
        <v>0</v>
      </c>
      <c r="J96" s="531"/>
    </row>
    <row r="97">
      <c r="A97" s="531"/>
      <c r="B97" s="532"/>
      <c r="C97" s="533"/>
      <c r="D97" s="534">
        <v>43883.0</v>
      </c>
      <c r="E97" s="546" t="s">
        <v>1540</v>
      </c>
      <c r="F97" s="538" t="s">
        <v>1501</v>
      </c>
      <c r="G97" s="540" t="s">
        <v>1502</v>
      </c>
      <c r="H97" s="540" t="s">
        <v>1502</v>
      </c>
      <c r="I97" s="539" t="b">
        <v>0</v>
      </c>
      <c r="J97" s="531"/>
    </row>
    <row r="98">
      <c r="A98" s="531"/>
      <c r="B98" s="532"/>
      <c r="C98" s="533"/>
      <c r="D98" s="534">
        <v>43883.0</v>
      </c>
      <c r="E98" s="546" t="s">
        <v>1541</v>
      </c>
      <c r="F98" s="538" t="s">
        <v>1501</v>
      </c>
      <c r="G98" s="540" t="s">
        <v>1502</v>
      </c>
      <c r="H98" s="540" t="s">
        <v>1502</v>
      </c>
      <c r="I98" s="539" t="b">
        <v>0</v>
      </c>
      <c r="J98" s="531"/>
    </row>
    <row r="99">
      <c r="A99" s="531"/>
      <c r="B99" s="532"/>
      <c r="C99" s="533"/>
      <c r="D99" s="534">
        <v>43883.0</v>
      </c>
      <c r="E99" s="546" t="s">
        <v>1542</v>
      </c>
      <c r="F99" s="538" t="s">
        <v>1501</v>
      </c>
      <c r="G99" s="540" t="s">
        <v>1502</v>
      </c>
      <c r="H99" s="540" t="s">
        <v>1502</v>
      </c>
      <c r="I99" s="539" t="b">
        <v>0</v>
      </c>
      <c r="J99" s="531"/>
    </row>
    <row r="100">
      <c r="A100" s="531"/>
      <c r="B100" s="532"/>
      <c r="C100" s="533"/>
      <c r="D100" s="534">
        <v>43883.0</v>
      </c>
      <c r="E100" s="546" t="s">
        <v>1546</v>
      </c>
      <c r="F100" s="538" t="s">
        <v>1501</v>
      </c>
      <c r="G100" s="540" t="s">
        <v>1502</v>
      </c>
      <c r="H100" s="540" t="s">
        <v>1502</v>
      </c>
      <c r="I100" s="539" t="b">
        <v>0</v>
      </c>
      <c r="J100" s="531"/>
    </row>
    <row r="101">
      <c r="A101" s="531"/>
      <c r="B101" s="532"/>
      <c r="C101" s="533"/>
      <c r="D101" s="534">
        <v>43883.0</v>
      </c>
      <c r="E101" s="546" t="s">
        <v>1547</v>
      </c>
      <c r="F101" s="538" t="s">
        <v>1501</v>
      </c>
      <c r="G101" s="540" t="s">
        <v>1502</v>
      </c>
      <c r="H101" s="540" t="s">
        <v>1502</v>
      </c>
      <c r="I101" s="539" t="b">
        <v>0</v>
      </c>
      <c r="J101" s="531"/>
    </row>
    <row r="102">
      <c r="A102" s="531"/>
      <c r="B102" s="532"/>
      <c r="C102" s="533"/>
      <c r="D102" s="534">
        <v>43883.0</v>
      </c>
      <c r="E102" s="546" t="s">
        <v>1548</v>
      </c>
      <c r="F102" s="538" t="s">
        <v>1501</v>
      </c>
      <c r="G102" s="540" t="s">
        <v>1502</v>
      </c>
      <c r="H102" s="540" t="s">
        <v>1502</v>
      </c>
      <c r="I102" s="539" t="b">
        <v>0</v>
      </c>
      <c r="J102" s="531"/>
    </row>
    <row r="103">
      <c r="A103" s="531"/>
      <c r="B103" s="532"/>
      <c r="C103" s="533"/>
      <c r="D103" s="534">
        <v>43883.0</v>
      </c>
      <c r="E103" s="546" t="s">
        <v>1550</v>
      </c>
      <c r="F103" s="538" t="s">
        <v>1501</v>
      </c>
      <c r="G103" s="540" t="s">
        <v>1502</v>
      </c>
      <c r="H103" s="540" t="s">
        <v>1502</v>
      </c>
      <c r="I103" s="539" t="b">
        <v>0</v>
      </c>
      <c r="J103" s="531"/>
    </row>
    <row r="104">
      <c r="A104" s="531"/>
      <c r="B104" s="532"/>
      <c r="C104" s="533"/>
      <c r="D104" s="534">
        <v>43883.0</v>
      </c>
      <c r="E104" s="546" t="s">
        <v>1551</v>
      </c>
      <c r="F104" s="538" t="s">
        <v>1501</v>
      </c>
      <c r="G104" s="540" t="s">
        <v>1502</v>
      </c>
      <c r="H104" s="540" t="s">
        <v>1502</v>
      </c>
      <c r="I104" s="539" t="b">
        <v>0</v>
      </c>
      <c r="J104" s="531"/>
    </row>
    <row r="105">
      <c r="A105" s="531"/>
      <c r="B105" s="532"/>
      <c r="C105" s="533"/>
      <c r="D105" s="534">
        <v>43883.0</v>
      </c>
      <c r="E105" s="546" t="s">
        <v>1552</v>
      </c>
      <c r="F105" s="538" t="s">
        <v>1501</v>
      </c>
      <c r="G105" s="540" t="s">
        <v>1502</v>
      </c>
      <c r="H105" s="540" t="s">
        <v>1502</v>
      </c>
      <c r="I105" s="539" t="b">
        <v>0</v>
      </c>
      <c r="J105" s="531"/>
    </row>
    <row r="106">
      <c r="A106" s="531"/>
      <c r="B106" s="532"/>
      <c r="C106" s="533"/>
      <c r="D106" s="534">
        <v>43883.0</v>
      </c>
      <c r="E106" s="546" t="s">
        <v>1553</v>
      </c>
      <c r="F106" s="538" t="s">
        <v>1501</v>
      </c>
      <c r="G106" s="540" t="s">
        <v>1502</v>
      </c>
      <c r="H106" s="540" t="s">
        <v>1502</v>
      </c>
      <c r="I106" s="539" t="b">
        <v>0</v>
      </c>
      <c r="J106" s="531"/>
    </row>
    <row r="107">
      <c r="A107" s="531"/>
      <c r="B107" s="532"/>
      <c r="C107" s="533"/>
      <c r="D107" s="534">
        <v>43883.0</v>
      </c>
      <c r="E107" s="546" t="s">
        <v>1555</v>
      </c>
      <c r="F107" s="538" t="s">
        <v>1501</v>
      </c>
      <c r="G107" s="540" t="s">
        <v>1502</v>
      </c>
      <c r="H107" s="540" t="s">
        <v>1502</v>
      </c>
      <c r="I107" s="539" t="b">
        <v>0</v>
      </c>
      <c r="J107" s="531"/>
    </row>
    <row r="108">
      <c r="A108" s="531"/>
      <c r="B108" s="532"/>
      <c r="C108" s="533"/>
      <c r="D108" s="534">
        <v>43883.0</v>
      </c>
      <c r="E108" s="546" t="s">
        <v>1556</v>
      </c>
      <c r="F108" s="538" t="s">
        <v>1501</v>
      </c>
      <c r="G108" s="540" t="s">
        <v>1502</v>
      </c>
      <c r="H108" s="540" t="s">
        <v>1502</v>
      </c>
      <c r="I108" s="539" t="b">
        <v>0</v>
      </c>
      <c r="J108" s="531"/>
    </row>
    <row r="109">
      <c r="A109" s="531"/>
      <c r="B109" s="532"/>
      <c r="C109" s="533"/>
      <c r="D109" s="534">
        <v>43883.0</v>
      </c>
      <c r="E109" s="546" t="s">
        <v>1558</v>
      </c>
      <c r="F109" s="538" t="s">
        <v>1501</v>
      </c>
      <c r="G109" s="540" t="s">
        <v>1502</v>
      </c>
      <c r="H109" s="540" t="s">
        <v>1502</v>
      </c>
      <c r="I109" s="539" t="b">
        <v>0</v>
      </c>
      <c r="J109" s="531"/>
    </row>
    <row r="110">
      <c r="A110" s="531"/>
      <c r="B110" s="532"/>
      <c r="C110" s="533"/>
      <c r="D110" s="534">
        <v>43883.0</v>
      </c>
      <c r="E110" s="546" t="s">
        <v>1559</v>
      </c>
      <c r="F110" s="538" t="s">
        <v>1501</v>
      </c>
      <c r="G110" s="540" t="s">
        <v>1502</v>
      </c>
      <c r="H110" s="540" t="s">
        <v>1502</v>
      </c>
      <c r="I110" s="539" t="b">
        <v>0</v>
      </c>
      <c r="J110" s="531"/>
    </row>
    <row r="111">
      <c r="A111" s="531"/>
      <c r="B111" s="532"/>
      <c r="C111" s="533"/>
      <c r="D111" s="534">
        <v>43883.0</v>
      </c>
      <c r="E111" s="546" t="s">
        <v>1560</v>
      </c>
      <c r="F111" s="538" t="s">
        <v>1501</v>
      </c>
      <c r="G111" s="540" t="s">
        <v>1502</v>
      </c>
      <c r="H111" s="540" t="s">
        <v>1502</v>
      </c>
      <c r="I111" s="539" t="b">
        <v>0</v>
      </c>
      <c r="J111" s="531"/>
    </row>
    <row r="112">
      <c r="A112" s="531"/>
      <c r="B112" s="532"/>
      <c r="C112" s="533"/>
      <c r="D112" s="534">
        <v>43883.0</v>
      </c>
      <c r="E112" s="546" t="s">
        <v>1561</v>
      </c>
      <c r="F112" s="538" t="s">
        <v>1501</v>
      </c>
      <c r="G112" s="540" t="s">
        <v>1502</v>
      </c>
      <c r="H112" s="540" t="s">
        <v>1502</v>
      </c>
      <c r="I112" s="539" t="b">
        <v>0</v>
      </c>
      <c r="J112" s="531"/>
    </row>
    <row r="113">
      <c r="A113" s="531"/>
      <c r="B113" s="532"/>
      <c r="C113" s="533"/>
      <c r="D113" s="534">
        <v>43883.0</v>
      </c>
      <c r="E113" s="546" t="s">
        <v>1562</v>
      </c>
      <c r="F113" s="538" t="s">
        <v>1501</v>
      </c>
      <c r="G113" s="540" t="s">
        <v>1502</v>
      </c>
      <c r="H113" s="540" t="s">
        <v>1502</v>
      </c>
      <c r="I113" s="539" t="b">
        <v>0</v>
      </c>
      <c r="J113" s="531"/>
    </row>
    <row r="114">
      <c r="A114" s="531"/>
      <c r="B114" s="532"/>
      <c r="C114" s="533"/>
      <c r="D114" s="534">
        <v>43883.0</v>
      </c>
      <c r="E114" s="546" t="s">
        <v>1563</v>
      </c>
      <c r="F114" s="538" t="s">
        <v>1501</v>
      </c>
      <c r="G114" s="540" t="s">
        <v>1502</v>
      </c>
      <c r="H114" s="540" t="s">
        <v>1502</v>
      </c>
      <c r="I114" s="539" t="b">
        <v>0</v>
      </c>
      <c r="J114" s="531"/>
    </row>
    <row r="115">
      <c r="A115" s="531"/>
      <c r="B115" s="532"/>
      <c r="C115" s="533"/>
      <c r="D115" s="534">
        <v>43883.0</v>
      </c>
      <c r="E115" s="546" t="s">
        <v>1565</v>
      </c>
      <c r="F115" s="538" t="s">
        <v>1501</v>
      </c>
      <c r="G115" s="540" t="s">
        <v>1502</v>
      </c>
      <c r="H115" s="540" t="s">
        <v>1502</v>
      </c>
      <c r="I115" s="539" t="b">
        <v>0</v>
      </c>
      <c r="J115" s="531"/>
    </row>
    <row r="116">
      <c r="A116" s="531"/>
      <c r="B116" s="532"/>
      <c r="C116" s="533"/>
      <c r="D116" s="534">
        <v>43883.0</v>
      </c>
      <c r="E116" s="546" t="s">
        <v>1566</v>
      </c>
      <c r="F116" s="538" t="s">
        <v>1501</v>
      </c>
      <c r="G116" s="540" t="s">
        <v>1502</v>
      </c>
      <c r="H116" s="540" t="s">
        <v>1502</v>
      </c>
      <c r="I116" s="539" t="b">
        <v>0</v>
      </c>
      <c r="J116" s="531"/>
    </row>
    <row r="117">
      <c r="A117" s="531"/>
      <c r="B117" s="532"/>
      <c r="C117" s="533"/>
      <c r="D117" s="534">
        <v>43883.0</v>
      </c>
      <c r="E117" s="546" t="s">
        <v>1567</v>
      </c>
      <c r="F117" s="538" t="s">
        <v>1501</v>
      </c>
      <c r="G117" s="540" t="s">
        <v>1502</v>
      </c>
      <c r="H117" s="540" t="s">
        <v>1502</v>
      </c>
      <c r="I117" s="539" t="b">
        <v>0</v>
      </c>
      <c r="J117" s="531"/>
    </row>
    <row r="118">
      <c r="A118" s="531"/>
      <c r="B118" s="532"/>
      <c r="C118" s="533"/>
      <c r="D118" s="534">
        <v>43883.0</v>
      </c>
      <c r="E118" s="546" t="s">
        <v>1569</v>
      </c>
      <c r="F118" s="538" t="s">
        <v>1501</v>
      </c>
      <c r="G118" s="540" t="s">
        <v>1502</v>
      </c>
      <c r="H118" s="540" t="s">
        <v>1502</v>
      </c>
      <c r="I118" s="539" t="b">
        <v>0</v>
      </c>
      <c r="J118" s="531"/>
    </row>
    <row r="119">
      <c r="A119" s="531"/>
      <c r="B119" s="532"/>
      <c r="C119" s="533"/>
      <c r="D119" s="534">
        <v>43883.0</v>
      </c>
      <c r="E119" s="546" t="s">
        <v>1570</v>
      </c>
      <c r="F119" s="538" t="s">
        <v>1501</v>
      </c>
      <c r="G119" s="540" t="s">
        <v>1502</v>
      </c>
      <c r="H119" s="540" t="s">
        <v>1502</v>
      </c>
      <c r="I119" s="539" t="b">
        <v>0</v>
      </c>
      <c r="J119" s="531"/>
    </row>
    <row r="120">
      <c r="A120" s="531"/>
      <c r="B120" s="532"/>
      <c r="C120" s="533"/>
      <c r="D120" s="534">
        <v>43883.0</v>
      </c>
      <c r="E120" s="546" t="s">
        <v>1573</v>
      </c>
      <c r="F120" s="538" t="s">
        <v>1501</v>
      </c>
      <c r="G120" s="540" t="s">
        <v>1502</v>
      </c>
      <c r="H120" s="540" t="s">
        <v>1502</v>
      </c>
      <c r="I120" s="539" t="b">
        <v>0</v>
      </c>
      <c r="J120" s="531"/>
    </row>
    <row r="121">
      <c r="A121" s="531"/>
      <c r="B121" s="532"/>
      <c r="C121" s="533"/>
      <c r="D121" s="534">
        <v>43883.0</v>
      </c>
      <c r="E121" s="546" t="s">
        <v>1574</v>
      </c>
      <c r="F121" s="538" t="s">
        <v>1501</v>
      </c>
      <c r="G121" s="540" t="s">
        <v>1502</v>
      </c>
      <c r="H121" s="540" t="s">
        <v>1502</v>
      </c>
      <c r="I121" s="539" t="b">
        <v>0</v>
      </c>
      <c r="J121" s="531"/>
    </row>
    <row r="122">
      <c r="A122" s="531"/>
      <c r="B122" s="532"/>
      <c r="C122" s="533"/>
      <c r="D122" s="534">
        <v>43883.0</v>
      </c>
      <c r="E122" s="546" t="s">
        <v>1575</v>
      </c>
      <c r="F122" s="538" t="s">
        <v>1501</v>
      </c>
      <c r="G122" s="540" t="s">
        <v>1502</v>
      </c>
      <c r="H122" s="540" t="s">
        <v>1502</v>
      </c>
      <c r="I122" s="539" t="b">
        <v>0</v>
      </c>
      <c r="J122" s="531"/>
    </row>
    <row r="123">
      <c r="A123" s="531"/>
      <c r="B123" s="532"/>
      <c r="C123" s="533"/>
      <c r="D123" s="534">
        <v>43883.0</v>
      </c>
      <c r="E123" s="546" t="s">
        <v>1576</v>
      </c>
      <c r="F123" s="538" t="s">
        <v>1501</v>
      </c>
      <c r="G123" s="540" t="s">
        <v>1502</v>
      </c>
      <c r="H123" s="540" t="s">
        <v>1502</v>
      </c>
      <c r="I123" s="539" t="b">
        <v>0</v>
      </c>
      <c r="J123" s="531"/>
    </row>
    <row r="124">
      <c r="A124" s="531"/>
      <c r="B124" s="532"/>
      <c r="C124" s="533"/>
      <c r="D124" s="534">
        <v>43883.0</v>
      </c>
      <c r="E124" s="546" t="s">
        <v>1577</v>
      </c>
      <c r="F124" s="538" t="s">
        <v>1501</v>
      </c>
      <c r="G124" s="540" t="s">
        <v>1502</v>
      </c>
      <c r="H124" s="540" t="s">
        <v>1502</v>
      </c>
      <c r="I124" s="539" t="b">
        <v>0</v>
      </c>
      <c r="J124" s="531"/>
    </row>
    <row r="125">
      <c r="A125" s="531"/>
      <c r="B125" s="532"/>
      <c r="C125" s="533"/>
      <c r="D125" s="534">
        <v>43883.0</v>
      </c>
      <c r="E125" s="546" t="s">
        <v>1578</v>
      </c>
      <c r="F125" s="538" t="s">
        <v>1501</v>
      </c>
      <c r="G125" s="540" t="s">
        <v>1502</v>
      </c>
      <c r="H125" s="540" t="s">
        <v>1502</v>
      </c>
      <c r="I125" s="539" t="b">
        <v>0</v>
      </c>
      <c r="J125" s="531"/>
    </row>
    <row r="126">
      <c r="A126" s="531"/>
      <c r="B126" s="532"/>
      <c r="C126" s="533"/>
      <c r="D126" s="534">
        <v>43883.0</v>
      </c>
      <c r="E126" s="546" t="s">
        <v>1579</v>
      </c>
      <c r="F126" s="538" t="s">
        <v>1501</v>
      </c>
      <c r="G126" s="540" t="s">
        <v>1502</v>
      </c>
      <c r="H126" s="540" t="s">
        <v>1502</v>
      </c>
      <c r="I126" s="539" t="b">
        <v>0</v>
      </c>
      <c r="J126" s="531"/>
    </row>
    <row r="127">
      <c r="A127" s="531"/>
      <c r="B127" s="532"/>
      <c r="C127" s="533"/>
      <c r="D127" s="534">
        <v>43883.0</v>
      </c>
      <c r="E127" s="546" t="s">
        <v>1580</v>
      </c>
      <c r="F127" s="538" t="s">
        <v>1501</v>
      </c>
      <c r="G127" s="540" t="s">
        <v>1502</v>
      </c>
      <c r="H127" s="540" t="s">
        <v>1502</v>
      </c>
      <c r="I127" s="539" t="b">
        <v>0</v>
      </c>
      <c r="J127" s="531"/>
    </row>
    <row r="128">
      <c r="A128" s="531"/>
      <c r="B128" s="532"/>
      <c r="C128" s="533"/>
      <c r="D128" s="534">
        <v>43883.0</v>
      </c>
      <c r="E128" s="546" t="s">
        <v>1581</v>
      </c>
      <c r="F128" s="538" t="s">
        <v>1501</v>
      </c>
      <c r="G128" s="540" t="s">
        <v>1502</v>
      </c>
      <c r="H128" s="540" t="s">
        <v>1502</v>
      </c>
      <c r="I128" s="539" t="b">
        <v>0</v>
      </c>
      <c r="J128" s="531"/>
    </row>
    <row r="129">
      <c r="A129" s="531"/>
      <c r="B129" s="532"/>
      <c r="C129" s="533"/>
      <c r="D129" s="534">
        <v>43883.0</v>
      </c>
      <c r="E129" s="546" t="s">
        <v>1582</v>
      </c>
      <c r="F129" s="538" t="s">
        <v>1501</v>
      </c>
      <c r="G129" s="540" t="s">
        <v>1502</v>
      </c>
      <c r="H129" s="540" t="s">
        <v>1502</v>
      </c>
      <c r="I129" s="539" t="b">
        <v>0</v>
      </c>
      <c r="J129" s="531"/>
    </row>
    <row r="130">
      <c r="A130" s="531"/>
      <c r="B130" s="532"/>
      <c r="C130" s="533"/>
      <c r="D130" s="534">
        <v>43883.0</v>
      </c>
      <c r="E130" s="546" t="s">
        <v>1584</v>
      </c>
      <c r="F130" s="538" t="s">
        <v>1501</v>
      </c>
      <c r="G130" s="540" t="s">
        <v>1502</v>
      </c>
      <c r="H130" s="540" t="s">
        <v>1502</v>
      </c>
      <c r="I130" s="539" t="b">
        <v>0</v>
      </c>
      <c r="J130" s="531"/>
    </row>
    <row r="131">
      <c r="A131" s="531"/>
      <c r="B131" s="532"/>
      <c r="C131" s="533"/>
      <c r="D131" s="534">
        <v>43883.0</v>
      </c>
      <c r="E131" s="546" t="s">
        <v>1585</v>
      </c>
      <c r="F131" s="538" t="s">
        <v>1501</v>
      </c>
      <c r="G131" s="540" t="s">
        <v>1502</v>
      </c>
      <c r="H131" s="540" t="s">
        <v>1502</v>
      </c>
      <c r="I131" s="539" t="b">
        <v>0</v>
      </c>
      <c r="J131" s="531"/>
    </row>
    <row r="132">
      <c r="A132" s="531"/>
      <c r="B132" s="532"/>
      <c r="C132" s="533"/>
      <c r="D132" s="534">
        <v>43883.0</v>
      </c>
      <c r="E132" s="546" t="s">
        <v>1586</v>
      </c>
      <c r="F132" s="538" t="s">
        <v>1501</v>
      </c>
      <c r="G132" s="540" t="s">
        <v>1502</v>
      </c>
      <c r="H132" s="540" t="s">
        <v>1502</v>
      </c>
      <c r="I132" s="539" t="b">
        <v>0</v>
      </c>
      <c r="J132" s="531"/>
    </row>
    <row r="133">
      <c r="A133" s="531"/>
      <c r="B133" s="532"/>
      <c r="C133" s="533"/>
      <c r="D133" s="534">
        <v>43883.0</v>
      </c>
      <c r="E133" s="546" t="s">
        <v>1587</v>
      </c>
      <c r="F133" s="538" t="s">
        <v>1501</v>
      </c>
      <c r="G133" s="540" t="s">
        <v>1502</v>
      </c>
      <c r="H133" s="540" t="s">
        <v>1502</v>
      </c>
      <c r="I133" s="539" t="b">
        <v>0</v>
      </c>
      <c r="J133" s="531"/>
    </row>
    <row r="134">
      <c r="A134" s="531"/>
      <c r="B134" s="532"/>
      <c r="C134" s="533"/>
      <c r="D134" s="534">
        <v>43883.0</v>
      </c>
      <c r="E134" s="546" t="s">
        <v>1591</v>
      </c>
      <c r="F134" s="538" t="s">
        <v>1501</v>
      </c>
      <c r="G134" s="540" t="s">
        <v>1502</v>
      </c>
      <c r="H134" s="540" t="s">
        <v>1502</v>
      </c>
      <c r="I134" s="539" t="b">
        <v>0</v>
      </c>
      <c r="J134" s="531"/>
    </row>
    <row r="135">
      <c r="A135" s="531"/>
      <c r="B135" s="532"/>
      <c r="C135" s="533"/>
      <c r="D135" s="534">
        <v>43883.0</v>
      </c>
      <c r="E135" s="546" t="s">
        <v>1592</v>
      </c>
      <c r="F135" s="538" t="s">
        <v>1501</v>
      </c>
      <c r="G135" s="540" t="s">
        <v>1502</v>
      </c>
      <c r="H135" s="540" t="s">
        <v>1502</v>
      </c>
      <c r="I135" s="539" t="b">
        <v>0</v>
      </c>
      <c r="J135" s="531"/>
    </row>
    <row r="136">
      <c r="A136" s="531"/>
      <c r="B136" s="532"/>
      <c r="C136" s="533"/>
      <c r="D136" s="534">
        <v>43883.0</v>
      </c>
      <c r="E136" s="546" t="s">
        <v>1593</v>
      </c>
      <c r="F136" s="538" t="s">
        <v>1501</v>
      </c>
      <c r="G136" s="540" t="s">
        <v>1502</v>
      </c>
      <c r="H136" s="540" t="s">
        <v>1502</v>
      </c>
      <c r="I136" s="539" t="b">
        <v>0</v>
      </c>
      <c r="J136" s="531"/>
    </row>
    <row r="137">
      <c r="A137" s="531"/>
      <c r="B137" s="532"/>
      <c r="C137" s="533"/>
      <c r="D137" s="534">
        <v>43883.0</v>
      </c>
      <c r="E137" s="546" t="s">
        <v>1594</v>
      </c>
      <c r="F137" s="538" t="s">
        <v>1501</v>
      </c>
      <c r="G137" s="540" t="s">
        <v>1502</v>
      </c>
      <c r="H137" s="540" t="s">
        <v>1502</v>
      </c>
      <c r="I137" s="539" t="b">
        <v>0</v>
      </c>
      <c r="J137" s="531"/>
    </row>
    <row r="138">
      <c r="A138" s="531"/>
      <c r="B138" s="532"/>
      <c r="C138" s="533"/>
      <c r="D138" s="534">
        <v>43883.0</v>
      </c>
      <c r="E138" s="546" t="s">
        <v>1596</v>
      </c>
      <c r="F138" s="538" t="s">
        <v>1501</v>
      </c>
      <c r="G138" s="540" t="s">
        <v>1502</v>
      </c>
      <c r="H138" s="540" t="s">
        <v>1502</v>
      </c>
      <c r="I138" s="539" t="b">
        <v>0</v>
      </c>
      <c r="J138" s="531"/>
    </row>
    <row r="139">
      <c r="A139" s="531"/>
      <c r="B139" s="532"/>
      <c r="C139" s="533"/>
      <c r="D139" s="534">
        <v>43883.0</v>
      </c>
      <c r="E139" s="546" t="s">
        <v>1600</v>
      </c>
      <c r="F139" s="538" t="s">
        <v>1501</v>
      </c>
      <c r="G139" s="540" t="s">
        <v>1502</v>
      </c>
      <c r="H139" s="540" t="s">
        <v>1502</v>
      </c>
      <c r="I139" s="539" t="b">
        <v>0</v>
      </c>
      <c r="J139" s="531"/>
    </row>
    <row r="140">
      <c r="A140" s="531"/>
      <c r="B140" s="532"/>
      <c r="C140" s="533"/>
      <c r="D140" s="534">
        <v>43883.0</v>
      </c>
      <c r="E140" s="546" t="s">
        <v>1601</v>
      </c>
      <c r="F140" s="538" t="s">
        <v>1501</v>
      </c>
      <c r="G140" s="540" t="s">
        <v>1502</v>
      </c>
      <c r="H140" s="540" t="s">
        <v>1502</v>
      </c>
      <c r="I140" s="539" t="b">
        <v>0</v>
      </c>
      <c r="J140" s="531"/>
    </row>
    <row r="141">
      <c r="A141" s="531"/>
      <c r="B141" s="532"/>
      <c r="C141" s="533"/>
      <c r="D141" s="534">
        <v>43883.0</v>
      </c>
      <c r="E141" s="546" t="s">
        <v>1602</v>
      </c>
      <c r="F141" s="538" t="s">
        <v>1501</v>
      </c>
      <c r="G141" s="540" t="s">
        <v>1502</v>
      </c>
      <c r="H141" s="540" t="s">
        <v>1502</v>
      </c>
      <c r="I141" s="539" t="b">
        <v>0</v>
      </c>
      <c r="J141" s="531"/>
    </row>
    <row r="142">
      <c r="A142" s="531"/>
      <c r="B142" s="532"/>
      <c r="C142" s="533"/>
      <c r="D142" s="534">
        <v>43883.0</v>
      </c>
      <c r="E142" s="546" t="s">
        <v>1603</v>
      </c>
      <c r="F142" s="538" t="s">
        <v>1501</v>
      </c>
      <c r="G142" s="540" t="s">
        <v>1502</v>
      </c>
      <c r="H142" s="540" t="s">
        <v>1502</v>
      </c>
      <c r="I142" s="539" t="b">
        <v>0</v>
      </c>
      <c r="J142" s="531"/>
    </row>
    <row r="143">
      <c r="A143" s="531"/>
      <c r="B143" s="532"/>
      <c r="C143" s="533"/>
      <c r="D143" s="534">
        <v>43883.0</v>
      </c>
      <c r="E143" s="546" t="s">
        <v>1605</v>
      </c>
      <c r="F143" s="538" t="s">
        <v>1501</v>
      </c>
      <c r="G143" s="540" t="s">
        <v>1502</v>
      </c>
      <c r="H143" s="540" t="s">
        <v>1502</v>
      </c>
      <c r="I143" s="539" t="b">
        <v>0</v>
      </c>
      <c r="J143" s="531"/>
    </row>
    <row r="144">
      <c r="A144" s="531"/>
      <c r="B144" s="532"/>
      <c r="C144" s="533"/>
      <c r="D144" s="534">
        <v>43883.0</v>
      </c>
      <c r="E144" s="546" t="s">
        <v>1606</v>
      </c>
      <c r="F144" s="538" t="s">
        <v>1501</v>
      </c>
      <c r="G144" s="540" t="s">
        <v>1502</v>
      </c>
      <c r="H144" s="540" t="s">
        <v>1502</v>
      </c>
      <c r="I144" s="539" t="b">
        <v>0</v>
      </c>
      <c r="J144" s="531"/>
    </row>
    <row r="145">
      <c r="A145" s="531"/>
      <c r="B145" s="532"/>
      <c r="C145" s="533"/>
      <c r="D145" s="534">
        <v>43883.0</v>
      </c>
      <c r="E145" s="546" t="s">
        <v>1607</v>
      </c>
      <c r="F145" s="538" t="s">
        <v>1501</v>
      </c>
      <c r="G145" s="540" t="s">
        <v>1502</v>
      </c>
      <c r="H145" s="540" t="s">
        <v>1502</v>
      </c>
      <c r="I145" s="539" t="b">
        <v>0</v>
      </c>
      <c r="J145" s="531"/>
    </row>
    <row r="146">
      <c r="A146" s="531"/>
      <c r="B146" s="532"/>
      <c r="C146" s="533"/>
      <c r="D146" s="534">
        <v>43883.0</v>
      </c>
      <c r="E146" s="546" t="s">
        <v>1609</v>
      </c>
      <c r="F146" s="538" t="s">
        <v>1501</v>
      </c>
      <c r="G146" s="540" t="s">
        <v>1502</v>
      </c>
      <c r="H146" s="540" t="s">
        <v>1502</v>
      </c>
      <c r="I146" s="539" t="b">
        <v>0</v>
      </c>
      <c r="J146" s="531"/>
    </row>
    <row r="147">
      <c r="A147" s="531"/>
      <c r="B147" s="532"/>
      <c r="C147" s="533"/>
      <c r="D147" s="534">
        <v>43883.0</v>
      </c>
      <c r="E147" s="546" t="s">
        <v>1610</v>
      </c>
      <c r="F147" s="538" t="s">
        <v>1501</v>
      </c>
      <c r="G147" s="540" t="s">
        <v>1502</v>
      </c>
      <c r="H147" s="540" t="s">
        <v>1502</v>
      </c>
      <c r="I147" s="539" t="b">
        <v>0</v>
      </c>
      <c r="J147" s="531"/>
    </row>
    <row r="148">
      <c r="A148" s="531"/>
      <c r="B148" s="532"/>
      <c r="C148" s="533"/>
      <c r="D148" s="534">
        <v>43883.0</v>
      </c>
      <c r="E148" s="546" t="s">
        <v>1612</v>
      </c>
      <c r="F148" s="538" t="s">
        <v>1501</v>
      </c>
      <c r="G148" s="540" t="s">
        <v>1502</v>
      </c>
      <c r="H148" s="540" t="s">
        <v>1502</v>
      </c>
      <c r="I148" s="539" t="b">
        <v>0</v>
      </c>
      <c r="J148" s="531"/>
    </row>
    <row r="149">
      <c r="A149" s="531"/>
      <c r="B149" s="532"/>
      <c r="C149" s="533"/>
      <c r="D149" s="534">
        <v>43883.0</v>
      </c>
      <c r="E149" s="546" t="s">
        <v>1614</v>
      </c>
      <c r="F149" s="538" t="s">
        <v>1501</v>
      </c>
      <c r="G149" s="540" t="s">
        <v>1502</v>
      </c>
      <c r="H149" s="540" t="s">
        <v>1502</v>
      </c>
      <c r="I149" s="539" t="b">
        <v>0</v>
      </c>
      <c r="J149" s="531"/>
    </row>
    <row r="150">
      <c r="A150" s="531"/>
      <c r="B150" s="532"/>
      <c r="C150" s="533"/>
      <c r="D150" s="534">
        <v>43883.0</v>
      </c>
      <c r="E150" s="546" t="s">
        <v>1616</v>
      </c>
      <c r="F150" s="538" t="s">
        <v>1501</v>
      </c>
      <c r="G150" s="540" t="s">
        <v>1502</v>
      </c>
      <c r="H150" s="540" t="s">
        <v>1502</v>
      </c>
      <c r="I150" s="539" t="b">
        <v>0</v>
      </c>
      <c r="J150" s="531"/>
    </row>
    <row r="151">
      <c r="A151" s="531"/>
      <c r="B151" s="532"/>
      <c r="C151" s="533"/>
      <c r="D151" s="534">
        <v>43883.0</v>
      </c>
      <c r="E151" s="546" t="s">
        <v>1617</v>
      </c>
      <c r="F151" s="538" t="s">
        <v>1501</v>
      </c>
      <c r="G151" s="540" t="s">
        <v>1502</v>
      </c>
      <c r="H151" s="540" t="s">
        <v>1502</v>
      </c>
      <c r="I151" s="539" t="b">
        <v>0</v>
      </c>
      <c r="J151" s="531"/>
    </row>
    <row r="152">
      <c r="A152" s="531"/>
      <c r="B152" s="532"/>
      <c r="C152" s="533"/>
      <c r="D152" s="534">
        <v>43883.0</v>
      </c>
      <c r="E152" s="546" t="s">
        <v>1618</v>
      </c>
      <c r="F152" s="538" t="s">
        <v>1501</v>
      </c>
      <c r="G152" s="540" t="s">
        <v>1502</v>
      </c>
      <c r="H152" s="540" t="s">
        <v>1502</v>
      </c>
      <c r="I152" s="539" t="b">
        <v>0</v>
      </c>
      <c r="J152" s="531"/>
    </row>
    <row r="153">
      <c r="A153" s="531"/>
      <c r="B153" s="532"/>
      <c r="C153" s="533"/>
      <c r="D153" s="534">
        <v>43883.0</v>
      </c>
      <c r="E153" s="546" t="s">
        <v>1619</v>
      </c>
      <c r="F153" s="538" t="s">
        <v>1501</v>
      </c>
      <c r="G153" s="540" t="s">
        <v>1502</v>
      </c>
      <c r="H153" s="540" t="s">
        <v>1502</v>
      </c>
      <c r="I153" s="539" t="b">
        <v>0</v>
      </c>
      <c r="J153" s="531"/>
    </row>
    <row r="154">
      <c r="A154" s="531"/>
      <c r="B154" s="532"/>
      <c r="C154" s="533"/>
      <c r="D154" s="534">
        <v>43883.0</v>
      </c>
      <c r="E154" s="546" t="s">
        <v>1621</v>
      </c>
      <c r="F154" s="538" t="s">
        <v>1501</v>
      </c>
      <c r="G154" s="540" t="s">
        <v>1502</v>
      </c>
      <c r="H154" s="540" t="s">
        <v>1502</v>
      </c>
      <c r="I154" s="539" t="b">
        <v>0</v>
      </c>
      <c r="J154" s="531"/>
    </row>
    <row r="155">
      <c r="A155" s="531"/>
      <c r="B155" s="532"/>
      <c r="C155" s="533"/>
      <c r="D155" s="534">
        <v>43883.0</v>
      </c>
      <c r="E155" s="546" t="s">
        <v>1622</v>
      </c>
      <c r="F155" s="538" t="s">
        <v>1501</v>
      </c>
      <c r="G155" s="540" t="s">
        <v>1502</v>
      </c>
      <c r="H155" s="540" t="s">
        <v>1502</v>
      </c>
      <c r="I155" s="539" t="b">
        <v>0</v>
      </c>
      <c r="J155" s="531"/>
    </row>
    <row r="156">
      <c r="A156" s="531"/>
      <c r="B156" s="532"/>
      <c r="C156" s="533"/>
      <c r="D156" s="534">
        <v>43883.0</v>
      </c>
      <c r="E156" s="546" t="s">
        <v>1623</v>
      </c>
      <c r="F156" s="538" t="s">
        <v>1501</v>
      </c>
      <c r="G156" s="540" t="s">
        <v>1502</v>
      </c>
      <c r="H156" s="540" t="s">
        <v>1502</v>
      </c>
      <c r="I156" s="539" t="b">
        <v>0</v>
      </c>
      <c r="J156" s="531"/>
    </row>
    <row r="157">
      <c r="A157" s="531"/>
      <c r="B157" s="532"/>
      <c r="C157" s="533"/>
      <c r="D157" s="534">
        <v>43883.0</v>
      </c>
      <c r="E157" s="546" t="s">
        <v>1624</v>
      </c>
      <c r="F157" s="538" t="s">
        <v>1501</v>
      </c>
      <c r="G157" s="540" t="s">
        <v>1502</v>
      </c>
      <c r="H157" s="540" t="s">
        <v>1502</v>
      </c>
      <c r="I157" s="539" t="b">
        <v>0</v>
      </c>
      <c r="J157" s="531"/>
    </row>
    <row r="158">
      <c r="A158" s="531"/>
      <c r="B158" s="532"/>
      <c r="C158" s="533"/>
      <c r="D158" s="534">
        <v>43883.0</v>
      </c>
      <c r="E158" s="546" t="s">
        <v>1626</v>
      </c>
      <c r="F158" s="538" t="s">
        <v>1501</v>
      </c>
      <c r="G158" s="540" t="s">
        <v>1502</v>
      </c>
      <c r="H158" s="540" t="s">
        <v>1502</v>
      </c>
      <c r="I158" s="539" t="b">
        <v>0</v>
      </c>
      <c r="J158" s="531"/>
    </row>
    <row r="159">
      <c r="A159" s="531"/>
      <c r="B159" s="532"/>
      <c r="C159" s="533"/>
      <c r="D159" s="534">
        <v>43883.0</v>
      </c>
      <c r="E159" s="546" t="s">
        <v>1627</v>
      </c>
      <c r="F159" s="538" t="s">
        <v>1501</v>
      </c>
      <c r="G159" s="540" t="s">
        <v>1502</v>
      </c>
      <c r="H159" s="540" t="s">
        <v>1502</v>
      </c>
      <c r="I159" s="539" t="b">
        <v>0</v>
      </c>
      <c r="J159" s="531"/>
    </row>
    <row r="160">
      <c r="A160" s="531"/>
      <c r="B160" s="532"/>
      <c r="C160" s="533"/>
      <c r="D160" s="534">
        <v>43883.0</v>
      </c>
      <c r="E160" s="546" t="s">
        <v>1630</v>
      </c>
      <c r="F160" s="538" t="s">
        <v>1501</v>
      </c>
      <c r="G160" s="540" t="s">
        <v>1502</v>
      </c>
      <c r="H160" s="540" t="s">
        <v>1502</v>
      </c>
      <c r="I160" s="539" t="b">
        <v>0</v>
      </c>
      <c r="J160" s="531"/>
    </row>
    <row r="161">
      <c r="A161" s="531"/>
      <c r="B161" s="532"/>
      <c r="C161" s="533"/>
      <c r="D161" s="534">
        <v>43883.0</v>
      </c>
      <c r="E161" s="546" t="s">
        <v>1632</v>
      </c>
      <c r="F161" s="538" t="s">
        <v>1501</v>
      </c>
      <c r="G161" s="540" t="s">
        <v>1502</v>
      </c>
      <c r="H161" s="540" t="s">
        <v>1502</v>
      </c>
      <c r="I161" s="539" t="b">
        <v>0</v>
      </c>
      <c r="J161" s="531"/>
    </row>
    <row r="162">
      <c r="A162" s="531"/>
      <c r="B162" s="532"/>
      <c r="C162" s="533"/>
      <c r="D162" s="534">
        <v>43883.0</v>
      </c>
      <c r="E162" s="546" t="s">
        <v>1633</v>
      </c>
      <c r="F162" s="538" t="s">
        <v>1501</v>
      </c>
      <c r="G162" s="540" t="s">
        <v>1502</v>
      </c>
      <c r="H162" s="540" t="s">
        <v>1502</v>
      </c>
      <c r="I162" s="539" t="b">
        <v>0</v>
      </c>
      <c r="J162" s="531"/>
    </row>
    <row r="163">
      <c r="A163" s="531"/>
      <c r="B163" s="532"/>
      <c r="C163" s="533"/>
      <c r="D163" s="534">
        <v>43883.0</v>
      </c>
      <c r="E163" s="546" t="s">
        <v>1634</v>
      </c>
      <c r="F163" s="538" t="s">
        <v>1501</v>
      </c>
      <c r="G163" s="540" t="s">
        <v>1502</v>
      </c>
      <c r="H163" s="540" t="s">
        <v>1502</v>
      </c>
      <c r="I163" s="539" t="b">
        <v>0</v>
      </c>
      <c r="J163" s="531"/>
    </row>
    <row r="164">
      <c r="A164" s="531"/>
      <c r="B164" s="532"/>
      <c r="C164" s="533"/>
      <c r="D164" s="534">
        <v>43883.0</v>
      </c>
      <c r="E164" s="43" t="s">
        <v>1553</v>
      </c>
      <c r="F164" s="538" t="s">
        <v>1651</v>
      </c>
      <c r="G164" s="540" t="s">
        <v>1502</v>
      </c>
      <c r="H164" s="540" t="s">
        <v>1502</v>
      </c>
      <c r="I164" s="539" t="b">
        <v>0</v>
      </c>
      <c r="J164" s="531"/>
    </row>
    <row r="165">
      <c r="A165" s="531"/>
      <c r="B165" s="532"/>
      <c r="C165" s="533"/>
      <c r="D165" s="534">
        <v>43883.0</v>
      </c>
      <c r="E165" s="43" t="s">
        <v>1652</v>
      </c>
      <c r="F165" s="538" t="s">
        <v>1653</v>
      </c>
      <c r="G165" s="539" t="b">
        <v>1</v>
      </c>
      <c r="H165" s="539" t="b">
        <v>1</v>
      </c>
      <c r="I165" s="539" t="b">
        <v>0</v>
      </c>
      <c r="J165" s="531"/>
    </row>
    <row r="166">
      <c r="A166" s="531"/>
      <c r="B166" s="532"/>
      <c r="C166" s="533"/>
      <c r="D166" s="534">
        <v>43883.0</v>
      </c>
      <c r="E166" s="43" t="s">
        <v>1564</v>
      </c>
      <c r="F166" s="538" t="s">
        <v>1657</v>
      </c>
      <c r="G166" s="539" t="b">
        <v>1</v>
      </c>
      <c r="H166" s="539" t="b">
        <v>1</v>
      </c>
      <c r="I166" s="539" t="b">
        <v>0</v>
      </c>
      <c r="J166" s="531"/>
    </row>
    <row r="167">
      <c r="A167" s="531"/>
      <c r="B167" s="532"/>
      <c r="C167" s="533"/>
      <c r="D167" s="534">
        <v>43880.0</v>
      </c>
      <c r="E167" s="538" t="s">
        <v>1658</v>
      </c>
      <c r="F167" s="538" t="s">
        <v>1500</v>
      </c>
      <c r="G167" s="539" t="b">
        <v>1</v>
      </c>
      <c r="H167" s="539" t="b">
        <v>1</v>
      </c>
      <c r="I167" s="539" t="b">
        <v>0</v>
      </c>
      <c r="J167" s="531"/>
    </row>
    <row r="168">
      <c r="A168" s="531"/>
      <c r="B168" s="532"/>
      <c r="C168" s="533"/>
      <c r="D168" s="534">
        <v>43880.0</v>
      </c>
      <c r="E168" s="538" t="s">
        <v>1659</v>
      </c>
      <c r="F168" s="538" t="s">
        <v>1500</v>
      </c>
      <c r="G168" s="539" t="b">
        <v>1</v>
      </c>
      <c r="H168" s="539" t="b">
        <v>1</v>
      </c>
      <c r="I168" s="539" t="b">
        <v>0</v>
      </c>
      <c r="J168" s="531"/>
    </row>
    <row r="169">
      <c r="A169" s="531"/>
      <c r="B169" s="532"/>
      <c r="C169" s="533"/>
      <c r="D169" s="534">
        <v>43880.0</v>
      </c>
      <c r="E169" s="538" t="s">
        <v>1660</v>
      </c>
      <c r="F169" s="538" t="s">
        <v>1500</v>
      </c>
      <c r="G169" s="539" t="b">
        <v>1</v>
      </c>
      <c r="H169" s="539" t="b">
        <v>1</v>
      </c>
      <c r="I169" s="539" t="b">
        <v>0</v>
      </c>
      <c r="J169" s="531"/>
    </row>
    <row r="170">
      <c r="A170" s="531"/>
      <c r="B170" s="532"/>
      <c r="C170" s="533"/>
      <c r="D170" s="534">
        <v>43880.0</v>
      </c>
      <c r="E170" s="538" t="s">
        <v>1661</v>
      </c>
      <c r="F170" s="538" t="s">
        <v>1500</v>
      </c>
      <c r="G170" s="539" t="b">
        <v>1</v>
      </c>
      <c r="H170" s="539" t="b">
        <v>1</v>
      </c>
      <c r="I170" s="539" t="b">
        <v>0</v>
      </c>
      <c r="J170" s="531"/>
    </row>
    <row r="171">
      <c r="A171" s="531"/>
      <c r="B171" s="532"/>
      <c r="C171" s="533"/>
      <c r="D171" s="534">
        <v>43880.0</v>
      </c>
      <c r="E171" s="538" t="s">
        <v>1662</v>
      </c>
      <c r="F171" s="538" t="s">
        <v>1500</v>
      </c>
      <c r="G171" s="539" t="b">
        <v>1</v>
      </c>
      <c r="H171" s="539" t="b">
        <v>1</v>
      </c>
      <c r="I171" s="539" t="b">
        <v>0</v>
      </c>
      <c r="J171" s="531"/>
    </row>
    <row r="172">
      <c r="A172" s="531"/>
      <c r="B172" s="532"/>
      <c r="C172" s="533"/>
      <c r="D172" s="534">
        <v>43880.0</v>
      </c>
      <c r="E172" s="538" t="s">
        <v>1663</v>
      </c>
      <c r="F172" s="538" t="s">
        <v>1500</v>
      </c>
      <c r="G172" s="539" t="b">
        <v>1</v>
      </c>
      <c r="H172" s="539" t="b">
        <v>1</v>
      </c>
      <c r="I172" s="539" t="b">
        <v>0</v>
      </c>
      <c r="J172" s="531"/>
    </row>
    <row r="173">
      <c r="A173" s="531"/>
      <c r="B173" s="532"/>
      <c r="C173" s="533"/>
      <c r="D173" s="534">
        <v>43880.0</v>
      </c>
      <c r="E173" s="538" t="s">
        <v>1666</v>
      </c>
      <c r="F173" s="538" t="s">
        <v>1500</v>
      </c>
      <c r="G173" s="539" t="b">
        <v>1</v>
      </c>
      <c r="H173" s="539" t="b">
        <v>1</v>
      </c>
      <c r="I173" s="539" t="b">
        <v>0</v>
      </c>
      <c r="J173" s="531"/>
    </row>
    <row r="174">
      <c r="A174" s="531"/>
      <c r="B174" s="532"/>
      <c r="C174" s="533"/>
      <c r="D174" s="534">
        <v>43880.0</v>
      </c>
      <c r="E174" s="538" t="s">
        <v>1668</v>
      </c>
      <c r="F174" s="538" t="s">
        <v>1500</v>
      </c>
      <c r="G174" s="539" t="b">
        <v>1</v>
      </c>
      <c r="H174" s="539" t="b">
        <v>1</v>
      </c>
      <c r="I174" s="539" t="b">
        <v>0</v>
      </c>
      <c r="J174" s="531"/>
    </row>
    <row r="175">
      <c r="A175" s="531"/>
      <c r="B175" s="532"/>
      <c r="C175" s="533"/>
      <c r="D175" s="534">
        <v>43880.0</v>
      </c>
      <c r="E175" s="538" t="s">
        <v>1669</v>
      </c>
      <c r="F175" s="538" t="s">
        <v>1500</v>
      </c>
      <c r="G175" s="539" t="b">
        <v>1</v>
      </c>
      <c r="H175" s="539" t="b">
        <v>1</v>
      </c>
      <c r="I175" s="539" t="b">
        <v>0</v>
      </c>
      <c r="J175" s="531"/>
    </row>
    <row r="176">
      <c r="A176" s="531"/>
      <c r="B176" s="532"/>
      <c r="C176" s="533"/>
      <c r="D176" s="534">
        <v>43880.0</v>
      </c>
      <c r="E176" s="538" t="s">
        <v>1670</v>
      </c>
      <c r="F176" s="538" t="s">
        <v>1500</v>
      </c>
      <c r="G176" s="539" t="b">
        <v>1</v>
      </c>
      <c r="H176" s="539" t="b">
        <v>1</v>
      </c>
      <c r="I176" s="539" t="b">
        <v>0</v>
      </c>
      <c r="J176" s="531"/>
    </row>
    <row r="177">
      <c r="A177" s="531"/>
      <c r="B177" s="532"/>
      <c r="C177" s="533"/>
      <c r="D177" s="534">
        <v>43880.0</v>
      </c>
      <c r="E177" s="538" t="s">
        <v>1671</v>
      </c>
      <c r="F177" s="538" t="s">
        <v>1500</v>
      </c>
      <c r="G177" s="539" t="b">
        <v>1</v>
      </c>
      <c r="H177" s="539" t="b">
        <v>1</v>
      </c>
      <c r="I177" s="539" t="b">
        <v>0</v>
      </c>
      <c r="J177" s="531"/>
    </row>
    <row r="178">
      <c r="A178" s="531"/>
      <c r="B178" s="532"/>
      <c r="C178" s="533"/>
      <c r="D178" s="534">
        <v>43880.0</v>
      </c>
      <c r="E178" s="538" t="s">
        <v>1672</v>
      </c>
      <c r="F178" s="538" t="s">
        <v>1500</v>
      </c>
      <c r="G178" s="539" t="b">
        <v>1</v>
      </c>
      <c r="H178" s="539" t="b">
        <v>1</v>
      </c>
      <c r="I178" s="539" t="b">
        <v>0</v>
      </c>
      <c r="J178" s="531"/>
    </row>
    <row r="179">
      <c r="A179" s="531"/>
      <c r="B179" s="532"/>
      <c r="C179" s="533"/>
      <c r="D179" s="534">
        <v>43880.0</v>
      </c>
      <c r="E179" s="538" t="s">
        <v>1674</v>
      </c>
      <c r="F179" s="538" t="s">
        <v>1500</v>
      </c>
      <c r="G179" s="539" t="b">
        <v>1</v>
      </c>
      <c r="H179" s="539" t="b">
        <v>1</v>
      </c>
      <c r="I179" s="539" t="b">
        <v>0</v>
      </c>
      <c r="J179" s="531"/>
    </row>
    <row r="180">
      <c r="A180" s="531"/>
      <c r="B180" s="532"/>
      <c r="C180" s="533"/>
      <c r="D180" s="534">
        <v>43880.0</v>
      </c>
      <c r="E180" s="538" t="s">
        <v>1675</v>
      </c>
      <c r="F180" s="538" t="s">
        <v>1500</v>
      </c>
      <c r="G180" s="539" t="b">
        <v>1</v>
      </c>
      <c r="H180" s="539" t="b">
        <v>1</v>
      </c>
      <c r="I180" s="539" t="b">
        <v>0</v>
      </c>
      <c r="J180" s="531"/>
    </row>
    <row r="181">
      <c r="A181" s="531"/>
      <c r="B181" s="532"/>
      <c r="C181" s="533"/>
      <c r="D181" s="534">
        <v>43880.0</v>
      </c>
      <c r="E181" s="538" t="s">
        <v>1676</v>
      </c>
      <c r="F181" s="538" t="s">
        <v>1500</v>
      </c>
      <c r="G181" s="539" t="b">
        <v>1</v>
      </c>
      <c r="H181" s="539" t="b">
        <v>1</v>
      </c>
      <c r="I181" s="539" t="b">
        <v>0</v>
      </c>
      <c r="J181" s="531"/>
    </row>
    <row r="182">
      <c r="A182" s="531"/>
      <c r="B182" s="532"/>
      <c r="C182" s="533"/>
      <c r="D182" s="534">
        <v>43880.0</v>
      </c>
      <c r="E182" s="538" t="s">
        <v>1677</v>
      </c>
      <c r="F182" s="538" t="s">
        <v>1500</v>
      </c>
      <c r="G182" s="539" t="b">
        <v>1</v>
      </c>
      <c r="H182" s="539" t="b">
        <v>1</v>
      </c>
      <c r="I182" s="539" t="b">
        <v>0</v>
      </c>
      <c r="J182" s="531"/>
    </row>
    <row r="183">
      <c r="A183" s="531"/>
      <c r="B183" s="532"/>
      <c r="C183" s="533"/>
      <c r="D183" s="534">
        <v>43880.0</v>
      </c>
      <c r="E183" s="538" t="s">
        <v>1678</v>
      </c>
      <c r="F183" s="538" t="s">
        <v>1500</v>
      </c>
      <c r="G183" s="539" t="b">
        <v>1</v>
      </c>
      <c r="H183" s="539" t="b">
        <v>1</v>
      </c>
      <c r="I183" s="539" t="b">
        <v>0</v>
      </c>
      <c r="J183" s="531"/>
    </row>
    <row r="184">
      <c r="A184" s="531"/>
      <c r="B184" s="532"/>
      <c r="C184" s="533"/>
      <c r="D184" s="534">
        <v>43880.0</v>
      </c>
      <c r="E184" s="538" t="s">
        <v>1679</v>
      </c>
      <c r="F184" s="538" t="s">
        <v>1500</v>
      </c>
      <c r="G184" s="539" t="b">
        <v>1</v>
      </c>
      <c r="H184" s="539" t="b">
        <v>1</v>
      </c>
      <c r="I184" s="539" t="b">
        <v>0</v>
      </c>
      <c r="J184" s="531"/>
    </row>
    <row r="185">
      <c r="A185" s="531"/>
      <c r="B185" s="532"/>
      <c r="C185" s="533"/>
      <c r="D185" s="534">
        <v>43880.0</v>
      </c>
      <c r="E185" s="538" t="s">
        <v>1681</v>
      </c>
      <c r="F185" s="538" t="s">
        <v>1500</v>
      </c>
      <c r="G185" s="539" t="b">
        <v>1</v>
      </c>
      <c r="H185" s="539" t="b">
        <v>1</v>
      </c>
      <c r="I185" s="539" t="b">
        <v>0</v>
      </c>
      <c r="J185" s="531"/>
    </row>
    <row r="186">
      <c r="A186" s="531"/>
      <c r="B186" s="532"/>
      <c r="C186" s="533"/>
      <c r="D186" s="534">
        <v>43880.0</v>
      </c>
      <c r="E186" s="538" t="s">
        <v>1682</v>
      </c>
      <c r="F186" s="538" t="s">
        <v>1500</v>
      </c>
      <c r="G186" s="539" t="b">
        <v>1</v>
      </c>
      <c r="H186" s="539" t="b">
        <v>1</v>
      </c>
      <c r="I186" s="539" t="b">
        <v>0</v>
      </c>
      <c r="J186" s="531"/>
    </row>
    <row r="187">
      <c r="A187" s="531"/>
      <c r="B187" s="532"/>
      <c r="C187" s="533"/>
      <c r="D187" s="534">
        <v>43880.0</v>
      </c>
      <c r="E187" s="538" t="s">
        <v>1683</v>
      </c>
      <c r="F187" s="538" t="s">
        <v>1500</v>
      </c>
      <c r="G187" s="539" t="b">
        <v>1</v>
      </c>
      <c r="H187" s="539" t="b">
        <v>1</v>
      </c>
      <c r="I187" s="539" t="b">
        <v>0</v>
      </c>
      <c r="J187" s="531"/>
    </row>
    <row r="188">
      <c r="A188" s="531"/>
      <c r="B188" s="532"/>
      <c r="C188" s="533"/>
      <c r="D188" s="534">
        <v>43880.0</v>
      </c>
      <c r="E188" s="538" t="s">
        <v>1686</v>
      </c>
      <c r="F188" s="538" t="s">
        <v>1500</v>
      </c>
      <c r="G188" s="539" t="b">
        <v>1</v>
      </c>
      <c r="H188" s="539" t="b">
        <v>1</v>
      </c>
      <c r="I188" s="539" t="b">
        <v>0</v>
      </c>
      <c r="J188" s="531"/>
    </row>
    <row r="189">
      <c r="A189" s="531"/>
      <c r="B189" s="532"/>
      <c r="C189" s="533"/>
      <c r="D189" s="534">
        <v>43880.0</v>
      </c>
      <c r="E189" s="538" t="s">
        <v>1688</v>
      </c>
      <c r="F189" s="538" t="s">
        <v>1500</v>
      </c>
      <c r="G189" s="539" t="b">
        <v>1</v>
      </c>
      <c r="H189" s="539" t="b">
        <v>1</v>
      </c>
      <c r="I189" s="539" t="b">
        <v>0</v>
      </c>
      <c r="J189" s="531"/>
    </row>
    <row r="190">
      <c r="A190" s="531"/>
      <c r="B190" s="532"/>
      <c r="C190" s="533"/>
      <c r="D190" s="534">
        <v>43880.0</v>
      </c>
      <c r="E190" s="538" t="s">
        <v>1689</v>
      </c>
      <c r="F190" s="538" t="s">
        <v>1500</v>
      </c>
      <c r="G190" s="539" t="b">
        <v>1</v>
      </c>
      <c r="H190" s="539" t="b">
        <v>1</v>
      </c>
      <c r="I190" s="539" t="b">
        <v>0</v>
      </c>
      <c r="J190" s="531"/>
    </row>
    <row r="191">
      <c r="A191" s="531"/>
      <c r="B191" s="532"/>
      <c r="C191" s="533"/>
      <c r="D191" s="534">
        <v>43880.0</v>
      </c>
      <c r="E191" s="538" t="s">
        <v>1690</v>
      </c>
      <c r="F191" s="538" t="s">
        <v>1500</v>
      </c>
      <c r="G191" s="539" t="b">
        <v>1</v>
      </c>
      <c r="H191" s="539" t="b">
        <v>1</v>
      </c>
      <c r="I191" s="539" t="b">
        <v>0</v>
      </c>
      <c r="J191" s="531"/>
    </row>
    <row r="192">
      <c r="A192" s="531"/>
      <c r="B192" s="532"/>
      <c r="C192" s="533"/>
      <c r="D192" s="534">
        <v>43880.0</v>
      </c>
      <c r="E192" s="538" t="s">
        <v>1692</v>
      </c>
      <c r="F192" s="538" t="s">
        <v>1500</v>
      </c>
      <c r="G192" s="539" t="b">
        <v>1</v>
      </c>
      <c r="H192" s="539" t="b">
        <v>1</v>
      </c>
      <c r="I192" s="539" t="b">
        <v>0</v>
      </c>
      <c r="J192" s="531"/>
    </row>
    <row r="193">
      <c r="A193" s="531"/>
      <c r="B193" s="532"/>
      <c r="C193" s="533"/>
      <c r="D193" s="534">
        <v>43880.0</v>
      </c>
      <c r="E193" s="538" t="s">
        <v>1693</v>
      </c>
      <c r="F193" s="538" t="s">
        <v>1500</v>
      </c>
      <c r="G193" s="539" t="b">
        <v>1</v>
      </c>
      <c r="H193" s="539" t="b">
        <v>1</v>
      </c>
      <c r="I193" s="539" t="b">
        <v>0</v>
      </c>
      <c r="J193" s="531"/>
    </row>
    <row r="194">
      <c r="A194" s="531"/>
      <c r="B194" s="532"/>
      <c r="C194" s="533"/>
      <c r="D194" s="534">
        <v>43880.0</v>
      </c>
      <c r="E194" s="538" t="s">
        <v>1694</v>
      </c>
      <c r="F194" s="538" t="s">
        <v>1500</v>
      </c>
      <c r="G194" s="539" t="b">
        <v>1</v>
      </c>
      <c r="H194" s="539" t="b">
        <v>1</v>
      </c>
      <c r="I194" s="539" t="b">
        <v>0</v>
      </c>
      <c r="J194" s="531"/>
    </row>
    <row r="195">
      <c r="A195" s="531"/>
      <c r="B195" s="532"/>
      <c r="C195" s="533"/>
      <c r="D195" s="534">
        <v>43880.0</v>
      </c>
      <c r="E195" s="538" t="s">
        <v>1695</v>
      </c>
      <c r="F195" s="538" t="s">
        <v>1500</v>
      </c>
      <c r="G195" s="539" t="b">
        <v>1</v>
      </c>
      <c r="H195" s="539" t="b">
        <v>1</v>
      </c>
      <c r="I195" s="539" t="b">
        <v>0</v>
      </c>
      <c r="J195" s="531"/>
    </row>
    <row r="196">
      <c r="A196" s="531"/>
      <c r="B196" s="532"/>
      <c r="C196" s="533"/>
      <c r="D196" s="534">
        <v>43880.0</v>
      </c>
      <c r="E196" s="538" t="s">
        <v>1697</v>
      </c>
      <c r="F196" s="538" t="s">
        <v>1500</v>
      </c>
      <c r="G196" s="539" t="b">
        <v>1</v>
      </c>
      <c r="H196" s="539" t="b">
        <v>1</v>
      </c>
      <c r="I196" s="539" t="b">
        <v>0</v>
      </c>
      <c r="J196" s="531"/>
    </row>
    <row r="197">
      <c r="A197" s="531"/>
      <c r="B197" s="532"/>
      <c r="C197" s="533"/>
      <c r="D197" s="534">
        <v>43880.0</v>
      </c>
      <c r="E197" s="538" t="s">
        <v>1698</v>
      </c>
      <c r="F197" s="538" t="s">
        <v>1500</v>
      </c>
      <c r="G197" s="539" t="b">
        <v>1</v>
      </c>
      <c r="H197" s="539" t="b">
        <v>1</v>
      </c>
      <c r="I197" s="539" t="b">
        <v>0</v>
      </c>
      <c r="J197" s="531"/>
    </row>
    <row r="198">
      <c r="A198" s="531"/>
      <c r="B198" s="532"/>
      <c r="C198" s="533"/>
      <c r="D198" s="534">
        <v>43880.0</v>
      </c>
      <c r="E198" s="538" t="s">
        <v>1702</v>
      </c>
      <c r="F198" s="538" t="s">
        <v>1500</v>
      </c>
      <c r="G198" s="539" t="b">
        <v>1</v>
      </c>
      <c r="H198" s="539" t="b">
        <v>1</v>
      </c>
      <c r="I198" s="539" t="b">
        <v>0</v>
      </c>
      <c r="J198" s="531"/>
    </row>
    <row r="199">
      <c r="A199" s="531"/>
      <c r="B199" s="532"/>
      <c r="C199" s="533"/>
      <c r="D199" s="534">
        <v>43880.0</v>
      </c>
      <c r="E199" s="538" t="s">
        <v>1703</v>
      </c>
      <c r="F199" s="538" t="s">
        <v>1500</v>
      </c>
      <c r="G199" s="539" t="b">
        <v>1</v>
      </c>
      <c r="H199" s="539" t="b">
        <v>1</v>
      </c>
      <c r="I199" s="539" t="b">
        <v>0</v>
      </c>
      <c r="J199" s="531"/>
    </row>
    <row r="200">
      <c r="A200" s="531"/>
      <c r="B200" s="532"/>
      <c r="C200" s="533"/>
      <c r="D200" s="534">
        <v>43880.0</v>
      </c>
      <c r="E200" s="538" t="s">
        <v>1704</v>
      </c>
      <c r="F200" s="538" t="s">
        <v>1500</v>
      </c>
      <c r="G200" s="539" t="b">
        <v>1</v>
      </c>
      <c r="H200" s="539" t="b">
        <v>1</v>
      </c>
      <c r="I200" s="539" t="b">
        <v>0</v>
      </c>
      <c r="J200" s="531"/>
    </row>
    <row r="201">
      <c r="A201" s="531"/>
      <c r="B201" s="532"/>
      <c r="C201" s="533"/>
      <c r="D201" s="534">
        <v>43880.0</v>
      </c>
      <c r="E201" s="538" t="s">
        <v>1674</v>
      </c>
      <c r="F201" s="538" t="s">
        <v>1510</v>
      </c>
      <c r="G201" s="539" t="b">
        <v>1</v>
      </c>
      <c r="H201" s="539" t="b">
        <v>1</v>
      </c>
      <c r="I201" s="539" t="b">
        <v>0</v>
      </c>
      <c r="J201" s="531"/>
    </row>
    <row r="202">
      <c r="A202" s="531"/>
      <c r="B202" s="532"/>
      <c r="C202" s="533"/>
      <c r="D202" s="534">
        <v>43880.0</v>
      </c>
      <c r="E202" s="538" t="s">
        <v>1706</v>
      </c>
      <c r="F202" s="538" t="s">
        <v>1500</v>
      </c>
      <c r="G202" s="539" t="b">
        <v>1</v>
      </c>
      <c r="H202" s="539" t="b">
        <v>1</v>
      </c>
      <c r="I202" s="539" t="b">
        <v>0</v>
      </c>
      <c r="J202" s="531"/>
    </row>
    <row r="203">
      <c r="A203" s="531"/>
      <c r="B203" s="532"/>
      <c r="C203" s="533"/>
      <c r="D203" s="534">
        <v>43880.0</v>
      </c>
      <c r="E203" s="538" t="s">
        <v>1707</v>
      </c>
      <c r="F203" s="538" t="s">
        <v>1500</v>
      </c>
      <c r="G203" s="539" t="b">
        <v>1</v>
      </c>
      <c r="H203" s="539" t="b">
        <v>1</v>
      </c>
      <c r="I203" s="539" t="b">
        <v>0</v>
      </c>
      <c r="J203" s="531"/>
    </row>
    <row r="204">
      <c r="A204" s="531"/>
      <c r="B204" s="532"/>
      <c r="C204" s="533"/>
      <c r="D204" s="534">
        <v>43880.0</v>
      </c>
      <c r="E204" s="538" t="s">
        <v>1708</v>
      </c>
      <c r="F204" s="538" t="s">
        <v>1500</v>
      </c>
      <c r="G204" s="539" t="b">
        <v>1</v>
      </c>
      <c r="H204" s="539" t="b">
        <v>1</v>
      </c>
      <c r="I204" s="539" t="b">
        <v>0</v>
      </c>
      <c r="J204" s="531"/>
    </row>
    <row r="205">
      <c r="A205" s="531"/>
      <c r="B205" s="532"/>
      <c r="C205" s="533"/>
      <c r="D205" s="534">
        <v>43880.0</v>
      </c>
      <c r="E205" s="538" t="s">
        <v>1709</v>
      </c>
      <c r="F205" s="538" t="s">
        <v>1500</v>
      </c>
      <c r="G205" s="539" t="b">
        <v>1</v>
      </c>
      <c r="H205" s="539" t="b">
        <v>1</v>
      </c>
      <c r="I205" s="539" t="b">
        <v>0</v>
      </c>
      <c r="J205" s="531"/>
    </row>
    <row r="206">
      <c r="A206" s="531"/>
      <c r="B206" s="532"/>
      <c r="C206" s="533"/>
      <c r="D206" s="534">
        <v>43880.0</v>
      </c>
      <c r="E206" s="538" t="s">
        <v>1710</v>
      </c>
      <c r="F206" s="538" t="s">
        <v>1711</v>
      </c>
      <c r="G206" s="539" t="b">
        <v>1</v>
      </c>
      <c r="H206" s="539" t="b">
        <v>1</v>
      </c>
      <c r="I206" s="539" t="b">
        <v>0</v>
      </c>
      <c r="J206" s="531"/>
    </row>
    <row r="207">
      <c r="D207" s="534">
        <v>43880.0</v>
      </c>
      <c r="E207" s="538" t="s">
        <v>1658</v>
      </c>
      <c r="F207" s="538" t="s">
        <v>1501</v>
      </c>
      <c r="G207" s="540" t="s">
        <v>1502</v>
      </c>
      <c r="H207" s="540" t="s">
        <v>1502</v>
      </c>
      <c r="I207" s="539" t="b">
        <v>0</v>
      </c>
    </row>
    <row r="208">
      <c r="D208" s="534">
        <v>43880.0</v>
      </c>
      <c r="E208" s="538" t="s">
        <v>1659</v>
      </c>
      <c r="F208" s="538" t="s">
        <v>1501</v>
      </c>
      <c r="G208" s="540" t="s">
        <v>1502</v>
      </c>
      <c r="H208" s="540" t="s">
        <v>1502</v>
      </c>
      <c r="I208" s="539" t="b">
        <v>0</v>
      </c>
    </row>
    <row r="209">
      <c r="D209" s="534">
        <v>43880.0</v>
      </c>
      <c r="E209" s="538" t="s">
        <v>1660</v>
      </c>
      <c r="F209" s="538" t="s">
        <v>1501</v>
      </c>
      <c r="G209" s="540" t="s">
        <v>1502</v>
      </c>
      <c r="H209" s="540" t="s">
        <v>1502</v>
      </c>
      <c r="I209" s="539" t="b">
        <v>0</v>
      </c>
    </row>
    <row r="210">
      <c r="D210" s="534">
        <v>43880.0</v>
      </c>
      <c r="E210" s="538" t="s">
        <v>1661</v>
      </c>
      <c r="F210" s="538" t="s">
        <v>1501</v>
      </c>
      <c r="G210" s="540" t="s">
        <v>1502</v>
      </c>
      <c r="H210" s="540" t="s">
        <v>1502</v>
      </c>
      <c r="I210" s="539" t="b">
        <v>0</v>
      </c>
    </row>
    <row r="211">
      <c r="D211" s="534">
        <v>43880.0</v>
      </c>
      <c r="E211" s="538" t="s">
        <v>1662</v>
      </c>
      <c r="F211" s="538" t="s">
        <v>1501</v>
      </c>
      <c r="G211" s="540" t="s">
        <v>1502</v>
      </c>
      <c r="H211" s="540" t="s">
        <v>1502</v>
      </c>
      <c r="I211" s="539" t="b">
        <v>0</v>
      </c>
    </row>
    <row r="212">
      <c r="D212" s="534">
        <v>43880.0</v>
      </c>
      <c r="E212" s="538" t="s">
        <v>1663</v>
      </c>
      <c r="F212" s="538" t="s">
        <v>1501</v>
      </c>
      <c r="G212" s="540" t="s">
        <v>1502</v>
      </c>
      <c r="H212" s="540" t="s">
        <v>1502</v>
      </c>
      <c r="I212" s="539" t="b">
        <v>0</v>
      </c>
    </row>
    <row r="213">
      <c r="D213" s="534">
        <v>43880.0</v>
      </c>
      <c r="E213" s="538" t="s">
        <v>1666</v>
      </c>
      <c r="F213" s="538" t="s">
        <v>1501</v>
      </c>
      <c r="G213" s="540" t="s">
        <v>1502</v>
      </c>
      <c r="H213" s="540" t="s">
        <v>1502</v>
      </c>
      <c r="I213" s="539" t="b">
        <v>0</v>
      </c>
    </row>
    <row r="214">
      <c r="D214" s="534">
        <v>43880.0</v>
      </c>
      <c r="E214" s="538" t="s">
        <v>1668</v>
      </c>
      <c r="F214" s="538" t="s">
        <v>1501</v>
      </c>
      <c r="G214" s="540" t="s">
        <v>1502</v>
      </c>
      <c r="H214" s="540" t="s">
        <v>1502</v>
      </c>
      <c r="I214" s="539" t="b">
        <v>0</v>
      </c>
    </row>
    <row r="215">
      <c r="D215" s="534">
        <v>43880.0</v>
      </c>
      <c r="E215" s="538" t="s">
        <v>1669</v>
      </c>
      <c r="F215" s="538" t="s">
        <v>1501</v>
      </c>
      <c r="G215" s="540" t="s">
        <v>1502</v>
      </c>
      <c r="H215" s="540" t="s">
        <v>1502</v>
      </c>
      <c r="I215" s="539" t="b">
        <v>0</v>
      </c>
    </row>
    <row r="216">
      <c r="D216" s="534">
        <v>43880.0</v>
      </c>
      <c r="E216" s="538" t="s">
        <v>1670</v>
      </c>
      <c r="F216" s="538" t="s">
        <v>1501</v>
      </c>
      <c r="G216" s="540" t="s">
        <v>1502</v>
      </c>
      <c r="H216" s="540" t="s">
        <v>1502</v>
      </c>
      <c r="I216" s="539" t="b">
        <v>0</v>
      </c>
    </row>
    <row r="217">
      <c r="D217" s="534">
        <v>43880.0</v>
      </c>
      <c r="E217" s="538" t="s">
        <v>1671</v>
      </c>
      <c r="F217" s="538" t="s">
        <v>1501</v>
      </c>
      <c r="G217" s="540" t="s">
        <v>1502</v>
      </c>
      <c r="H217" s="540" t="s">
        <v>1502</v>
      </c>
      <c r="I217" s="539" t="b">
        <v>0</v>
      </c>
    </row>
    <row r="218">
      <c r="D218" s="534">
        <v>43880.0</v>
      </c>
      <c r="E218" s="538" t="s">
        <v>1672</v>
      </c>
      <c r="F218" s="538" t="s">
        <v>1501</v>
      </c>
      <c r="G218" s="540" t="s">
        <v>1502</v>
      </c>
      <c r="H218" s="540" t="s">
        <v>1502</v>
      </c>
      <c r="I218" s="539" t="b">
        <v>0</v>
      </c>
    </row>
    <row r="219">
      <c r="D219" s="534">
        <v>43880.0</v>
      </c>
      <c r="E219" s="538" t="s">
        <v>1674</v>
      </c>
      <c r="F219" s="538" t="s">
        <v>1501</v>
      </c>
      <c r="G219" s="540" t="s">
        <v>1502</v>
      </c>
      <c r="H219" s="540" t="s">
        <v>1502</v>
      </c>
      <c r="I219" s="539" t="b">
        <v>0</v>
      </c>
    </row>
    <row r="220">
      <c r="D220" s="534">
        <v>43880.0</v>
      </c>
      <c r="E220" s="538" t="s">
        <v>1675</v>
      </c>
      <c r="F220" s="538" t="s">
        <v>1501</v>
      </c>
      <c r="G220" s="540" t="s">
        <v>1502</v>
      </c>
      <c r="H220" s="540" t="s">
        <v>1502</v>
      </c>
      <c r="I220" s="539" t="b">
        <v>0</v>
      </c>
    </row>
    <row r="221">
      <c r="D221" s="534">
        <v>43880.0</v>
      </c>
      <c r="E221" s="538" t="s">
        <v>1676</v>
      </c>
      <c r="F221" s="538" t="s">
        <v>1501</v>
      </c>
      <c r="G221" s="540" t="s">
        <v>1502</v>
      </c>
      <c r="H221" s="540" t="s">
        <v>1502</v>
      </c>
      <c r="I221" s="539" t="b">
        <v>0</v>
      </c>
    </row>
    <row r="222">
      <c r="D222" s="534">
        <v>43880.0</v>
      </c>
      <c r="E222" s="538" t="s">
        <v>1677</v>
      </c>
      <c r="F222" s="538" t="s">
        <v>1501</v>
      </c>
      <c r="G222" s="540" t="s">
        <v>1502</v>
      </c>
      <c r="H222" s="540" t="s">
        <v>1502</v>
      </c>
      <c r="I222" s="539" t="b">
        <v>0</v>
      </c>
    </row>
    <row r="223">
      <c r="D223" s="534">
        <v>43880.0</v>
      </c>
      <c r="E223" s="538" t="s">
        <v>1678</v>
      </c>
      <c r="F223" s="538" t="s">
        <v>1501</v>
      </c>
      <c r="G223" s="540" t="s">
        <v>1502</v>
      </c>
      <c r="H223" s="540" t="s">
        <v>1502</v>
      </c>
      <c r="I223" s="539" t="b">
        <v>0</v>
      </c>
    </row>
    <row r="224">
      <c r="D224" s="534">
        <v>43880.0</v>
      </c>
      <c r="E224" s="538" t="s">
        <v>1679</v>
      </c>
      <c r="F224" s="538" t="s">
        <v>1501</v>
      </c>
      <c r="G224" s="540" t="s">
        <v>1502</v>
      </c>
      <c r="H224" s="540" t="s">
        <v>1502</v>
      </c>
      <c r="I224" s="539" t="b">
        <v>0</v>
      </c>
    </row>
    <row r="225">
      <c r="D225" s="534">
        <v>43880.0</v>
      </c>
      <c r="E225" s="538" t="s">
        <v>1681</v>
      </c>
      <c r="F225" s="538" t="s">
        <v>1501</v>
      </c>
      <c r="G225" s="540" t="s">
        <v>1502</v>
      </c>
      <c r="H225" s="540" t="s">
        <v>1502</v>
      </c>
      <c r="I225" s="539" t="b">
        <v>0</v>
      </c>
    </row>
    <row r="226">
      <c r="D226" s="534">
        <v>43880.0</v>
      </c>
      <c r="E226" s="538" t="s">
        <v>1682</v>
      </c>
      <c r="F226" s="538" t="s">
        <v>1501</v>
      </c>
      <c r="G226" s="540" t="s">
        <v>1502</v>
      </c>
      <c r="H226" s="540" t="s">
        <v>1502</v>
      </c>
      <c r="I226" s="539" t="b">
        <v>0</v>
      </c>
    </row>
    <row r="227">
      <c r="D227" s="534">
        <v>43880.0</v>
      </c>
      <c r="E227" s="538" t="s">
        <v>1683</v>
      </c>
      <c r="F227" s="538" t="s">
        <v>1501</v>
      </c>
      <c r="G227" s="540" t="s">
        <v>1502</v>
      </c>
      <c r="H227" s="540" t="s">
        <v>1502</v>
      </c>
      <c r="I227" s="539" t="b">
        <v>0</v>
      </c>
    </row>
    <row r="228">
      <c r="D228" s="534">
        <v>43880.0</v>
      </c>
      <c r="E228" s="538" t="s">
        <v>1686</v>
      </c>
      <c r="F228" s="538" t="s">
        <v>1501</v>
      </c>
      <c r="G228" s="540" t="s">
        <v>1502</v>
      </c>
      <c r="H228" s="540" t="s">
        <v>1502</v>
      </c>
      <c r="I228" s="539" t="b">
        <v>0</v>
      </c>
    </row>
    <row r="229">
      <c r="D229" s="534">
        <v>43880.0</v>
      </c>
      <c r="E229" s="538" t="s">
        <v>1688</v>
      </c>
      <c r="F229" s="538" t="s">
        <v>1501</v>
      </c>
      <c r="G229" s="540" t="s">
        <v>1502</v>
      </c>
      <c r="H229" s="540" t="s">
        <v>1502</v>
      </c>
      <c r="I229" s="539" t="b">
        <v>0</v>
      </c>
    </row>
    <row r="230">
      <c r="D230" s="534">
        <v>43880.0</v>
      </c>
      <c r="E230" s="538" t="s">
        <v>1689</v>
      </c>
      <c r="F230" s="538" t="s">
        <v>1501</v>
      </c>
      <c r="G230" s="540" t="s">
        <v>1502</v>
      </c>
      <c r="H230" s="540" t="s">
        <v>1502</v>
      </c>
      <c r="I230" s="539" t="b">
        <v>0</v>
      </c>
    </row>
    <row r="231">
      <c r="D231" s="534">
        <v>43880.0</v>
      </c>
      <c r="E231" s="538" t="s">
        <v>1690</v>
      </c>
      <c r="F231" s="538" t="s">
        <v>1501</v>
      </c>
      <c r="G231" s="540" t="s">
        <v>1502</v>
      </c>
      <c r="H231" s="540" t="s">
        <v>1502</v>
      </c>
      <c r="I231" s="539" t="b">
        <v>0</v>
      </c>
    </row>
    <row r="232">
      <c r="D232" s="534">
        <v>43880.0</v>
      </c>
      <c r="E232" s="538" t="s">
        <v>1692</v>
      </c>
      <c r="F232" s="538" t="s">
        <v>1501</v>
      </c>
      <c r="G232" s="540" t="s">
        <v>1502</v>
      </c>
      <c r="H232" s="540" t="s">
        <v>1502</v>
      </c>
      <c r="I232" s="539" t="b">
        <v>0</v>
      </c>
    </row>
    <row r="233">
      <c r="D233" s="534">
        <v>43880.0</v>
      </c>
      <c r="E233" s="538" t="s">
        <v>1693</v>
      </c>
      <c r="F233" s="538" t="s">
        <v>1501</v>
      </c>
      <c r="G233" s="540" t="s">
        <v>1502</v>
      </c>
      <c r="H233" s="540" t="s">
        <v>1502</v>
      </c>
      <c r="I233" s="539" t="b">
        <v>0</v>
      </c>
    </row>
    <row r="234">
      <c r="D234" s="534">
        <v>43880.0</v>
      </c>
      <c r="E234" s="538" t="s">
        <v>1694</v>
      </c>
      <c r="F234" s="538" t="s">
        <v>1501</v>
      </c>
      <c r="G234" s="540" t="s">
        <v>1502</v>
      </c>
      <c r="H234" s="540" t="s">
        <v>1502</v>
      </c>
      <c r="I234" s="539" t="b">
        <v>0</v>
      </c>
    </row>
    <row r="235">
      <c r="D235" s="534">
        <v>43880.0</v>
      </c>
      <c r="E235" s="538" t="s">
        <v>1695</v>
      </c>
      <c r="F235" s="538" t="s">
        <v>1501</v>
      </c>
      <c r="G235" s="540" t="s">
        <v>1502</v>
      </c>
      <c r="H235" s="540" t="s">
        <v>1502</v>
      </c>
      <c r="I235" s="539" t="b">
        <v>0</v>
      </c>
    </row>
    <row r="236">
      <c r="D236" s="534">
        <v>43880.0</v>
      </c>
      <c r="E236" s="538" t="s">
        <v>1697</v>
      </c>
      <c r="F236" s="538" t="s">
        <v>1501</v>
      </c>
      <c r="G236" s="540" t="s">
        <v>1502</v>
      </c>
      <c r="H236" s="540" t="s">
        <v>1502</v>
      </c>
      <c r="I236" s="539" t="b">
        <v>0</v>
      </c>
    </row>
    <row r="237">
      <c r="D237" s="534">
        <v>43880.0</v>
      </c>
      <c r="E237" s="538" t="s">
        <v>1698</v>
      </c>
      <c r="F237" s="538" t="s">
        <v>1501</v>
      </c>
      <c r="G237" s="540" t="s">
        <v>1502</v>
      </c>
      <c r="H237" s="540" t="s">
        <v>1502</v>
      </c>
      <c r="I237" s="539" t="b">
        <v>0</v>
      </c>
    </row>
    <row r="238">
      <c r="D238" s="534">
        <v>43880.0</v>
      </c>
      <c r="E238" s="538" t="s">
        <v>1702</v>
      </c>
      <c r="F238" s="538" t="s">
        <v>1501</v>
      </c>
      <c r="G238" s="540" t="s">
        <v>1502</v>
      </c>
      <c r="H238" s="540" t="s">
        <v>1502</v>
      </c>
      <c r="I238" s="539" t="b">
        <v>0</v>
      </c>
    </row>
    <row r="239">
      <c r="D239" s="534">
        <v>43880.0</v>
      </c>
      <c r="E239" s="538" t="s">
        <v>1703</v>
      </c>
      <c r="F239" s="538" t="s">
        <v>1501</v>
      </c>
      <c r="G239" s="540" t="s">
        <v>1502</v>
      </c>
      <c r="H239" s="540" t="s">
        <v>1502</v>
      </c>
      <c r="I239" s="539" t="b">
        <v>0</v>
      </c>
    </row>
    <row r="240">
      <c r="D240" s="534">
        <v>43880.0</v>
      </c>
      <c r="E240" s="538" t="s">
        <v>1704</v>
      </c>
      <c r="F240" s="538" t="s">
        <v>1501</v>
      </c>
      <c r="G240" s="540" t="s">
        <v>1502</v>
      </c>
      <c r="H240" s="540" t="s">
        <v>1502</v>
      </c>
      <c r="I240" s="539" t="b">
        <v>0</v>
      </c>
    </row>
    <row r="241">
      <c r="A241" s="531"/>
      <c r="B241" s="532"/>
      <c r="C241" s="533"/>
      <c r="D241" s="534">
        <v>43880.0</v>
      </c>
      <c r="E241" s="538" t="s">
        <v>1719</v>
      </c>
      <c r="F241" s="538" t="s">
        <v>1501</v>
      </c>
      <c r="G241" s="540" t="s">
        <v>1502</v>
      </c>
      <c r="H241" s="540" t="s">
        <v>1502</v>
      </c>
      <c r="I241" s="539" t="b">
        <v>0</v>
      </c>
      <c r="J241" s="531"/>
    </row>
    <row r="242">
      <c r="A242" s="531"/>
      <c r="B242" s="532"/>
      <c r="C242" s="533"/>
      <c r="D242" s="534">
        <v>43880.0</v>
      </c>
      <c r="E242" s="538" t="s">
        <v>1720</v>
      </c>
      <c r="F242" s="538" t="s">
        <v>1501</v>
      </c>
      <c r="G242" s="540" t="s">
        <v>1502</v>
      </c>
      <c r="H242" s="540" t="s">
        <v>1502</v>
      </c>
      <c r="I242" s="539" t="b">
        <v>0</v>
      </c>
      <c r="J242" s="531"/>
    </row>
    <row r="243">
      <c r="A243" s="531"/>
      <c r="B243" s="532"/>
      <c r="C243" s="533"/>
      <c r="D243" s="534">
        <v>43880.0</v>
      </c>
      <c r="E243" s="43" t="s">
        <v>1721</v>
      </c>
      <c r="F243" s="538" t="s">
        <v>1501</v>
      </c>
      <c r="G243" s="540" t="s">
        <v>1502</v>
      </c>
      <c r="H243" s="540" t="s">
        <v>1502</v>
      </c>
      <c r="I243" s="539" t="b">
        <v>0</v>
      </c>
      <c r="J243" s="531"/>
    </row>
    <row r="244">
      <c r="A244" s="531"/>
      <c r="B244" s="532"/>
      <c r="C244" s="533"/>
      <c r="D244" s="534">
        <v>43880.0</v>
      </c>
      <c r="E244" s="538" t="s">
        <v>1722</v>
      </c>
      <c r="F244" s="538" t="s">
        <v>1501</v>
      </c>
      <c r="G244" s="540" t="s">
        <v>1502</v>
      </c>
      <c r="H244" s="540" t="s">
        <v>1502</v>
      </c>
      <c r="I244" s="539" t="b">
        <v>0</v>
      </c>
      <c r="J244" s="531"/>
    </row>
    <row r="245">
      <c r="A245" s="531"/>
      <c r="B245" s="532"/>
      <c r="C245" s="533"/>
      <c r="D245" s="534">
        <v>43880.0</v>
      </c>
      <c r="E245" s="538" t="s">
        <v>1723</v>
      </c>
      <c r="F245" s="538" t="s">
        <v>1501</v>
      </c>
      <c r="G245" s="540" t="s">
        <v>1502</v>
      </c>
      <c r="H245" s="540" t="s">
        <v>1502</v>
      </c>
      <c r="I245" s="539" t="b">
        <v>0</v>
      </c>
      <c r="J245" s="531"/>
    </row>
    <row r="246">
      <c r="A246" s="531"/>
      <c r="B246" s="532"/>
      <c r="C246" s="533"/>
      <c r="D246" s="534">
        <v>43880.0</v>
      </c>
      <c r="E246" s="538" t="s">
        <v>1724</v>
      </c>
      <c r="F246" s="538" t="s">
        <v>1501</v>
      </c>
      <c r="G246" s="540" t="s">
        <v>1502</v>
      </c>
      <c r="H246" s="540" t="s">
        <v>1502</v>
      </c>
      <c r="I246" s="539" t="b">
        <v>0</v>
      </c>
      <c r="J246" s="531"/>
    </row>
    <row r="247">
      <c r="A247" s="531"/>
      <c r="B247" s="532"/>
      <c r="C247" s="533"/>
      <c r="D247" s="534">
        <v>43880.0</v>
      </c>
      <c r="E247" s="538" t="s">
        <v>1727</v>
      </c>
      <c r="F247" s="538" t="s">
        <v>1501</v>
      </c>
      <c r="G247" s="540" t="s">
        <v>1502</v>
      </c>
      <c r="H247" s="540" t="s">
        <v>1502</v>
      </c>
      <c r="I247" s="539" t="b">
        <v>0</v>
      </c>
      <c r="J247" s="531"/>
    </row>
    <row r="248">
      <c r="A248" s="531"/>
      <c r="B248" s="532"/>
      <c r="C248" s="533"/>
      <c r="D248" s="534">
        <v>43880.0</v>
      </c>
      <c r="E248" s="538" t="s">
        <v>1728</v>
      </c>
      <c r="F248" s="538" t="s">
        <v>1501</v>
      </c>
      <c r="G248" s="540" t="s">
        <v>1502</v>
      </c>
      <c r="H248" s="540" t="s">
        <v>1502</v>
      </c>
      <c r="I248" s="539" t="b">
        <v>0</v>
      </c>
      <c r="J248" s="531"/>
    </row>
    <row r="249">
      <c r="A249" s="531"/>
      <c r="B249" s="532"/>
      <c r="C249" s="533"/>
      <c r="D249" s="534">
        <v>43880.0</v>
      </c>
      <c r="E249" s="538" t="s">
        <v>1729</v>
      </c>
      <c r="F249" s="538" t="s">
        <v>1501</v>
      </c>
      <c r="G249" s="540" t="s">
        <v>1502</v>
      </c>
      <c r="H249" s="540" t="s">
        <v>1502</v>
      </c>
      <c r="I249" s="539" t="b">
        <v>0</v>
      </c>
      <c r="J249" s="531"/>
    </row>
    <row r="250">
      <c r="A250" s="531"/>
      <c r="B250" s="532"/>
      <c r="C250" s="533"/>
      <c r="D250" s="534">
        <v>43880.0</v>
      </c>
      <c r="E250" s="538" t="s">
        <v>1730</v>
      </c>
      <c r="F250" s="538" t="s">
        <v>1501</v>
      </c>
      <c r="G250" s="540" t="s">
        <v>1502</v>
      </c>
      <c r="H250" s="540" t="s">
        <v>1502</v>
      </c>
      <c r="I250" s="539" t="b">
        <v>0</v>
      </c>
      <c r="J250" s="531"/>
    </row>
    <row r="251">
      <c r="A251" s="531"/>
      <c r="B251" s="532"/>
      <c r="C251" s="533"/>
      <c r="D251" s="534">
        <v>43880.0</v>
      </c>
      <c r="E251" s="538" t="s">
        <v>1731</v>
      </c>
      <c r="F251" s="538" t="s">
        <v>1501</v>
      </c>
      <c r="G251" s="540" t="s">
        <v>1502</v>
      </c>
      <c r="H251" s="540" t="s">
        <v>1502</v>
      </c>
      <c r="I251" s="539" t="b">
        <v>0</v>
      </c>
      <c r="J251" s="531"/>
    </row>
    <row r="252">
      <c r="A252" s="531"/>
      <c r="B252" s="532"/>
      <c r="C252" s="533"/>
      <c r="D252" s="534">
        <v>43880.0</v>
      </c>
      <c r="E252" s="538" t="s">
        <v>1732</v>
      </c>
      <c r="F252" s="538" t="s">
        <v>1501</v>
      </c>
      <c r="G252" s="540" t="s">
        <v>1502</v>
      </c>
      <c r="H252" s="540" t="s">
        <v>1502</v>
      </c>
      <c r="I252" s="539" t="b">
        <v>0</v>
      </c>
      <c r="J252" s="531"/>
    </row>
    <row r="253">
      <c r="A253" s="531"/>
      <c r="B253" s="532"/>
      <c r="C253" s="533"/>
      <c r="D253" s="534">
        <v>43880.0</v>
      </c>
      <c r="E253" s="538" t="s">
        <v>1733</v>
      </c>
      <c r="F253" s="538" t="s">
        <v>1501</v>
      </c>
      <c r="G253" s="540" t="s">
        <v>1502</v>
      </c>
      <c r="H253" s="540" t="s">
        <v>1502</v>
      </c>
      <c r="I253" s="539" t="b">
        <v>0</v>
      </c>
      <c r="J253" s="531"/>
    </row>
    <row r="254">
      <c r="A254" s="531"/>
      <c r="B254" s="532"/>
      <c r="C254" s="533"/>
      <c r="D254" s="534">
        <v>43880.0</v>
      </c>
      <c r="E254" s="538" t="s">
        <v>1734</v>
      </c>
      <c r="F254" s="538" t="s">
        <v>1501</v>
      </c>
      <c r="G254" s="540" t="s">
        <v>1502</v>
      </c>
      <c r="H254" s="540" t="s">
        <v>1502</v>
      </c>
      <c r="I254" s="539" t="b">
        <v>0</v>
      </c>
      <c r="J254" s="531"/>
    </row>
    <row r="255">
      <c r="A255" s="531"/>
      <c r="B255" s="532"/>
      <c r="C255" s="533"/>
      <c r="D255" s="534">
        <v>43880.0</v>
      </c>
      <c r="E255" s="538" t="s">
        <v>1735</v>
      </c>
      <c r="F255" s="538" t="s">
        <v>1501</v>
      </c>
      <c r="G255" s="540" t="s">
        <v>1502</v>
      </c>
      <c r="H255" s="540" t="s">
        <v>1502</v>
      </c>
      <c r="I255" s="539" t="b">
        <v>0</v>
      </c>
      <c r="J255" s="531"/>
    </row>
    <row r="256">
      <c r="A256" s="531"/>
      <c r="B256" s="532"/>
      <c r="C256" s="533"/>
      <c r="D256" s="534">
        <v>43880.0</v>
      </c>
      <c r="E256" s="538" t="s">
        <v>1737</v>
      </c>
      <c r="F256" s="538" t="s">
        <v>1501</v>
      </c>
      <c r="G256" s="540" t="s">
        <v>1502</v>
      </c>
      <c r="H256" s="540" t="s">
        <v>1502</v>
      </c>
      <c r="I256" s="539" t="b">
        <v>0</v>
      </c>
      <c r="J256" s="531"/>
    </row>
    <row r="257">
      <c r="A257" s="531"/>
      <c r="B257" s="532"/>
      <c r="C257" s="533"/>
      <c r="D257" s="534">
        <v>43880.0</v>
      </c>
      <c r="E257" s="538" t="s">
        <v>1738</v>
      </c>
      <c r="F257" s="538" t="s">
        <v>1501</v>
      </c>
      <c r="G257" s="540" t="s">
        <v>1502</v>
      </c>
      <c r="H257" s="540" t="s">
        <v>1502</v>
      </c>
      <c r="I257" s="539" t="b">
        <v>0</v>
      </c>
      <c r="J257" s="531"/>
    </row>
    <row r="258">
      <c r="A258" s="531"/>
      <c r="B258" s="532"/>
      <c r="C258" s="533"/>
      <c r="D258" s="534">
        <v>43880.0</v>
      </c>
      <c r="E258" s="538" t="s">
        <v>1739</v>
      </c>
      <c r="F258" s="538" t="s">
        <v>1501</v>
      </c>
      <c r="G258" s="540" t="s">
        <v>1502</v>
      </c>
      <c r="H258" s="540" t="s">
        <v>1502</v>
      </c>
      <c r="I258" s="539" t="b">
        <v>0</v>
      </c>
      <c r="J258" s="531"/>
    </row>
    <row r="259">
      <c r="A259" s="531"/>
      <c r="B259" s="532"/>
      <c r="C259" s="533"/>
      <c r="D259" s="534">
        <v>43880.0</v>
      </c>
      <c r="E259" s="538" t="s">
        <v>1740</v>
      </c>
      <c r="F259" s="538" t="s">
        <v>1501</v>
      </c>
      <c r="G259" s="540" t="s">
        <v>1502</v>
      </c>
      <c r="H259" s="540" t="s">
        <v>1502</v>
      </c>
      <c r="I259" s="539" t="b">
        <v>0</v>
      </c>
      <c r="J259" s="531"/>
    </row>
    <row r="260">
      <c r="A260" s="531"/>
      <c r="B260" s="532"/>
      <c r="C260" s="533"/>
      <c r="D260" s="534">
        <v>43880.0</v>
      </c>
      <c r="E260" s="538" t="s">
        <v>1741</v>
      </c>
      <c r="F260" s="538" t="s">
        <v>1501</v>
      </c>
      <c r="G260" s="540" t="s">
        <v>1502</v>
      </c>
      <c r="H260" s="540" t="s">
        <v>1502</v>
      </c>
      <c r="I260" s="539" t="b">
        <v>0</v>
      </c>
      <c r="J260" s="531"/>
    </row>
    <row r="261">
      <c r="A261" s="531"/>
      <c r="B261" s="532"/>
      <c r="C261" s="533"/>
      <c r="D261" s="534">
        <v>43880.0</v>
      </c>
      <c r="E261" s="538" t="s">
        <v>1719</v>
      </c>
      <c r="F261" s="538" t="s">
        <v>1500</v>
      </c>
      <c r="G261" s="539" t="b">
        <v>1</v>
      </c>
      <c r="H261" s="539" t="b">
        <v>1</v>
      </c>
      <c r="I261" s="539" t="b">
        <v>0</v>
      </c>
      <c r="J261" s="531"/>
    </row>
    <row r="262">
      <c r="A262" s="531"/>
      <c r="B262" s="532"/>
      <c r="C262" s="533"/>
      <c r="D262" s="534">
        <v>43880.0</v>
      </c>
      <c r="E262" s="538" t="s">
        <v>1720</v>
      </c>
      <c r="F262" s="538" t="s">
        <v>1500</v>
      </c>
      <c r="G262" s="539" t="b">
        <v>1</v>
      </c>
      <c r="H262" s="539" t="b">
        <v>1</v>
      </c>
      <c r="I262" s="539" t="b">
        <v>0</v>
      </c>
      <c r="J262" s="531"/>
    </row>
    <row r="263">
      <c r="A263" s="531"/>
      <c r="B263" s="532"/>
      <c r="C263" s="533"/>
      <c r="D263" s="534">
        <v>43880.0</v>
      </c>
      <c r="E263" s="43" t="s">
        <v>1721</v>
      </c>
      <c r="F263" s="538" t="s">
        <v>1500</v>
      </c>
      <c r="G263" s="539" t="b">
        <v>1</v>
      </c>
      <c r="H263" s="539" t="b">
        <v>1</v>
      </c>
      <c r="I263" s="539" t="b">
        <v>0</v>
      </c>
      <c r="J263" s="531"/>
    </row>
    <row r="264">
      <c r="A264" s="531"/>
      <c r="B264" s="532"/>
      <c r="C264" s="533"/>
      <c r="D264" s="534">
        <v>43880.0</v>
      </c>
      <c r="E264" s="538" t="s">
        <v>1722</v>
      </c>
      <c r="F264" s="538" t="s">
        <v>1500</v>
      </c>
      <c r="G264" s="539" t="b">
        <v>1</v>
      </c>
      <c r="H264" s="539" t="b">
        <v>1</v>
      </c>
      <c r="I264" s="539" t="b">
        <v>0</v>
      </c>
      <c r="J264" s="531"/>
    </row>
    <row r="265">
      <c r="A265" s="531"/>
      <c r="B265" s="532"/>
      <c r="C265" s="533"/>
      <c r="D265" s="534">
        <v>43880.0</v>
      </c>
      <c r="E265" s="538" t="s">
        <v>1723</v>
      </c>
      <c r="F265" s="538" t="s">
        <v>1500</v>
      </c>
      <c r="G265" s="539" t="b">
        <v>1</v>
      </c>
      <c r="H265" s="539" t="b">
        <v>1</v>
      </c>
      <c r="I265" s="539" t="b">
        <v>0</v>
      </c>
      <c r="J265" s="531"/>
    </row>
    <row r="266">
      <c r="A266" s="531"/>
      <c r="B266" s="532"/>
      <c r="C266" s="533"/>
      <c r="D266" s="534">
        <v>43880.0</v>
      </c>
      <c r="E266" s="538" t="s">
        <v>1724</v>
      </c>
      <c r="F266" s="538" t="s">
        <v>1500</v>
      </c>
      <c r="G266" s="539" t="b">
        <v>1</v>
      </c>
      <c r="H266" s="539" t="b">
        <v>1</v>
      </c>
      <c r="I266" s="539" t="b">
        <v>0</v>
      </c>
      <c r="J266" s="531"/>
    </row>
    <row r="267">
      <c r="A267" s="531"/>
      <c r="B267" s="532"/>
      <c r="C267" s="533"/>
      <c r="D267" s="534">
        <v>43880.0</v>
      </c>
      <c r="E267" s="538" t="s">
        <v>1727</v>
      </c>
      <c r="F267" s="538" t="s">
        <v>1500</v>
      </c>
      <c r="G267" s="539" t="b">
        <v>1</v>
      </c>
      <c r="H267" s="539" t="b">
        <v>1</v>
      </c>
      <c r="I267" s="539" t="b">
        <v>0</v>
      </c>
      <c r="J267" s="531"/>
    </row>
    <row r="268">
      <c r="A268" s="531"/>
      <c r="B268" s="532"/>
      <c r="C268" s="533"/>
      <c r="D268" s="534">
        <v>43880.0</v>
      </c>
      <c r="E268" s="538" t="s">
        <v>1728</v>
      </c>
      <c r="F268" s="538" t="s">
        <v>1500</v>
      </c>
      <c r="G268" s="539" t="b">
        <v>1</v>
      </c>
      <c r="H268" s="539" t="b">
        <v>1</v>
      </c>
      <c r="I268" s="539" t="b">
        <v>0</v>
      </c>
      <c r="J268" s="531"/>
    </row>
    <row r="269">
      <c r="A269" s="531"/>
      <c r="B269" s="532"/>
      <c r="C269" s="533"/>
      <c r="D269" s="534">
        <v>43880.0</v>
      </c>
      <c r="E269" s="538" t="s">
        <v>1729</v>
      </c>
      <c r="F269" s="538" t="s">
        <v>1500</v>
      </c>
      <c r="G269" s="539" t="b">
        <v>1</v>
      </c>
      <c r="H269" s="539" t="b">
        <v>1</v>
      </c>
      <c r="I269" s="539" t="b">
        <v>0</v>
      </c>
      <c r="J269" s="531"/>
    </row>
    <row r="270">
      <c r="A270" s="531"/>
      <c r="B270" s="532"/>
      <c r="C270" s="533"/>
      <c r="D270" s="534">
        <v>43880.0</v>
      </c>
      <c r="E270" s="538" t="s">
        <v>1730</v>
      </c>
      <c r="F270" s="538" t="s">
        <v>1500</v>
      </c>
      <c r="G270" s="539" t="b">
        <v>1</v>
      </c>
      <c r="H270" s="539" t="b">
        <v>1</v>
      </c>
      <c r="I270" s="539" t="b">
        <v>0</v>
      </c>
      <c r="J270" s="531"/>
    </row>
    <row r="271">
      <c r="A271" s="531"/>
      <c r="B271" s="532"/>
      <c r="C271" s="533"/>
      <c r="D271" s="534">
        <v>43880.0</v>
      </c>
      <c r="E271" s="538" t="s">
        <v>1731</v>
      </c>
      <c r="F271" s="538" t="s">
        <v>1500</v>
      </c>
      <c r="G271" s="539" t="b">
        <v>1</v>
      </c>
      <c r="H271" s="539" t="b">
        <v>1</v>
      </c>
      <c r="I271" s="539" t="b">
        <v>0</v>
      </c>
      <c r="J271" s="531"/>
    </row>
    <row r="272">
      <c r="A272" s="531"/>
      <c r="B272" s="532"/>
      <c r="C272" s="533"/>
      <c r="D272" s="534">
        <v>43880.0</v>
      </c>
      <c r="E272" s="538" t="s">
        <v>1732</v>
      </c>
      <c r="F272" s="538" t="s">
        <v>1500</v>
      </c>
      <c r="G272" s="539" t="b">
        <v>1</v>
      </c>
      <c r="H272" s="539" t="b">
        <v>1</v>
      </c>
      <c r="I272" s="539" t="b">
        <v>0</v>
      </c>
      <c r="J272" s="531"/>
    </row>
    <row r="273">
      <c r="A273" s="531"/>
      <c r="B273" s="532"/>
      <c r="C273" s="533"/>
      <c r="D273" s="534">
        <v>43880.0</v>
      </c>
      <c r="E273" s="538" t="s">
        <v>1733</v>
      </c>
      <c r="F273" s="538" t="s">
        <v>1500</v>
      </c>
      <c r="G273" s="539" t="b">
        <v>1</v>
      </c>
      <c r="H273" s="539" t="b">
        <v>1</v>
      </c>
      <c r="I273" s="539" t="b">
        <v>0</v>
      </c>
      <c r="J273" s="531"/>
    </row>
    <row r="274">
      <c r="A274" s="531"/>
      <c r="B274" s="532"/>
      <c r="C274" s="533"/>
      <c r="D274" s="534">
        <v>43880.0</v>
      </c>
      <c r="E274" s="538" t="s">
        <v>1734</v>
      </c>
      <c r="F274" s="538" t="s">
        <v>1500</v>
      </c>
      <c r="G274" s="539" t="b">
        <v>1</v>
      </c>
      <c r="H274" s="539" t="b">
        <v>1</v>
      </c>
      <c r="I274" s="539" t="b">
        <v>0</v>
      </c>
      <c r="J274" s="531"/>
    </row>
    <row r="275">
      <c r="A275" s="531"/>
      <c r="B275" s="532"/>
      <c r="C275" s="533"/>
      <c r="D275" s="534">
        <v>43880.0</v>
      </c>
      <c r="E275" s="538" t="s">
        <v>1735</v>
      </c>
      <c r="F275" s="538" t="s">
        <v>1500</v>
      </c>
      <c r="G275" s="539" t="b">
        <v>1</v>
      </c>
      <c r="H275" s="539" t="b">
        <v>1</v>
      </c>
      <c r="I275" s="539" t="b">
        <v>0</v>
      </c>
      <c r="J275" s="531"/>
    </row>
    <row r="276">
      <c r="A276" s="531"/>
      <c r="B276" s="532"/>
      <c r="C276" s="533"/>
      <c r="D276" s="534">
        <v>43880.0</v>
      </c>
      <c r="E276" s="538" t="s">
        <v>1737</v>
      </c>
      <c r="F276" s="538" t="s">
        <v>1500</v>
      </c>
      <c r="G276" s="539" t="b">
        <v>1</v>
      </c>
      <c r="H276" s="539" t="b">
        <v>1</v>
      </c>
      <c r="I276" s="539" t="b">
        <v>0</v>
      </c>
      <c r="J276" s="531"/>
    </row>
    <row r="277">
      <c r="A277" s="531"/>
      <c r="B277" s="532"/>
      <c r="C277" s="533"/>
      <c r="D277" s="534">
        <v>43880.0</v>
      </c>
      <c r="E277" s="538" t="s">
        <v>1738</v>
      </c>
      <c r="F277" s="538" t="s">
        <v>1500</v>
      </c>
      <c r="G277" s="539" t="b">
        <v>1</v>
      </c>
      <c r="H277" s="539" t="b">
        <v>1</v>
      </c>
      <c r="I277" s="539" t="b">
        <v>0</v>
      </c>
      <c r="J277" s="531"/>
    </row>
    <row r="278">
      <c r="A278" s="531"/>
      <c r="B278" s="532"/>
      <c r="C278" s="533"/>
      <c r="D278" s="534">
        <v>43880.0</v>
      </c>
      <c r="E278" s="538" t="s">
        <v>1739</v>
      </c>
      <c r="F278" s="538" t="s">
        <v>1500</v>
      </c>
      <c r="G278" s="539" t="b">
        <v>1</v>
      </c>
      <c r="H278" s="539" t="b">
        <v>1</v>
      </c>
      <c r="I278" s="539" t="b">
        <v>0</v>
      </c>
      <c r="J278" s="531"/>
    </row>
    <row r="279">
      <c r="A279" s="531"/>
      <c r="B279" s="532"/>
      <c r="C279" s="533"/>
      <c r="D279" s="534">
        <v>43880.0</v>
      </c>
      <c r="E279" s="538" t="s">
        <v>1740</v>
      </c>
      <c r="F279" s="538" t="s">
        <v>1500</v>
      </c>
      <c r="G279" s="539" t="b">
        <v>1</v>
      </c>
      <c r="H279" s="539" t="b">
        <v>1</v>
      </c>
      <c r="I279" s="539" t="b">
        <v>0</v>
      </c>
      <c r="J279" s="531"/>
    </row>
    <row r="280">
      <c r="A280" s="531"/>
      <c r="B280" s="532"/>
      <c r="C280" s="533"/>
      <c r="D280" s="534">
        <v>43880.0</v>
      </c>
      <c r="E280" s="538" t="s">
        <v>1741</v>
      </c>
      <c r="F280" s="538" t="s">
        <v>1500</v>
      </c>
      <c r="G280" s="539" t="b">
        <v>1</v>
      </c>
      <c r="H280" s="539" t="b">
        <v>1</v>
      </c>
      <c r="I280" s="539" t="b">
        <v>0</v>
      </c>
      <c r="J280" s="531"/>
    </row>
    <row r="281">
      <c r="A281" s="531"/>
      <c r="B281" s="532"/>
      <c r="C281" s="533"/>
      <c r="D281" s="534">
        <v>43880.0</v>
      </c>
      <c r="E281" s="538" t="s">
        <v>1750</v>
      </c>
      <c r="F281" s="538" t="s">
        <v>1501</v>
      </c>
      <c r="G281" s="540" t="s">
        <v>1502</v>
      </c>
      <c r="H281" s="540" t="s">
        <v>1502</v>
      </c>
      <c r="I281" s="539" t="b">
        <v>0</v>
      </c>
      <c r="J281" s="531"/>
    </row>
    <row r="282">
      <c r="A282" s="531"/>
      <c r="B282" s="532"/>
      <c r="C282" s="533"/>
      <c r="D282" s="534">
        <v>43880.0</v>
      </c>
      <c r="E282" s="538" t="s">
        <v>1750</v>
      </c>
      <c r="F282" s="538" t="s">
        <v>1500</v>
      </c>
      <c r="G282" s="539" t="b">
        <v>1</v>
      </c>
      <c r="H282" s="539" t="b">
        <v>1</v>
      </c>
      <c r="I282" s="539" t="b">
        <v>0</v>
      </c>
      <c r="J282" s="531"/>
    </row>
    <row r="283">
      <c r="A283" s="531"/>
      <c r="B283" s="532"/>
      <c r="C283" s="533"/>
      <c r="D283" s="534">
        <v>43880.0</v>
      </c>
      <c r="E283" s="538" t="s">
        <v>1751</v>
      </c>
      <c r="F283" s="538" t="s">
        <v>1501</v>
      </c>
      <c r="G283" s="540" t="s">
        <v>1502</v>
      </c>
      <c r="H283" s="540" t="s">
        <v>1502</v>
      </c>
      <c r="I283" s="539" t="b">
        <v>0</v>
      </c>
      <c r="J283" s="531"/>
    </row>
    <row r="284">
      <c r="A284" s="531"/>
      <c r="B284" s="532"/>
      <c r="C284" s="533"/>
      <c r="D284" s="534">
        <v>43880.0</v>
      </c>
      <c r="E284" s="538" t="s">
        <v>1751</v>
      </c>
      <c r="F284" s="538" t="s">
        <v>1500</v>
      </c>
      <c r="G284" s="539" t="b">
        <v>1</v>
      </c>
      <c r="H284" s="539" t="b">
        <v>1</v>
      </c>
      <c r="I284" s="539" t="b">
        <v>0</v>
      </c>
      <c r="J284" s="531"/>
    </row>
    <row r="285">
      <c r="A285" s="531"/>
      <c r="B285" s="532"/>
      <c r="C285" s="533"/>
      <c r="D285" s="534">
        <v>43880.0</v>
      </c>
      <c r="E285" s="538" t="s">
        <v>1753</v>
      </c>
      <c r="F285" s="538" t="s">
        <v>1501</v>
      </c>
      <c r="G285" s="540" t="s">
        <v>1502</v>
      </c>
      <c r="H285" s="540" t="s">
        <v>1502</v>
      </c>
      <c r="I285" s="539" t="b">
        <v>0</v>
      </c>
      <c r="J285" s="531"/>
    </row>
    <row r="286">
      <c r="A286" s="531"/>
      <c r="B286" s="532"/>
      <c r="C286" s="533"/>
      <c r="D286" s="534">
        <v>43880.0</v>
      </c>
      <c r="E286" s="538" t="s">
        <v>1753</v>
      </c>
      <c r="F286" s="538" t="s">
        <v>1500</v>
      </c>
      <c r="G286" s="539" t="b">
        <v>1</v>
      </c>
      <c r="H286" s="539" t="b">
        <v>1</v>
      </c>
      <c r="I286" s="539" t="b">
        <v>0</v>
      </c>
      <c r="J286" s="531"/>
    </row>
    <row r="287">
      <c r="A287" s="531"/>
      <c r="B287" s="532"/>
      <c r="C287" s="533"/>
      <c r="D287" s="534">
        <v>43880.0</v>
      </c>
      <c r="E287" s="538" t="s">
        <v>1755</v>
      </c>
      <c r="F287" s="538" t="s">
        <v>1501</v>
      </c>
      <c r="G287" s="540" t="s">
        <v>1502</v>
      </c>
      <c r="H287" s="540" t="s">
        <v>1502</v>
      </c>
      <c r="I287" s="539" t="b">
        <v>0</v>
      </c>
      <c r="J287" s="531"/>
    </row>
    <row r="288">
      <c r="A288" s="531"/>
      <c r="B288" s="532"/>
      <c r="C288" s="533"/>
      <c r="D288" s="534">
        <v>43880.0</v>
      </c>
      <c r="E288" s="538" t="s">
        <v>1755</v>
      </c>
      <c r="F288" s="538" t="s">
        <v>1500</v>
      </c>
      <c r="G288" s="539" t="b">
        <v>1</v>
      </c>
      <c r="H288" s="539" t="b">
        <v>1</v>
      </c>
      <c r="I288" s="539" t="b">
        <v>0</v>
      </c>
      <c r="J288" s="531"/>
    </row>
    <row r="289">
      <c r="A289" s="531"/>
      <c r="B289" s="532"/>
      <c r="C289" s="533"/>
      <c r="D289" s="534">
        <v>43880.0</v>
      </c>
      <c r="E289" s="538" t="s">
        <v>1759</v>
      </c>
      <c r="F289" s="538" t="s">
        <v>1501</v>
      </c>
      <c r="G289" s="540" t="s">
        <v>1502</v>
      </c>
      <c r="H289" s="540" t="s">
        <v>1502</v>
      </c>
      <c r="I289" s="539" t="b">
        <v>0</v>
      </c>
      <c r="J289" s="531"/>
    </row>
    <row r="290">
      <c r="A290" s="531"/>
      <c r="B290" s="532"/>
      <c r="C290" s="533"/>
      <c r="D290" s="534">
        <v>43880.0</v>
      </c>
      <c r="E290" s="538" t="s">
        <v>1759</v>
      </c>
      <c r="F290" s="538" t="s">
        <v>1500</v>
      </c>
      <c r="G290" s="539" t="b">
        <v>1</v>
      </c>
      <c r="H290" s="539" t="b">
        <v>1</v>
      </c>
      <c r="I290" s="539" t="b">
        <v>0</v>
      </c>
      <c r="J290" s="531"/>
    </row>
    <row r="291">
      <c r="A291" s="531"/>
      <c r="B291" s="532"/>
      <c r="C291" s="533"/>
      <c r="D291" s="534">
        <v>43880.0</v>
      </c>
      <c r="E291" s="538" t="s">
        <v>1760</v>
      </c>
      <c r="F291" s="538" t="s">
        <v>1501</v>
      </c>
      <c r="G291" s="540" t="s">
        <v>1502</v>
      </c>
      <c r="H291" s="540" t="s">
        <v>1502</v>
      </c>
      <c r="I291" s="539" t="b">
        <v>0</v>
      </c>
      <c r="J291" s="531"/>
    </row>
    <row r="292">
      <c r="A292" s="531"/>
      <c r="B292" s="532"/>
      <c r="C292" s="533"/>
      <c r="D292" s="534">
        <v>43880.0</v>
      </c>
      <c r="E292" s="538" t="s">
        <v>1760</v>
      </c>
      <c r="F292" s="538" t="s">
        <v>1500</v>
      </c>
      <c r="G292" s="539" t="b">
        <v>1</v>
      </c>
      <c r="H292" s="539" t="b">
        <v>1</v>
      </c>
      <c r="I292" s="539" t="b">
        <v>0</v>
      </c>
      <c r="J292" s="531"/>
    </row>
    <row r="293">
      <c r="A293" s="531"/>
      <c r="B293" s="532"/>
      <c r="C293" s="533"/>
      <c r="D293" s="534">
        <v>43880.0</v>
      </c>
      <c r="E293" s="538" t="s">
        <v>1762</v>
      </c>
      <c r="F293" s="538" t="s">
        <v>1501</v>
      </c>
      <c r="G293" s="540" t="s">
        <v>1502</v>
      </c>
      <c r="H293" s="540" t="s">
        <v>1502</v>
      </c>
      <c r="I293" s="539" t="b">
        <v>0</v>
      </c>
      <c r="J293" s="531"/>
    </row>
    <row r="294">
      <c r="A294" s="531"/>
      <c r="B294" s="532"/>
      <c r="C294" s="533"/>
      <c r="D294" s="534">
        <v>43880.0</v>
      </c>
      <c r="E294" s="538" t="s">
        <v>1762</v>
      </c>
      <c r="F294" s="538" t="s">
        <v>1500</v>
      </c>
      <c r="G294" s="539" t="b">
        <v>1</v>
      </c>
      <c r="H294" s="539" t="b">
        <v>1</v>
      </c>
      <c r="I294" s="539" t="b">
        <v>0</v>
      </c>
      <c r="J294" s="531"/>
    </row>
    <row r="295">
      <c r="A295" s="531"/>
      <c r="B295" s="532"/>
      <c r="C295" s="533"/>
      <c r="D295" s="534">
        <v>43880.0</v>
      </c>
      <c r="E295" s="538" t="s">
        <v>1763</v>
      </c>
      <c r="F295" s="538" t="s">
        <v>1501</v>
      </c>
      <c r="G295" s="540" t="s">
        <v>1502</v>
      </c>
      <c r="H295" s="540" t="s">
        <v>1502</v>
      </c>
      <c r="I295" s="539" t="b">
        <v>0</v>
      </c>
      <c r="J295" s="531"/>
    </row>
    <row r="296">
      <c r="A296" s="531"/>
      <c r="B296" s="532"/>
      <c r="C296" s="533"/>
      <c r="D296" s="534">
        <v>43880.0</v>
      </c>
      <c r="E296" s="538" t="s">
        <v>1763</v>
      </c>
      <c r="F296" s="538" t="s">
        <v>1500</v>
      </c>
      <c r="G296" s="539" t="b">
        <v>1</v>
      </c>
      <c r="H296" s="539" t="b">
        <v>1</v>
      </c>
      <c r="I296" s="539" t="b">
        <v>0</v>
      </c>
      <c r="J296" s="531"/>
    </row>
    <row r="297">
      <c r="A297" s="531"/>
      <c r="B297" s="532"/>
      <c r="C297" s="533"/>
      <c r="D297" s="534">
        <v>43880.0</v>
      </c>
      <c r="E297" s="538" t="s">
        <v>1764</v>
      </c>
      <c r="F297" s="538" t="s">
        <v>1501</v>
      </c>
      <c r="G297" s="540" t="s">
        <v>1502</v>
      </c>
      <c r="H297" s="540" t="s">
        <v>1502</v>
      </c>
      <c r="I297" s="539" t="b">
        <v>0</v>
      </c>
      <c r="J297" s="531"/>
    </row>
    <row r="298">
      <c r="A298" s="531"/>
      <c r="B298" s="532"/>
      <c r="C298" s="533"/>
      <c r="D298" s="534">
        <v>43880.0</v>
      </c>
      <c r="E298" s="538" t="s">
        <v>1764</v>
      </c>
      <c r="F298" s="538" t="s">
        <v>1500</v>
      </c>
      <c r="G298" s="539" t="b">
        <v>1</v>
      </c>
      <c r="H298" s="539" t="b">
        <v>1</v>
      </c>
      <c r="I298" s="539" t="b">
        <v>0</v>
      </c>
      <c r="J298" s="531"/>
    </row>
    <row r="299">
      <c r="A299" s="531"/>
      <c r="B299" s="532"/>
      <c r="C299" s="533"/>
      <c r="D299" s="534">
        <v>43880.0</v>
      </c>
      <c r="E299" s="538" t="s">
        <v>1766</v>
      </c>
      <c r="F299" s="538" t="s">
        <v>1501</v>
      </c>
      <c r="G299" s="540" t="s">
        <v>1502</v>
      </c>
      <c r="H299" s="540" t="s">
        <v>1502</v>
      </c>
      <c r="I299" s="539" t="b">
        <v>0</v>
      </c>
      <c r="J299" s="531"/>
    </row>
    <row r="300">
      <c r="A300" s="531"/>
      <c r="B300" s="532"/>
      <c r="C300" s="533"/>
      <c r="D300" s="534">
        <v>43880.0</v>
      </c>
      <c r="E300" s="538" t="s">
        <v>1766</v>
      </c>
      <c r="F300" s="538" t="s">
        <v>1500</v>
      </c>
      <c r="G300" s="539" t="b">
        <v>1</v>
      </c>
      <c r="H300" s="539" t="b">
        <v>1</v>
      </c>
      <c r="I300" s="539" t="b">
        <v>0</v>
      </c>
      <c r="J300" s="531"/>
    </row>
    <row r="301">
      <c r="A301" s="531"/>
      <c r="B301" s="532"/>
      <c r="C301" s="533"/>
      <c r="D301" s="534">
        <v>43880.0</v>
      </c>
      <c r="E301" s="538" t="s">
        <v>1767</v>
      </c>
      <c r="F301" s="538" t="s">
        <v>1501</v>
      </c>
      <c r="G301" s="540" t="s">
        <v>1502</v>
      </c>
      <c r="H301" s="540" t="s">
        <v>1502</v>
      </c>
      <c r="I301" s="539" t="b">
        <v>0</v>
      </c>
      <c r="J301" s="531"/>
    </row>
    <row r="302">
      <c r="A302" s="531"/>
      <c r="B302" s="532"/>
      <c r="C302" s="533"/>
      <c r="D302" s="534">
        <v>43880.0</v>
      </c>
      <c r="E302" s="538" t="s">
        <v>1767</v>
      </c>
      <c r="F302" s="538" t="s">
        <v>1500</v>
      </c>
      <c r="G302" s="539" t="b">
        <v>1</v>
      </c>
      <c r="H302" s="539" t="b">
        <v>1</v>
      </c>
      <c r="I302" s="539" t="b">
        <v>0</v>
      </c>
      <c r="J302" s="531"/>
    </row>
    <row r="303">
      <c r="A303" s="531"/>
      <c r="B303" s="532"/>
      <c r="C303" s="533"/>
      <c r="D303" s="534">
        <v>43880.0</v>
      </c>
      <c r="E303" s="538" t="s">
        <v>1768</v>
      </c>
      <c r="F303" s="538" t="s">
        <v>1501</v>
      </c>
      <c r="G303" s="540" t="s">
        <v>1502</v>
      </c>
      <c r="H303" s="540" t="s">
        <v>1502</v>
      </c>
      <c r="I303" s="539" t="b">
        <v>0</v>
      </c>
      <c r="J303" s="531"/>
    </row>
    <row r="304">
      <c r="A304" s="531"/>
      <c r="B304" s="532"/>
      <c r="C304" s="533"/>
      <c r="D304" s="534">
        <v>43880.0</v>
      </c>
      <c r="E304" s="538" t="s">
        <v>1768</v>
      </c>
      <c r="F304" s="538" t="s">
        <v>1500</v>
      </c>
      <c r="G304" s="539" t="b">
        <v>1</v>
      </c>
      <c r="H304" s="539" t="b">
        <v>1</v>
      </c>
      <c r="I304" s="539" t="b">
        <v>0</v>
      </c>
      <c r="J304" s="531"/>
    </row>
    <row r="305">
      <c r="A305" s="531"/>
      <c r="B305" s="532"/>
      <c r="C305" s="533"/>
      <c r="D305" s="534">
        <v>43880.0</v>
      </c>
      <c r="E305" s="538" t="s">
        <v>1769</v>
      </c>
      <c r="F305" s="538" t="s">
        <v>1501</v>
      </c>
      <c r="G305" s="540" t="s">
        <v>1502</v>
      </c>
      <c r="H305" s="540" t="s">
        <v>1502</v>
      </c>
      <c r="I305" s="539" t="b">
        <v>0</v>
      </c>
      <c r="J305" s="531"/>
    </row>
    <row r="306">
      <c r="A306" s="531"/>
      <c r="B306" s="532"/>
      <c r="C306" s="533"/>
      <c r="D306" s="534">
        <v>43880.0</v>
      </c>
      <c r="E306" s="538" t="s">
        <v>1769</v>
      </c>
      <c r="F306" s="538" t="s">
        <v>1500</v>
      </c>
      <c r="G306" s="539" t="b">
        <v>1</v>
      </c>
      <c r="H306" s="539" t="b">
        <v>1</v>
      </c>
      <c r="I306" s="539" t="b">
        <v>0</v>
      </c>
      <c r="J306" s="531"/>
    </row>
    <row r="307">
      <c r="A307" s="531"/>
      <c r="B307" s="532"/>
      <c r="C307" s="533"/>
      <c r="D307" s="534">
        <v>43880.0</v>
      </c>
      <c r="E307" s="538" t="s">
        <v>1770</v>
      </c>
      <c r="F307" s="538" t="s">
        <v>1501</v>
      </c>
      <c r="G307" s="540" t="s">
        <v>1502</v>
      </c>
      <c r="H307" s="540" t="s">
        <v>1502</v>
      </c>
      <c r="I307" s="539" t="b">
        <v>0</v>
      </c>
      <c r="J307" s="531"/>
    </row>
    <row r="308">
      <c r="A308" s="531"/>
      <c r="B308" s="532"/>
      <c r="C308" s="533"/>
      <c r="D308" s="534">
        <v>43880.0</v>
      </c>
      <c r="E308" s="538" t="s">
        <v>1770</v>
      </c>
      <c r="F308" s="538" t="s">
        <v>1500</v>
      </c>
      <c r="G308" s="539" t="b">
        <v>1</v>
      </c>
      <c r="H308" s="539" t="b">
        <v>1</v>
      </c>
      <c r="I308" s="539" t="b">
        <v>0</v>
      </c>
      <c r="J308" s="531"/>
    </row>
    <row r="309">
      <c r="A309" s="531"/>
      <c r="B309" s="532"/>
      <c r="C309" s="533"/>
      <c r="D309" s="534">
        <v>43880.0</v>
      </c>
      <c r="E309" s="538" t="s">
        <v>1771</v>
      </c>
      <c r="F309" s="538" t="s">
        <v>1501</v>
      </c>
      <c r="G309" s="540" t="s">
        <v>1502</v>
      </c>
      <c r="H309" s="540" t="s">
        <v>1502</v>
      </c>
      <c r="I309" s="539" t="b">
        <v>0</v>
      </c>
      <c r="J309" s="531"/>
    </row>
    <row r="310">
      <c r="A310" s="531"/>
      <c r="B310" s="532"/>
      <c r="C310" s="533"/>
      <c r="D310" s="534">
        <v>43880.0</v>
      </c>
      <c r="E310" s="538" t="s">
        <v>1771</v>
      </c>
      <c r="F310" s="538" t="s">
        <v>1500</v>
      </c>
      <c r="G310" s="539" t="b">
        <v>1</v>
      </c>
      <c r="H310" s="539" t="b">
        <v>1</v>
      </c>
      <c r="I310" s="539" t="b">
        <v>0</v>
      </c>
      <c r="J310" s="531"/>
    </row>
    <row r="311">
      <c r="A311" s="531"/>
      <c r="B311" s="532"/>
      <c r="C311" s="533"/>
      <c r="D311" s="534">
        <v>43880.0</v>
      </c>
      <c r="E311" s="538" t="s">
        <v>1772</v>
      </c>
      <c r="F311" s="538" t="s">
        <v>1501</v>
      </c>
      <c r="G311" s="540" t="s">
        <v>1502</v>
      </c>
      <c r="H311" s="540" t="s">
        <v>1502</v>
      </c>
      <c r="I311" s="539" t="b">
        <v>0</v>
      </c>
      <c r="J311" s="531"/>
    </row>
    <row r="312">
      <c r="A312" s="531"/>
      <c r="B312" s="532"/>
      <c r="C312" s="533"/>
      <c r="D312" s="534">
        <v>43880.0</v>
      </c>
      <c r="E312" s="538" t="s">
        <v>1772</v>
      </c>
      <c r="F312" s="538" t="s">
        <v>1500</v>
      </c>
      <c r="G312" s="539" t="b">
        <v>1</v>
      </c>
      <c r="H312" s="539" t="b">
        <v>1</v>
      </c>
      <c r="I312" s="539" t="b">
        <v>0</v>
      </c>
      <c r="J312" s="531"/>
    </row>
    <row r="313">
      <c r="A313" s="531"/>
      <c r="B313" s="532"/>
      <c r="C313" s="533"/>
      <c r="D313" s="534">
        <v>43880.0</v>
      </c>
      <c r="E313" s="538" t="s">
        <v>1773</v>
      </c>
      <c r="F313" s="538" t="s">
        <v>1501</v>
      </c>
      <c r="G313" s="540" t="s">
        <v>1502</v>
      </c>
      <c r="H313" s="540" t="s">
        <v>1502</v>
      </c>
      <c r="I313" s="539" t="b">
        <v>0</v>
      </c>
      <c r="J313" s="531"/>
    </row>
    <row r="314">
      <c r="A314" s="531"/>
      <c r="B314" s="532"/>
      <c r="C314" s="533"/>
      <c r="D314" s="534">
        <v>43880.0</v>
      </c>
      <c r="E314" s="538" t="s">
        <v>1773</v>
      </c>
      <c r="F314" s="538" t="s">
        <v>1500</v>
      </c>
      <c r="G314" s="539" t="b">
        <v>1</v>
      </c>
      <c r="H314" s="539" t="b">
        <v>1</v>
      </c>
      <c r="I314" s="539" t="b">
        <v>0</v>
      </c>
      <c r="J314" s="531"/>
    </row>
    <row r="315">
      <c r="A315" s="531"/>
      <c r="B315" s="532"/>
      <c r="C315" s="533"/>
      <c r="D315" s="534">
        <v>43880.0</v>
      </c>
      <c r="E315" s="538" t="s">
        <v>1774</v>
      </c>
      <c r="F315" s="538" t="s">
        <v>1501</v>
      </c>
      <c r="G315" s="540" t="s">
        <v>1502</v>
      </c>
      <c r="H315" s="540" t="s">
        <v>1502</v>
      </c>
      <c r="I315" s="539" t="b">
        <v>0</v>
      </c>
      <c r="J315" s="531"/>
    </row>
    <row r="316">
      <c r="A316" s="531"/>
      <c r="B316" s="532"/>
      <c r="C316" s="533"/>
      <c r="D316" s="534">
        <v>43880.0</v>
      </c>
      <c r="E316" s="538" t="s">
        <v>1774</v>
      </c>
      <c r="F316" s="538" t="s">
        <v>1500</v>
      </c>
      <c r="G316" s="539" t="b">
        <v>1</v>
      </c>
      <c r="H316" s="539" t="b">
        <v>1</v>
      </c>
      <c r="I316" s="539" t="b">
        <v>0</v>
      </c>
      <c r="J316" s="531"/>
    </row>
    <row r="317">
      <c r="A317" s="531"/>
      <c r="B317" s="532"/>
      <c r="C317" s="533"/>
      <c r="D317" s="534">
        <v>43880.0</v>
      </c>
      <c r="E317" s="538" t="s">
        <v>1775</v>
      </c>
      <c r="F317" s="538" t="s">
        <v>1501</v>
      </c>
      <c r="G317" s="540" t="s">
        <v>1502</v>
      </c>
      <c r="H317" s="540" t="s">
        <v>1502</v>
      </c>
      <c r="I317" s="539" t="b">
        <v>0</v>
      </c>
      <c r="J317" s="531"/>
    </row>
    <row r="318">
      <c r="A318" s="531"/>
      <c r="B318" s="532"/>
      <c r="C318" s="533"/>
      <c r="D318" s="534">
        <v>43880.0</v>
      </c>
      <c r="E318" s="538" t="s">
        <v>1775</v>
      </c>
      <c r="F318" s="538" t="s">
        <v>1500</v>
      </c>
      <c r="G318" s="539" t="b">
        <v>1</v>
      </c>
      <c r="H318" s="539" t="b">
        <v>1</v>
      </c>
      <c r="I318" s="539" t="b">
        <v>0</v>
      </c>
      <c r="J318" s="531"/>
    </row>
    <row r="319">
      <c r="A319" s="531"/>
      <c r="B319" s="532"/>
      <c r="C319" s="533"/>
      <c r="D319" s="534">
        <v>43880.0</v>
      </c>
      <c r="E319" s="538" t="s">
        <v>1776</v>
      </c>
      <c r="F319" s="538" t="s">
        <v>1501</v>
      </c>
      <c r="G319" s="540" t="s">
        <v>1502</v>
      </c>
      <c r="H319" s="540" t="s">
        <v>1502</v>
      </c>
      <c r="I319" s="539" t="b">
        <v>0</v>
      </c>
      <c r="J319" s="531"/>
    </row>
    <row r="320">
      <c r="A320" s="531"/>
      <c r="B320" s="532"/>
      <c r="C320" s="533"/>
      <c r="D320" s="534">
        <v>43880.0</v>
      </c>
      <c r="E320" s="538" t="s">
        <v>1776</v>
      </c>
      <c r="F320" s="538" t="s">
        <v>1500</v>
      </c>
      <c r="G320" s="539" t="b">
        <v>1</v>
      </c>
      <c r="H320" s="539" t="b">
        <v>1</v>
      </c>
      <c r="I320" s="539" t="b">
        <v>0</v>
      </c>
      <c r="J320" s="531"/>
    </row>
    <row r="321">
      <c r="A321" s="531"/>
      <c r="B321" s="532"/>
      <c r="C321" s="533"/>
      <c r="D321" s="534">
        <v>43880.0</v>
      </c>
      <c r="E321" s="538" t="s">
        <v>1778</v>
      </c>
      <c r="F321" s="538" t="s">
        <v>1501</v>
      </c>
      <c r="G321" s="540" t="s">
        <v>1502</v>
      </c>
      <c r="H321" s="540" t="s">
        <v>1502</v>
      </c>
      <c r="I321" s="539" t="b">
        <v>0</v>
      </c>
      <c r="J321" s="531"/>
    </row>
    <row r="322">
      <c r="A322" s="531"/>
      <c r="B322" s="532"/>
      <c r="C322" s="533"/>
      <c r="D322" s="534">
        <v>43880.0</v>
      </c>
      <c r="E322" s="538" t="s">
        <v>1778</v>
      </c>
      <c r="F322" s="538" t="s">
        <v>1500</v>
      </c>
      <c r="G322" s="539" t="b">
        <v>1</v>
      </c>
      <c r="H322" s="539" t="b">
        <v>1</v>
      </c>
      <c r="I322" s="539" t="b">
        <v>0</v>
      </c>
      <c r="J322" s="531"/>
    </row>
    <row r="323">
      <c r="A323" s="531"/>
      <c r="B323" s="532"/>
      <c r="C323" s="533"/>
      <c r="D323" s="534">
        <v>43880.0</v>
      </c>
      <c r="E323" s="538" t="s">
        <v>1781</v>
      </c>
      <c r="F323" s="538" t="s">
        <v>1500</v>
      </c>
      <c r="G323" s="539" t="b">
        <v>1</v>
      </c>
      <c r="H323" s="539" t="b">
        <v>1</v>
      </c>
      <c r="I323" s="539" t="b">
        <v>0</v>
      </c>
      <c r="J323" s="531"/>
    </row>
    <row r="324">
      <c r="A324" s="531"/>
      <c r="B324" s="532"/>
      <c r="C324" s="533"/>
      <c r="D324" s="534">
        <v>43880.0</v>
      </c>
      <c r="E324" s="538" t="s">
        <v>1782</v>
      </c>
      <c r="F324" s="538" t="s">
        <v>1501</v>
      </c>
      <c r="G324" s="540" t="s">
        <v>1502</v>
      </c>
      <c r="H324" s="540" t="s">
        <v>1502</v>
      </c>
      <c r="I324" s="539" t="b">
        <v>0</v>
      </c>
      <c r="J324" s="531"/>
    </row>
    <row r="325">
      <c r="A325" s="531"/>
      <c r="B325" s="532"/>
      <c r="C325" s="533"/>
      <c r="D325" s="534">
        <v>43880.0</v>
      </c>
      <c r="E325" s="538" t="s">
        <v>1782</v>
      </c>
      <c r="F325" s="538" t="s">
        <v>1500</v>
      </c>
      <c r="G325" s="539" t="b">
        <v>1</v>
      </c>
      <c r="H325" s="539" t="b">
        <v>1</v>
      </c>
      <c r="I325" s="539" t="b">
        <v>0</v>
      </c>
      <c r="J325" s="531"/>
    </row>
    <row r="326">
      <c r="A326" s="531"/>
      <c r="B326" s="532"/>
      <c r="C326" s="533"/>
      <c r="D326" s="534">
        <v>43880.0</v>
      </c>
      <c r="E326" s="538" t="s">
        <v>1784</v>
      </c>
      <c r="F326" s="538" t="s">
        <v>1510</v>
      </c>
      <c r="G326" s="539" t="b">
        <v>1</v>
      </c>
      <c r="H326" s="539" t="b">
        <v>1</v>
      </c>
      <c r="I326" s="539" t="b">
        <v>0</v>
      </c>
      <c r="J326" s="538" t="s">
        <v>1785</v>
      </c>
    </row>
    <row r="327">
      <c r="A327" s="531"/>
      <c r="B327" s="532"/>
      <c r="C327" s="533"/>
      <c r="D327" s="534">
        <v>43880.0</v>
      </c>
      <c r="E327" s="538" t="s">
        <v>1786</v>
      </c>
      <c r="F327" s="538" t="s">
        <v>1501</v>
      </c>
      <c r="G327" s="540" t="s">
        <v>1502</v>
      </c>
      <c r="H327" s="540" t="s">
        <v>1502</v>
      </c>
      <c r="I327" s="539" t="b">
        <v>0</v>
      </c>
      <c r="J327" s="538"/>
    </row>
    <row r="328">
      <c r="A328" s="531"/>
      <c r="B328" s="532"/>
      <c r="C328" s="533"/>
      <c r="D328" s="534">
        <v>43880.0</v>
      </c>
      <c r="E328" s="538" t="s">
        <v>1787</v>
      </c>
      <c r="F328" s="538" t="s">
        <v>1501</v>
      </c>
      <c r="G328" s="540" t="s">
        <v>1502</v>
      </c>
      <c r="H328" s="540" t="s">
        <v>1502</v>
      </c>
      <c r="I328" s="539" t="b">
        <v>0</v>
      </c>
      <c r="J328" s="531"/>
    </row>
    <row r="329">
      <c r="A329" s="531"/>
      <c r="B329" s="532"/>
      <c r="C329" s="533"/>
      <c r="D329" s="534">
        <v>43880.0</v>
      </c>
      <c r="E329" s="538" t="s">
        <v>1788</v>
      </c>
      <c r="F329" s="538" t="s">
        <v>1789</v>
      </c>
      <c r="G329" s="540" t="s">
        <v>1502</v>
      </c>
      <c r="H329" s="540" t="s">
        <v>1502</v>
      </c>
      <c r="I329" s="539" t="b">
        <v>0</v>
      </c>
      <c r="J329" s="538"/>
    </row>
    <row r="330">
      <c r="A330" s="531"/>
      <c r="B330" s="532"/>
      <c r="C330" s="533"/>
      <c r="D330" s="534">
        <v>43880.0</v>
      </c>
      <c r="E330" s="538" t="s">
        <v>1788</v>
      </c>
      <c r="F330" s="538" t="s">
        <v>1790</v>
      </c>
      <c r="G330" s="539" t="b">
        <v>1</v>
      </c>
      <c r="H330" s="539" t="b">
        <v>1</v>
      </c>
      <c r="I330" s="539" t="b">
        <v>0</v>
      </c>
      <c r="J330" s="538" t="s">
        <v>1791</v>
      </c>
    </row>
    <row r="331">
      <c r="A331" s="531"/>
      <c r="B331" s="532"/>
      <c r="C331" s="533"/>
      <c r="D331" s="534">
        <v>43880.0</v>
      </c>
      <c r="E331" s="538" t="s">
        <v>1792</v>
      </c>
      <c r="F331" s="538" t="s">
        <v>1501</v>
      </c>
      <c r="G331" s="540" t="s">
        <v>1502</v>
      </c>
      <c r="H331" s="540" t="s">
        <v>1502</v>
      </c>
      <c r="I331" s="539" t="b">
        <v>0</v>
      </c>
      <c r="J331" s="531"/>
    </row>
    <row r="332">
      <c r="A332" s="531"/>
      <c r="B332" s="532"/>
      <c r="C332" s="533"/>
      <c r="D332" s="534">
        <v>43880.0</v>
      </c>
      <c r="E332" s="538" t="s">
        <v>1793</v>
      </c>
      <c r="F332" s="538" t="s">
        <v>1501</v>
      </c>
      <c r="G332" s="540" t="s">
        <v>1502</v>
      </c>
      <c r="H332" s="540" t="s">
        <v>1502</v>
      </c>
      <c r="I332" s="539" t="b">
        <v>0</v>
      </c>
      <c r="J332" s="531"/>
    </row>
    <row r="333">
      <c r="A333" s="531"/>
      <c r="B333" s="532"/>
      <c r="C333" s="533"/>
      <c r="D333" s="534">
        <v>43880.0</v>
      </c>
      <c r="E333" s="538" t="s">
        <v>1793</v>
      </c>
      <c r="F333" s="538" t="s">
        <v>1500</v>
      </c>
      <c r="G333" s="539" t="b">
        <v>1</v>
      </c>
      <c r="H333" s="539" t="b">
        <v>1</v>
      </c>
      <c r="I333" s="539" t="b">
        <v>0</v>
      </c>
      <c r="J333" s="531"/>
    </row>
    <row r="334">
      <c r="A334" s="531"/>
      <c r="B334" s="532"/>
      <c r="C334" s="533"/>
      <c r="D334" s="534">
        <v>43880.0</v>
      </c>
      <c r="E334" s="538" t="s">
        <v>1795</v>
      </c>
      <c r="F334" s="538" t="s">
        <v>1501</v>
      </c>
      <c r="G334" s="540" t="s">
        <v>1502</v>
      </c>
      <c r="H334" s="540" t="s">
        <v>1502</v>
      </c>
      <c r="I334" s="539" t="b">
        <v>0</v>
      </c>
      <c r="J334" s="531"/>
    </row>
    <row r="335">
      <c r="A335" s="531"/>
      <c r="B335" s="532"/>
      <c r="C335" s="533"/>
      <c r="D335" s="534">
        <v>43880.0</v>
      </c>
      <c r="E335" s="538" t="s">
        <v>1795</v>
      </c>
      <c r="F335" s="538" t="s">
        <v>1500</v>
      </c>
      <c r="G335" s="539" t="b">
        <v>1</v>
      </c>
      <c r="H335" s="539" t="b">
        <v>1</v>
      </c>
      <c r="I335" s="539" t="b">
        <v>0</v>
      </c>
      <c r="J335" s="531"/>
    </row>
    <row r="336">
      <c r="A336" s="531"/>
      <c r="B336" s="532"/>
      <c r="C336" s="533"/>
      <c r="D336" s="534">
        <v>43880.0</v>
      </c>
      <c r="E336" s="538" t="s">
        <v>1796</v>
      </c>
      <c r="F336" s="538" t="s">
        <v>1501</v>
      </c>
      <c r="G336" s="540" t="s">
        <v>1502</v>
      </c>
      <c r="H336" s="540" t="s">
        <v>1502</v>
      </c>
      <c r="I336" s="539" t="b">
        <v>0</v>
      </c>
      <c r="J336" s="531"/>
    </row>
    <row r="337">
      <c r="A337" s="531"/>
      <c r="B337" s="532"/>
      <c r="C337" s="533"/>
      <c r="D337" s="534">
        <v>43880.0</v>
      </c>
      <c r="E337" s="538" t="s">
        <v>1796</v>
      </c>
      <c r="F337" s="538" t="s">
        <v>1500</v>
      </c>
      <c r="G337" s="539" t="b">
        <v>1</v>
      </c>
      <c r="H337" s="539" t="b">
        <v>1</v>
      </c>
      <c r="I337" s="539" t="b">
        <v>0</v>
      </c>
      <c r="J337" s="531"/>
    </row>
    <row r="338">
      <c r="A338" s="531"/>
      <c r="B338" s="532"/>
      <c r="C338" s="533"/>
      <c r="D338" s="534">
        <v>43880.0</v>
      </c>
      <c r="E338" s="538" t="s">
        <v>1799</v>
      </c>
      <c r="F338" s="538" t="s">
        <v>1501</v>
      </c>
      <c r="G338" s="540" t="s">
        <v>1502</v>
      </c>
      <c r="H338" s="540" t="s">
        <v>1502</v>
      </c>
      <c r="I338" s="539" t="b">
        <v>0</v>
      </c>
      <c r="J338" s="531"/>
    </row>
    <row r="339">
      <c r="A339" s="531"/>
      <c r="B339" s="532"/>
      <c r="C339" s="533"/>
      <c r="D339" s="534">
        <v>43880.0</v>
      </c>
      <c r="E339" s="538" t="s">
        <v>1799</v>
      </c>
      <c r="F339" s="538" t="s">
        <v>1500</v>
      </c>
      <c r="G339" s="539" t="b">
        <v>1</v>
      </c>
      <c r="H339" s="539" t="b">
        <v>1</v>
      </c>
      <c r="I339" s="539" t="b">
        <v>0</v>
      </c>
      <c r="J339" s="531"/>
    </row>
    <row r="340">
      <c r="A340" s="531"/>
      <c r="B340" s="532"/>
      <c r="C340" s="533"/>
      <c r="D340" s="534">
        <v>43880.0</v>
      </c>
      <c r="E340" s="538" t="s">
        <v>1800</v>
      </c>
      <c r="F340" s="538" t="s">
        <v>1501</v>
      </c>
      <c r="G340" s="540" t="s">
        <v>1502</v>
      </c>
      <c r="H340" s="540" t="s">
        <v>1502</v>
      </c>
      <c r="I340" s="539" t="b">
        <v>0</v>
      </c>
      <c r="J340" s="531"/>
    </row>
    <row r="341">
      <c r="A341" s="531"/>
      <c r="B341" s="532"/>
      <c r="C341" s="533"/>
      <c r="D341" s="534">
        <v>43880.0</v>
      </c>
      <c r="E341" s="538" t="s">
        <v>1800</v>
      </c>
      <c r="F341" s="538" t="s">
        <v>1500</v>
      </c>
      <c r="G341" s="539" t="b">
        <v>1</v>
      </c>
      <c r="H341" s="539" t="b">
        <v>1</v>
      </c>
      <c r="I341" s="539" t="b">
        <v>0</v>
      </c>
      <c r="J341" s="531"/>
    </row>
    <row r="342">
      <c r="A342" s="531"/>
      <c r="B342" s="532"/>
      <c r="C342" s="533"/>
      <c r="D342" s="534">
        <v>43880.0</v>
      </c>
      <c r="E342" s="538" t="s">
        <v>1801</v>
      </c>
      <c r="F342" s="538" t="s">
        <v>1501</v>
      </c>
      <c r="G342" s="540" t="s">
        <v>1502</v>
      </c>
      <c r="H342" s="540" t="s">
        <v>1502</v>
      </c>
      <c r="I342" s="539" t="b">
        <v>0</v>
      </c>
      <c r="J342" s="531"/>
    </row>
    <row r="343">
      <c r="A343" s="531"/>
      <c r="B343" s="532"/>
      <c r="C343" s="533"/>
      <c r="D343" s="534">
        <v>43880.0</v>
      </c>
      <c r="E343" s="538" t="s">
        <v>1801</v>
      </c>
      <c r="F343" s="538" t="s">
        <v>1500</v>
      </c>
      <c r="G343" s="539" t="b">
        <v>1</v>
      </c>
      <c r="H343" s="539" t="b">
        <v>1</v>
      </c>
      <c r="I343" s="539" t="b">
        <v>0</v>
      </c>
      <c r="J343" s="531"/>
    </row>
    <row r="344">
      <c r="A344" s="531"/>
      <c r="B344" s="532"/>
      <c r="C344" s="533"/>
      <c r="D344" s="534">
        <v>43880.0</v>
      </c>
      <c r="E344" s="538" t="s">
        <v>1803</v>
      </c>
      <c r="F344" s="538" t="s">
        <v>1501</v>
      </c>
      <c r="G344" s="540" t="s">
        <v>1502</v>
      </c>
      <c r="H344" s="540" t="s">
        <v>1502</v>
      </c>
      <c r="I344" s="539" t="b">
        <v>0</v>
      </c>
      <c r="J344" s="531"/>
    </row>
    <row r="345">
      <c r="A345" s="531"/>
      <c r="B345" s="532"/>
      <c r="C345" s="533"/>
      <c r="D345" s="534">
        <v>43880.0</v>
      </c>
      <c r="E345" s="538" t="s">
        <v>1803</v>
      </c>
      <c r="F345" s="538" t="s">
        <v>1500</v>
      </c>
      <c r="G345" s="539" t="b">
        <v>1</v>
      </c>
      <c r="H345" s="539" t="b">
        <v>1</v>
      </c>
      <c r="I345" s="539" t="b">
        <v>0</v>
      </c>
      <c r="J345" s="531"/>
    </row>
    <row r="346">
      <c r="A346" s="531"/>
      <c r="B346" s="532"/>
      <c r="C346" s="533"/>
      <c r="D346" s="534">
        <v>43880.0</v>
      </c>
      <c r="E346" s="538" t="s">
        <v>1805</v>
      </c>
      <c r="F346" s="538" t="s">
        <v>1501</v>
      </c>
      <c r="G346" s="540" t="s">
        <v>1502</v>
      </c>
      <c r="H346" s="540" t="s">
        <v>1502</v>
      </c>
      <c r="I346" s="539" t="b">
        <v>0</v>
      </c>
      <c r="J346" s="531"/>
    </row>
    <row r="347">
      <c r="A347" s="531"/>
      <c r="B347" s="532"/>
      <c r="C347" s="533"/>
      <c r="D347" s="534">
        <v>43880.0</v>
      </c>
      <c r="E347" s="538" t="s">
        <v>1805</v>
      </c>
      <c r="F347" s="538" t="s">
        <v>1500</v>
      </c>
      <c r="G347" s="539" t="b">
        <v>1</v>
      </c>
      <c r="H347" s="539" t="b">
        <v>1</v>
      </c>
      <c r="I347" s="539" t="b">
        <v>0</v>
      </c>
      <c r="J347" s="531"/>
    </row>
    <row r="348">
      <c r="A348" s="531"/>
      <c r="B348" s="532"/>
      <c r="C348" s="533"/>
      <c r="D348" s="534">
        <v>43880.0</v>
      </c>
      <c r="E348" s="538" t="s">
        <v>1806</v>
      </c>
      <c r="F348" s="538" t="s">
        <v>1501</v>
      </c>
      <c r="G348" s="540" t="s">
        <v>1502</v>
      </c>
      <c r="H348" s="540" t="s">
        <v>1502</v>
      </c>
      <c r="I348" s="539" t="b">
        <v>0</v>
      </c>
      <c r="J348" s="531"/>
    </row>
    <row r="349">
      <c r="A349" s="531"/>
      <c r="B349" s="532"/>
      <c r="C349" s="533"/>
      <c r="D349" s="534">
        <v>43880.0</v>
      </c>
      <c r="E349" s="538" t="s">
        <v>1806</v>
      </c>
      <c r="F349" s="538" t="s">
        <v>1500</v>
      </c>
      <c r="G349" s="539" t="b">
        <v>1</v>
      </c>
      <c r="H349" s="539" t="b">
        <v>1</v>
      </c>
      <c r="I349" s="539" t="b">
        <v>0</v>
      </c>
      <c r="J349" s="531"/>
    </row>
    <row r="350">
      <c r="A350" s="531"/>
      <c r="B350" s="532"/>
      <c r="C350" s="533"/>
      <c r="D350" s="534">
        <v>43880.0</v>
      </c>
      <c r="E350" s="538" t="s">
        <v>1809</v>
      </c>
      <c r="F350" s="538" t="s">
        <v>1501</v>
      </c>
      <c r="G350" s="540" t="s">
        <v>1502</v>
      </c>
      <c r="H350" s="540" t="s">
        <v>1502</v>
      </c>
      <c r="I350" s="539" t="b">
        <v>0</v>
      </c>
      <c r="J350" s="531"/>
    </row>
    <row r="351">
      <c r="A351" s="531"/>
      <c r="B351" s="532"/>
      <c r="C351" s="533"/>
      <c r="D351" s="534">
        <v>43880.0</v>
      </c>
      <c r="E351" s="538" t="s">
        <v>1809</v>
      </c>
      <c r="F351" s="538" t="s">
        <v>1500</v>
      </c>
      <c r="G351" s="539" t="b">
        <v>1</v>
      </c>
      <c r="H351" s="539" t="b">
        <v>1</v>
      </c>
      <c r="I351" s="539" t="b">
        <v>0</v>
      </c>
      <c r="J351" s="531"/>
    </row>
    <row r="352">
      <c r="A352" s="531"/>
      <c r="B352" s="532"/>
      <c r="C352" s="533"/>
      <c r="D352" s="534">
        <v>43880.0</v>
      </c>
      <c r="E352" s="538" t="s">
        <v>1379</v>
      </c>
      <c r="F352" s="538" t="s">
        <v>1501</v>
      </c>
      <c r="G352" s="540" t="s">
        <v>1502</v>
      </c>
      <c r="H352" s="540" t="s">
        <v>1502</v>
      </c>
      <c r="I352" s="539" t="b">
        <v>0</v>
      </c>
      <c r="J352" s="531"/>
    </row>
    <row r="353">
      <c r="A353" s="531"/>
      <c r="B353" s="532"/>
      <c r="C353" s="533"/>
      <c r="D353" s="534">
        <v>43880.0</v>
      </c>
      <c r="E353" s="538" t="s">
        <v>1379</v>
      </c>
      <c r="F353" s="538" t="s">
        <v>1500</v>
      </c>
      <c r="G353" s="539" t="b">
        <v>1</v>
      </c>
      <c r="H353" s="539" t="b">
        <v>1</v>
      </c>
      <c r="I353" s="539" t="b">
        <v>0</v>
      </c>
      <c r="J353" s="531"/>
    </row>
    <row r="354">
      <c r="A354" s="531"/>
      <c r="B354" s="532"/>
      <c r="C354" s="533"/>
      <c r="D354" s="534">
        <v>43880.0</v>
      </c>
      <c r="E354" s="538" t="s">
        <v>1811</v>
      </c>
      <c r="F354" s="538" t="s">
        <v>1501</v>
      </c>
      <c r="G354" s="540" t="s">
        <v>1502</v>
      </c>
      <c r="H354" s="540" t="s">
        <v>1502</v>
      </c>
      <c r="I354" s="539" t="b">
        <v>0</v>
      </c>
      <c r="J354" s="531"/>
    </row>
    <row r="355">
      <c r="A355" s="531"/>
      <c r="B355" s="532"/>
      <c r="C355" s="533"/>
      <c r="D355" s="534">
        <v>43880.0</v>
      </c>
      <c r="E355" s="538" t="s">
        <v>1811</v>
      </c>
      <c r="F355" s="538" t="s">
        <v>1500</v>
      </c>
      <c r="G355" s="539" t="b">
        <v>1</v>
      </c>
      <c r="H355" s="539" t="b">
        <v>1</v>
      </c>
      <c r="I355" s="539" t="b">
        <v>0</v>
      </c>
      <c r="J355" s="531"/>
    </row>
    <row r="356">
      <c r="A356" s="531"/>
      <c r="B356" s="532"/>
      <c r="C356" s="533"/>
      <c r="D356" s="534">
        <v>43880.0</v>
      </c>
      <c r="E356" s="538" t="s">
        <v>1812</v>
      </c>
      <c r="F356" s="538" t="s">
        <v>1501</v>
      </c>
      <c r="G356" s="540" t="s">
        <v>1502</v>
      </c>
      <c r="H356" s="540" t="s">
        <v>1502</v>
      </c>
      <c r="I356" s="539" t="b">
        <v>0</v>
      </c>
      <c r="J356" s="531"/>
    </row>
    <row r="357">
      <c r="A357" s="531"/>
      <c r="B357" s="532"/>
      <c r="C357" s="533"/>
      <c r="D357" s="534">
        <v>43880.0</v>
      </c>
      <c r="E357" s="538" t="s">
        <v>1812</v>
      </c>
      <c r="F357" s="538" t="s">
        <v>1500</v>
      </c>
      <c r="G357" s="539" t="b">
        <v>1</v>
      </c>
      <c r="H357" s="539" t="b">
        <v>1</v>
      </c>
      <c r="I357" s="539" t="b">
        <v>0</v>
      </c>
      <c r="J357" s="531"/>
    </row>
    <row r="358">
      <c r="A358" s="531"/>
      <c r="B358" s="532"/>
      <c r="C358" s="533"/>
      <c r="D358" s="534">
        <v>43880.0</v>
      </c>
      <c r="E358" s="538" t="s">
        <v>1813</v>
      </c>
      <c r="F358" s="538" t="s">
        <v>1501</v>
      </c>
      <c r="G358" s="540" t="s">
        <v>1502</v>
      </c>
      <c r="H358" s="540" t="s">
        <v>1502</v>
      </c>
      <c r="I358" s="539" t="b">
        <v>0</v>
      </c>
      <c r="J358" s="531"/>
    </row>
    <row r="359">
      <c r="A359" s="531"/>
      <c r="B359" s="532"/>
      <c r="C359" s="533"/>
      <c r="D359" s="534">
        <v>43880.0</v>
      </c>
      <c r="E359" s="538" t="s">
        <v>1813</v>
      </c>
      <c r="F359" s="538" t="s">
        <v>1500</v>
      </c>
      <c r="G359" s="539" t="b">
        <v>1</v>
      </c>
      <c r="H359" s="539" t="b">
        <v>1</v>
      </c>
      <c r="I359" s="539" t="b">
        <v>0</v>
      </c>
      <c r="J359" s="531"/>
    </row>
    <row r="360">
      <c r="A360" s="531"/>
      <c r="B360" s="532"/>
      <c r="C360" s="533"/>
      <c r="D360" s="534">
        <v>43880.0</v>
      </c>
      <c r="E360" s="538" t="s">
        <v>1814</v>
      </c>
      <c r="F360" s="538" t="s">
        <v>1501</v>
      </c>
      <c r="G360" s="540" t="s">
        <v>1502</v>
      </c>
      <c r="H360" s="540" t="s">
        <v>1502</v>
      </c>
      <c r="I360" s="539" t="b">
        <v>0</v>
      </c>
      <c r="J360" s="531"/>
    </row>
    <row r="361">
      <c r="A361" s="531"/>
      <c r="B361" s="532"/>
      <c r="C361" s="533"/>
      <c r="D361" s="534">
        <v>43880.0</v>
      </c>
      <c r="E361" s="538" t="s">
        <v>1814</v>
      </c>
      <c r="F361" s="538" t="s">
        <v>1500</v>
      </c>
      <c r="G361" s="539" t="b">
        <v>1</v>
      </c>
      <c r="H361" s="539" t="b">
        <v>1</v>
      </c>
      <c r="I361" s="539" t="b">
        <v>0</v>
      </c>
      <c r="J361" s="531"/>
    </row>
    <row r="362">
      <c r="A362" s="531"/>
      <c r="B362" s="532"/>
      <c r="C362" s="533"/>
      <c r="D362" s="534">
        <v>43879.0</v>
      </c>
      <c r="E362" s="538" t="s">
        <v>1816</v>
      </c>
      <c r="F362" s="538" t="s">
        <v>1501</v>
      </c>
      <c r="G362" s="540" t="s">
        <v>1502</v>
      </c>
      <c r="H362" s="540" t="s">
        <v>1502</v>
      </c>
      <c r="I362" s="539" t="b">
        <v>0</v>
      </c>
      <c r="J362" s="531"/>
    </row>
    <row r="363">
      <c r="A363" s="531"/>
      <c r="B363" s="532"/>
      <c r="C363" s="533"/>
      <c r="D363" s="534">
        <v>43879.0</v>
      </c>
      <c r="E363" s="538" t="s">
        <v>1816</v>
      </c>
      <c r="F363" s="538" t="s">
        <v>1500</v>
      </c>
      <c r="G363" s="539" t="b">
        <v>1</v>
      </c>
      <c r="H363" s="539" t="b">
        <v>1</v>
      </c>
      <c r="I363" s="539" t="b">
        <v>0</v>
      </c>
      <c r="J363" s="531"/>
    </row>
    <row r="364">
      <c r="A364" s="531"/>
      <c r="B364" s="532"/>
      <c r="C364" s="533"/>
      <c r="D364" s="534">
        <v>43879.0</v>
      </c>
      <c r="E364" s="538" t="s">
        <v>1817</v>
      </c>
      <c r="F364" s="538" t="s">
        <v>1501</v>
      </c>
      <c r="G364" s="540" t="s">
        <v>1502</v>
      </c>
      <c r="H364" s="540" t="s">
        <v>1502</v>
      </c>
      <c r="I364" s="539" t="b">
        <v>0</v>
      </c>
      <c r="J364" s="531"/>
    </row>
    <row r="365">
      <c r="A365" s="531"/>
      <c r="B365" s="532"/>
      <c r="C365" s="533"/>
      <c r="D365" s="534">
        <v>43879.0</v>
      </c>
      <c r="E365" s="538" t="s">
        <v>1817</v>
      </c>
      <c r="F365" s="538" t="s">
        <v>1500</v>
      </c>
      <c r="G365" s="539" t="b">
        <v>1</v>
      </c>
      <c r="H365" s="539" t="b">
        <v>1</v>
      </c>
      <c r="I365" s="539" t="b">
        <v>0</v>
      </c>
      <c r="J365" s="531"/>
    </row>
    <row r="366">
      <c r="A366" s="531"/>
      <c r="B366" s="532"/>
      <c r="C366" s="533"/>
      <c r="D366" s="534">
        <v>43879.0</v>
      </c>
      <c r="E366" s="538" t="s">
        <v>1818</v>
      </c>
      <c r="F366" s="538" t="s">
        <v>1501</v>
      </c>
      <c r="G366" s="540" t="s">
        <v>1502</v>
      </c>
      <c r="H366" s="540" t="s">
        <v>1502</v>
      </c>
      <c r="I366" s="539" t="b">
        <v>0</v>
      </c>
      <c r="J366" s="531"/>
    </row>
    <row r="367">
      <c r="A367" s="531"/>
      <c r="B367" s="532"/>
      <c r="C367" s="533"/>
      <c r="D367" s="534">
        <v>43879.0</v>
      </c>
      <c r="E367" s="538" t="s">
        <v>1818</v>
      </c>
      <c r="F367" s="538" t="s">
        <v>1500</v>
      </c>
      <c r="G367" s="539" t="b">
        <v>1</v>
      </c>
      <c r="H367" s="539" t="b">
        <v>1</v>
      </c>
      <c r="I367" s="539" t="b">
        <v>0</v>
      </c>
      <c r="J367" s="531"/>
    </row>
    <row r="368">
      <c r="A368" s="531"/>
      <c r="B368" s="532"/>
      <c r="C368" s="533"/>
      <c r="D368" s="534">
        <v>43879.0</v>
      </c>
      <c r="E368" s="538" t="s">
        <v>1821</v>
      </c>
      <c r="F368" s="538" t="s">
        <v>1501</v>
      </c>
      <c r="G368" s="540" t="s">
        <v>1502</v>
      </c>
      <c r="H368" s="540" t="s">
        <v>1502</v>
      </c>
      <c r="I368" s="539" t="b">
        <v>0</v>
      </c>
      <c r="J368" s="531"/>
    </row>
    <row r="369">
      <c r="A369" s="531"/>
      <c r="B369" s="532"/>
      <c r="C369" s="533"/>
      <c r="D369" s="534">
        <v>43879.0</v>
      </c>
      <c r="E369" s="538" t="s">
        <v>1821</v>
      </c>
      <c r="F369" s="538" t="s">
        <v>1500</v>
      </c>
      <c r="G369" s="539" t="b">
        <v>1</v>
      </c>
      <c r="H369" s="539" t="b">
        <v>1</v>
      </c>
      <c r="I369" s="539" t="b">
        <v>0</v>
      </c>
      <c r="J369" s="531"/>
    </row>
    <row r="370">
      <c r="A370" s="531"/>
      <c r="B370" s="532"/>
      <c r="C370" s="533"/>
      <c r="D370" s="534">
        <v>43879.0</v>
      </c>
      <c r="E370" s="538" t="s">
        <v>1823</v>
      </c>
      <c r="F370" s="538" t="s">
        <v>1501</v>
      </c>
      <c r="G370" s="540" t="s">
        <v>1502</v>
      </c>
      <c r="H370" s="540" t="s">
        <v>1502</v>
      </c>
      <c r="I370" s="539" t="b">
        <v>0</v>
      </c>
      <c r="J370" s="531"/>
    </row>
    <row r="371">
      <c r="A371" s="531"/>
      <c r="B371" s="532"/>
      <c r="C371" s="533"/>
      <c r="D371" s="534">
        <v>43879.0</v>
      </c>
      <c r="E371" s="538" t="s">
        <v>1823</v>
      </c>
      <c r="F371" s="538" t="s">
        <v>1500</v>
      </c>
      <c r="G371" s="539" t="b">
        <v>1</v>
      </c>
      <c r="H371" s="539" t="b">
        <v>1</v>
      </c>
      <c r="I371" s="539" t="b">
        <v>0</v>
      </c>
      <c r="J371" s="531"/>
    </row>
    <row r="372">
      <c r="A372" s="531"/>
      <c r="B372" s="532"/>
      <c r="C372" s="533"/>
      <c r="D372" s="534">
        <v>43879.0</v>
      </c>
      <c r="E372" s="538" t="s">
        <v>1824</v>
      </c>
      <c r="F372" s="538" t="s">
        <v>1501</v>
      </c>
      <c r="G372" s="540" t="s">
        <v>1502</v>
      </c>
      <c r="H372" s="540" t="s">
        <v>1502</v>
      </c>
      <c r="I372" s="539" t="b">
        <v>0</v>
      </c>
      <c r="J372" s="531"/>
    </row>
    <row r="373">
      <c r="A373" s="531"/>
      <c r="B373" s="532"/>
      <c r="C373" s="533"/>
      <c r="D373" s="534">
        <v>43879.0</v>
      </c>
      <c r="E373" s="538" t="s">
        <v>1824</v>
      </c>
      <c r="F373" s="538" t="s">
        <v>1500</v>
      </c>
      <c r="G373" s="539" t="b">
        <v>1</v>
      </c>
      <c r="H373" s="539" t="b">
        <v>1</v>
      </c>
      <c r="I373" s="539" t="b">
        <v>0</v>
      </c>
      <c r="J373" s="531"/>
    </row>
    <row r="374">
      <c r="A374" s="531"/>
      <c r="B374" s="532"/>
      <c r="C374" s="533"/>
      <c r="D374" s="534">
        <v>43879.0</v>
      </c>
      <c r="E374" s="538" t="s">
        <v>1825</v>
      </c>
      <c r="F374" s="538" t="s">
        <v>1501</v>
      </c>
      <c r="G374" s="540" t="s">
        <v>1502</v>
      </c>
      <c r="H374" s="540" t="s">
        <v>1502</v>
      </c>
      <c r="I374" s="539" t="b">
        <v>0</v>
      </c>
      <c r="J374" s="531"/>
    </row>
    <row r="375">
      <c r="A375" s="531"/>
      <c r="B375" s="532"/>
      <c r="C375" s="533"/>
      <c r="D375" s="534">
        <v>43879.0</v>
      </c>
      <c r="E375" s="538" t="s">
        <v>1825</v>
      </c>
      <c r="F375" s="538" t="s">
        <v>1500</v>
      </c>
      <c r="G375" s="539" t="b">
        <v>1</v>
      </c>
      <c r="H375" s="539" t="b">
        <v>1</v>
      </c>
      <c r="I375" s="539" t="b">
        <v>0</v>
      </c>
      <c r="J375" s="531"/>
    </row>
    <row r="376">
      <c r="A376" s="531"/>
      <c r="B376" s="532"/>
      <c r="C376" s="533"/>
      <c r="D376" s="534">
        <v>43879.0</v>
      </c>
      <c r="E376" s="538" t="s">
        <v>1827</v>
      </c>
      <c r="F376" s="538" t="s">
        <v>1501</v>
      </c>
      <c r="G376" s="540" t="s">
        <v>1502</v>
      </c>
      <c r="H376" s="540" t="s">
        <v>1502</v>
      </c>
      <c r="I376" s="539" t="b">
        <v>0</v>
      </c>
      <c r="J376" s="531"/>
    </row>
    <row r="377">
      <c r="A377" s="531"/>
      <c r="B377" s="532"/>
      <c r="C377" s="533"/>
      <c r="D377" s="534">
        <v>43879.0</v>
      </c>
      <c r="E377" s="538" t="s">
        <v>1827</v>
      </c>
      <c r="F377" s="538" t="s">
        <v>1500</v>
      </c>
      <c r="G377" s="539" t="b">
        <v>1</v>
      </c>
      <c r="H377" s="539" t="b">
        <v>1</v>
      </c>
      <c r="I377" s="539" t="b">
        <v>0</v>
      </c>
      <c r="J377" s="531"/>
    </row>
    <row r="378">
      <c r="A378" s="531"/>
      <c r="B378" s="532"/>
      <c r="C378" s="533"/>
      <c r="D378" s="534">
        <v>43879.0</v>
      </c>
      <c r="E378" s="538" t="s">
        <v>1828</v>
      </c>
      <c r="F378" s="538" t="s">
        <v>1501</v>
      </c>
      <c r="G378" s="540" t="s">
        <v>1502</v>
      </c>
      <c r="H378" s="540" t="s">
        <v>1502</v>
      </c>
      <c r="I378" s="539" t="b">
        <v>0</v>
      </c>
      <c r="J378" s="531"/>
    </row>
    <row r="379">
      <c r="A379" s="531"/>
      <c r="B379" s="532"/>
      <c r="C379" s="533"/>
      <c r="D379" s="534">
        <v>43879.0</v>
      </c>
      <c r="E379" s="538" t="s">
        <v>1828</v>
      </c>
      <c r="F379" s="538" t="s">
        <v>1500</v>
      </c>
      <c r="G379" s="539" t="b">
        <v>1</v>
      </c>
      <c r="H379" s="539" t="b">
        <v>1</v>
      </c>
      <c r="I379" s="539" t="b">
        <v>0</v>
      </c>
      <c r="J379" s="531"/>
    </row>
    <row r="380">
      <c r="A380" s="531"/>
      <c r="B380" s="532"/>
      <c r="C380" s="533"/>
      <c r="D380" s="534">
        <v>43879.0</v>
      </c>
      <c r="E380" s="538" t="s">
        <v>1831</v>
      </c>
      <c r="F380" s="538" t="s">
        <v>1501</v>
      </c>
      <c r="G380" s="540" t="s">
        <v>1502</v>
      </c>
      <c r="H380" s="540" t="s">
        <v>1502</v>
      </c>
      <c r="I380" s="539" t="b">
        <v>0</v>
      </c>
      <c r="J380" s="531"/>
    </row>
    <row r="381">
      <c r="A381" s="531"/>
      <c r="B381" s="532"/>
      <c r="C381" s="533"/>
      <c r="D381" s="534">
        <v>43879.0</v>
      </c>
      <c r="E381" s="538" t="s">
        <v>1831</v>
      </c>
      <c r="F381" s="538" t="s">
        <v>1500</v>
      </c>
      <c r="G381" s="539" t="b">
        <v>1</v>
      </c>
      <c r="H381" s="539" t="b">
        <v>1</v>
      </c>
      <c r="I381" s="539" t="b">
        <v>0</v>
      </c>
      <c r="J381" s="531"/>
    </row>
    <row r="382">
      <c r="A382" s="531"/>
      <c r="B382" s="532"/>
      <c r="C382" s="533"/>
      <c r="D382" s="534">
        <v>43879.0</v>
      </c>
      <c r="E382" s="538" t="s">
        <v>1832</v>
      </c>
      <c r="F382" s="538" t="s">
        <v>1501</v>
      </c>
      <c r="G382" s="540" t="s">
        <v>1502</v>
      </c>
      <c r="H382" s="540" t="s">
        <v>1502</v>
      </c>
      <c r="I382" s="539" t="b">
        <v>0</v>
      </c>
      <c r="J382" s="531"/>
    </row>
    <row r="383">
      <c r="A383" s="531"/>
      <c r="B383" s="532"/>
      <c r="C383" s="533"/>
      <c r="D383" s="534">
        <v>43879.0</v>
      </c>
      <c r="E383" s="538" t="s">
        <v>1832</v>
      </c>
      <c r="F383" s="538" t="s">
        <v>1500</v>
      </c>
      <c r="G383" s="539" t="b">
        <v>1</v>
      </c>
      <c r="H383" s="539" t="b">
        <v>1</v>
      </c>
      <c r="I383" s="539" t="b">
        <v>0</v>
      </c>
      <c r="J383" s="531"/>
    </row>
    <row r="384">
      <c r="A384" s="531"/>
      <c r="B384" s="532"/>
      <c r="C384" s="533"/>
      <c r="D384" s="534">
        <v>43879.0</v>
      </c>
      <c r="E384" s="538" t="s">
        <v>1833</v>
      </c>
      <c r="F384" s="538" t="s">
        <v>1501</v>
      </c>
      <c r="G384" s="540" t="s">
        <v>1502</v>
      </c>
      <c r="H384" s="540" t="s">
        <v>1502</v>
      </c>
      <c r="I384" s="539" t="b">
        <v>0</v>
      </c>
      <c r="J384" s="531"/>
    </row>
    <row r="385">
      <c r="A385" s="531"/>
      <c r="B385" s="532"/>
      <c r="C385" s="533"/>
      <c r="D385" s="534">
        <v>43879.0</v>
      </c>
      <c r="E385" s="538" t="s">
        <v>1833</v>
      </c>
      <c r="F385" s="538" t="s">
        <v>1500</v>
      </c>
      <c r="G385" s="539" t="b">
        <v>1</v>
      </c>
      <c r="H385" s="539" t="b">
        <v>1</v>
      </c>
      <c r="I385" s="539" t="b">
        <v>0</v>
      </c>
      <c r="J385" s="531"/>
    </row>
    <row r="386">
      <c r="A386" s="531"/>
      <c r="B386" s="532"/>
      <c r="C386" s="533"/>
      <c r="D386" s="534">
        <v>43879.0</v>
      </c>
      <c r="E386" s="538" t="s">
        <v>1835</v>
      </c>
      <c r="F386" s="538" t="s">
        <v>1501</v>
      </c>
      <c r="G386" s="540" t="s">
        <v>1502</v>
      </c>
      <c r="H386" s="540" t="s">
        <v>1502</v>
      </c>
      <c r="I386" s="539" t="b">
        <v>0</v>
      </c>
      <c r="J386" s="531"/>
    </row>
    <row r="387">
      <c r="A387" s="531"/>
      <c r="B387" s="532"/>
      <c r="C387" s="533"/>
      <c r="D387" s="534">
        <v>43879.0</v>
      </c>
      <c r="E387" s="538" t="s">
        <v>1835</v>
      </c>
      <c r="F387" s="538" t="s">
        <v>1500</v>
      </c>
      <c r="G387" s="539" t="b">
        <v>1</v>
      </c>
      <c r="H387" s="539" t="b">
        <v>1</v>
      </c>
      <c r="I387" s="539" t="b">
        <v>0</v>
      </c>
      <c r="J387" s="531"/>
    </row>
    <row r="388">
      <c r="A388" s="531"/>
      <c r="B388" s="532"/>
      <c r="C388" s="533"/>
      <c r="D388" s="534">
        <v>43879.0</v>
      </c>
      <c r="E388" s="538" t="s">
        <v>1836</v>
      </c>
      <c r="F388" s="538" t="s">
        <v>1501</v>
      </c>
      <c r="G388" s="540" t="s">
        <v>1502</v>
      </c>
      <c r="H388" s="540" t="s">
        <v>1502</v>
      </c>
      <c r="I388" s="539" t="b">
        <v>0</v>
      </c>
      <c r="J388" s="531"/>
    </row>
    <row r="389">
      <c r="A389" s="531"/>
      <c r="B389" s="532"/>
      <c r="C389" s="533"/>
      <c r="D389" s="534">
        <v>43879.0</v>
      </c>
      <c r="E389" s="538" t="s">
        <v>1836</v>
      </c>
      <c r="F389" s="538" t="s">
        <v>1500</v>
      </c>
      <c r="G389" s="539" t="b">
        <v>1</v>
      </c>
      <c r="H389" s="539" t="b">
        <v>1</v>
      </c>
      <c r="I389" s="539" t="b">
        <v>0</v>
      </c>
      <c r="J389" s="531"/>
    </row>
    <row r="390">
      <c r="A390" s="531"/>
      <c r="B390" s="532"/>
      <c r="C390" s="533"/>
      <c r="D390" s="534">
        <v>43879.0</v>
      </c>
      <c r="E390" s="538" t="s">
        <v>1840</v>
      </c>
      <c r="F390" s="538" t="s">
        <v>1501</v>
      </c>
      <c r="G390" s="540" t="s">
        <v>1502</v>
      </c>
      <c r="H390" s="540" t="s">
        <v>1502</v>
      </c>
      <c r="I390" s="539" t="b">
        <v>0</v>
      </c>
      <c r="J390" s="531"/>
    </row>
    <row r="391">
      <c r="A391" s="531"/>
      <c r="B391" s="532"/>
      <c r="C391" s="533"/>
      <c r="D391" s="534">
        <v>43879.0</v>
      </c>
      <c r="E391" s="538" t="s">
        <v>1840</v>
      </c>
      <c r="F391" s="538" t="s">
        <v>1500</v>
      </c>
      <c r="G391" s="539" t="b">
        <v>1</v>
      </c>
      <c r="H391" s="539" t="b">
        <v>1</v>
      </c>
      <c r="I391" s="539" t="b">
        <v>0</v>
      </c>
      <c r="J391" s="531"/>
    </row>
    <row r="392">
      <c r="A392" s="531"/>
      <c r="B392" s="532"/>
      <c r="C392" s="533"/>
      <c r="D392" s="534">
        <v>43879.0</v>
      </c>
      <c r="E392" s="538" t="s">
        <v>1841</v>
      </c>
      <c r="F392" s="538" t="s">
        <v>1501</v>
      </c>
      <c r="G392" s="540" t="s">
        <v>1502</v>
      </c>
      <c r="H392" s="540" t="s">
        <v>1502</v>
      </c>
      <c r="I392" s="539" t="b">
        <v>0</v>
      </c>
      <c r="J392" s="531"/>
    </row>
    <row r="393">
      <c r="A393" s="531"/>
      <c r="B393" s="532"/>
      <c r="C393" s="533"/>
      <c r="D393" s="534">
        <v>43879.0</v>
      </c>
      <c r="E393" s="538" t="s">
        <v>1841</v>
      </c>
      <c r="F393" s="538" t="s">
        <v>1500</v>
      </c>
      <c r="G393" s="539" t="b">
        <v>1</v>
      </c>
      <c r="H393" s="539" t="b">
        <v>1</v>
      </c>
      <c r="I393" s="539" t="b">
        <v>0</v>
      </c>
      <c r="J393" s="531"/>
    </row>
    <row r="394">
      <c r="A394" s="531"/>
      <c r="B394" s="532"/>
      <c r="C394" s="533"/>
      <c r="D394" s="534">
        <v>43879.0</v>
      </c>
      <c r="E394" s="538" t="s">
        <v>1841</v>
      </c>
      <c r="F394" s="538" t="s">
        <v>1843</v>
      </c>
      <c r="G394" s="550" t="s">
        <v>1502</v>
      </c>
      <c r="H394" s="550" t="s">
        <v>1502</v>
      </c>
      <c r="I394" s="539" t="b">
        <v>0</v>
      </c>
      <c r="J394" s="531"/>
    </row>
    <row r="395">
      <c r="A395" s="531"/>
      <c r="B395" s="532"/>
      <c r="C395" s="533"/>
      <c r="D395" s="534">
        <v>43879.0</v>
      </c>
      <c r="E395" s="538" t="s">
        <v>1676</v>
      </c>
      <c r="F395" s="538" t="s">
        <v>1843</v>
      </c>
      <c r="G395" s="550" t="s">
        <v>1502</v>
      </c>
      <c r="H395" s="550" t="s">
        <v>1502</v>
      </c>
      <c r="I395" s="539" t="b">
        <v>0</v>
      </c>
      <c r="J395" s="531"/>
    </row>
    <row r="396">
      <c r="A396" s="531"/>
      <c r="B396" s="532"/>
      <c r="C396" s="533"/>
      <c r="D396" s="534">
        <v>43879.0</v>
      </c>
      <c r="E396" s="538" t="s">
        <v>1845</v>
      </c>
      <c r="F396" s="538" t="s">
        <v>1500</v>
      </c>
      <c r="G396" s="539" t="b">
        <v>1</v>
      </c>
      <c r="H396" s="539" t="b">
        <v>1</v>
      </c>
      <c r="I396" s="539" t="b">
        <v>0</v>
      </c>
      <c r="J396" s="531"/>
    </row>
    <row r="397">
      <c r="A397" s="531"/>
      <c r="B397" s="532"/>
      <c r="C397" s="533"/>
      <c r="D397" s="534">
        <v>43879.0</v>
      </c>
      <c r="E397" s="538" t="s">
        <v>1846</v>
      </c>
      <c r="F397" s="538" t="s">
        <v>1500</v>
      </c>
      <c r="G397" s="539" t="b">
        <v>1</v>
      </c>
      <c r="H397" s="539" t="b">
        <v>1</v>
      </c>
      <c r="I397" s="539" t="b">
        <v>0</v>
      </c>
      <c r="J397" s="531"/>
    </row>
    <row r="398">
      <c r="A398" s="531"/>
      <c r="B398" s="532"/>
      <c r="C398" s="533"/>
      <c r="D398" s="534">
        <v>43879.0</v>
      </c>
      <c r="E398" s="538" t="s">
        <v>1847</v>
      </c>
      <c r="F398" s="538" t="s">
        <v>1848</v>
      </c>
      <c r="G398" s="539" t="b">
        <v>1</v>
      </c>
      <c r="H398" s="539" t="b">
        <v>1</v>
      </c>
      <c r="I398" s="539" t="b">
        <v>0</v>
      </c>
      <c r="J398" s="538" t="s">
        <v>1849</v>
      </c>
    </row>
    <row r="399">
      <c r="A399" s="531"/>
      <c r="B399" s="532"/>
      <c r="C399" s="533"/>
      <c r="D399" s="534">
        <v>43874.0</v>
      </c>
      <c r="E399" s="538" t="s">
        <v>1850</v>
      </c>
      <c r="F399" s="538" t="s">
        <v>1501</v>
      </c>
      <c r="G399" s="540" t="s">
        <v>1502</v>
      </c>
      <c r="H399" s="540" t="s">
        <v>1502</v>
      </c>
      <c r="I399" s="539" t="b">
        <v>0</v>
      </c>
      <c r="J399" s="531"/>
    </row>
    <row r="400">
      <c r="A400" s="531"/>
      <c r="B400" s="532"/>
      <c r="C400" s="533"/>
      <c r="D400" s="534">
        <v>43874.0</v>
      </c>
      <c r="E400" s="538" t="s">
        <v>1850</v>
      </c>
      <c r="F400" s="538" t="s">
        <v>1500</v>
      </c>
      <c r="G400" s="539" t="b">
        <v>1</v>
      </c>
      <c r="H400" s="539" t="b">
        <v>1</v>
      </c>
      <c r="I400" s="539" t="b">
        <v>0</v>
      </c>
      <c r="J400" s="531"/>
    </row>
    <row r="401">
      <c r="A401" s="531"/>
      <c r="B401" s="532"/>
      <c r="C401" s="533"/>
      <c r="D401" s="534">
        <v>43874.0</v>
      </c>
      <c r="E401" s="538" t="s">
        <v>1851</v>
      </c>
      <c r="F401" s="538" t="s">
        <v>1852</v>
      </c>
      <c r="G401" s="539" t="b">
        <v>1</v>
      </c>
      <c r="H401" s="539" t="b">
        <v>1</v>
      </c>
      <c r="I401" s="539" t="b">
        <v>0</v>
      </c>
      <c r="J401" s="531"/>
    </row>
    <row r="402">
      <c r="A402" s="531"/>
      <c r="B402" s="532"/>
      <c r="C402" s="533"/>
      <c r="D402" s="534">
        <v>43874.0</v>
      </c>
      <c r="E402" s="538" t="s">
        <v>1853</v>
      </c>
      <c r="F402" s="538" t="s">
        <v>1501</v>
      </c>
      <c r="G402" s="540" t="s">
        <v>1502</v>
      </c>
      <c r="H402" s="540" t="s">
        <v>1502</v>
      </c>
      <c r="I402" s="539" t="b">
        <v>0</v>
      </c>
      <c r="J402" s="531"/>
    </row>
    <row r="403">
      <c r="A403" s="531"/>
      <c r="B403" s="532"/>
      <c r="C403" s="533"/>
      <c r="D403" s="534">
        <v>43874.0</v>
      </c>
      <c r="E403" s="538" t="s">
        <v>1853</v>
      </c>
      <c r="F403" s="538" t="s">
        <v>1500</v>
      </c>
      <c r="G403" s="539" t="b">
        <v>1</v>
      </c>
      <c r="H403" s="539" t="b">
        <v>1</v>
      </c>
      <c r="I403" s="539" t="b">
        <v>0</v>
      </c>
      <c r="J403" s="531"/>
    </row>
    <row r="404">
      <c r="A404" s="531"/>
      <c r="B404" s="532"/>
      <c r="C404" s="533"/>
      <c r="D404" s="534">
        <v>43874.0</v>
      </c>
      <c r="E404" s="538" t="s">
        <v>759</v>
      </c>
      <c r="F404" s="538" t="s">
        <v>1501</v>
      </c>
      <c r="G404" s="540" t="s">
        <v>1502</v>
      </c>
      <c r="H404" s="540" t="s">
        <v>1502</v>
      </c>
      <c r="I404" s="539" t="b">
        <v>0</v>
      </c>
      <c r="J404" s="531"/>
    </row>
    <row r="405">
      <c r="A405" s="531"/>
      <c r="B405" s="532"/>
      <c r="C405" s="533"/>
      <c r="D405" s="534">
        <v>43874.0</v>
      </c>
      <c r="E405" s="538" t="s">
        <v>759</v>
      </c>
      <c r="F405" s="538" t="s">
        <v>1500</v>
      </c>
      <c r="G405" s="539" t="b">
        <v>1</v>
      </c>
      <c r="H405" s="539" t="b">
        <v>1</v>
      </c>
      <c r="I405" s="539" t="b">
        <v>0</v>
      </c>
      <c r="J405" s="531"/>
    </row>
    <row r="406">
      <c r="A406" s="531"/>
      <c r="B406" s="532"/>
      <c r="C406" s="533"/>
      <c r="D406" s="534">
        <v>43874.0</v>
      </c>
      <c r="E406" s="538" t="s">
        <v>1858</v>
      </c>
      <c r="F406" s="538" t="s">
        <v>1501</v>
      </c>
      <c r="G406" s="540" t="s">
        <v>1502</v>
      </c>
      <c r="H406" s="540" t="s">
        <v>1502</v>
      </c>
      <c r="I406" s="539" t="b">
        <v>0</v>
      </c>
      <c r="J406" s="531"/>
    </row>
    <row r="407">
      <c r="A407" s="531"/>
      <c r="B407" s="532"/>
      <c r="C407" s="533"/>
      <c r="D407" s="534">
        <v>43874.0</v>
      </c>
      <c r="E407" s="538" t="s">
        <v>1858</v>
      </c>
      <c r="F407" s="538" t="s">
        <v>1500</v>
      </c>
      <c r="G407" s="539" t="b">
        <v>1</v>
      </c>
      <c r="H407" s="539" t="b">
        <v>1</v>
      </c>
      <c r="I407" s="539" t="b">
        <v>0</v>
      </c>
      <c r="J407" s="531"/>
    </row>
    <row r="408">
      <c r="A408" s="531"/>
      <c r="B408" s="532"/>
      <c r="C408" s="533"/>
      <c r="D408" s="534">
        <v>43874.0</v>
      </c>
      <c r="E408" s="538" t="s">
        <v>1859</v>
      </c>
      <c r="F408" s="538" t="s">
        <v>1500</v>
      </c>
      <c r="G408" s="539" t="b">
        <v>1</v>
      </c>
      <c r="H408" s="539" t="b">
        <v>1</v>
      </c>
      <c r="I408" s="539" t="b">
        <v>0</v>
      </c>
      <c r="J408" s="531"/>
    </row>
    <row r="409">
      <c r="A409" s="531"/>
      <c r="B409" s="532"/>
      <c r="C409" s="533"/>
      <c r="D409" s="534">
        <v>43874.0</v>
      </c>
      <c r="E409" s="538" t="s">
        <v>1861</v>
      </c>
      <c r="F409" s="538" t="s">
        <v>1501</v>
      </c>
      <c r="G409" s="540" t="s">
        <v>1502</v>
      </c>
      <c r="H409" s="540" t="s">
        <v>1502</v>
      </c>
      <c r="I409" s="539" t="b">
        <v>0</v>
      </c>
      <c r="J409" s="531"/>
    </row>
    <row r="410">
      <c r="A410" s="531"/>
      <c r="B410" s="532"/>
      <c r="C410" s="533"/>
      <c r="D410" s="534">
        <v>43874.0</v>
      </c>
      <c r="E410" s="538" t="s">
        <v>1861</v>
      </c>
      <c r="F410" s="538" t="s">
        <v>1500</v>
      </c>
      <c r="G410" s="539" t="b">
        <v>1</v>
      </c>
      <c r="H410" s="539" t="b">
        <v>1</v>
      </c>
      <c r="I410" s="539" t="b">
        <v>0</v>
      </c>
      <c r="J410" s="531"/>
    </row>
    <row r="411">
      <c r="A411" s="531"/>
      <c r="B411" s="532"/>
      <c r="C411" s="533"/>
      <c r="D411" s="534">
        <v>43874.0</v>
      </c>
      <c r="E411" s="538" t="s">
        <v>1862</v>
      </c>
      <c r="F411" s="538" t="s">
        <v>1501</v>
      </c>
      <c r="G411" s="540" t="s">
        <v>1502</v>
      </c>
      <c r="H411" s="540" t="s">
        <v>1502</v>
      </c>
      <c r="I411" s="539" t="b">
        <v>0</v>
      </c>
      <c r="J411" s="531"/>
    </row>
    <row r="412">
      <c r="A412" s="531"/>
      <c r="B412" s="532"/>
      <c r="C412" s="533"/>
      <c r="D412" s="534">
        <v>43874.0</v>
      </c>
      <c r="E412" s="538" t="s">
        <v>1862</v>
      </c>
      <c r="F412" s="538" t="s">
        <v>1500</v>
      </c>
      <c r="G412" s="539" t="b">
        <v>1</v>
      </c>
      <c r="H412" s="539" t="b">
        <v>1</v>
      </c>
      <c r="I412" s="539" t="b">
        <v>0</v>
      </c>
      <c r="J412" s="531"/>
    </row>
    <row r="413">
      <c r="A413" s="531"/>
      <c r="B413" s="532"/>
      <c r="C413" s="533"/>
      <c r="D413" s="534">
        <v>43874.0</v>
      </c>
      <c r="E413" s="538" t="s">
        <v>525</v>
      </c>
      <c r="F413" s="538" t="s">
        <v>1501</v>
      </c>
      <c r="G413" s="540" t="s">
        <v>1502</v>
      </c>
      <c r="H413" s="540" t="s">
        <v>1502</v>
      </c>
      <c r="I413" s="539" t="b">
        <v>0</v>
      </c>
      <c r="J413" s="531"/>
    </row>
    <row r="414">
      <c r="A414" s="531"/>
      <c r="B414" s="532"/>
      <c r="C414" s="533"/>
      <c r="D414" s="534">
        <v>43874.0</v>
      </c>
      <c r="E414" s="538" t="s">
        <v>525</v>
      </c>
      <c r="F414" s="538" t="s">
        <v>1500</v>
      </c>
      <c r="G414" s="539" t="b">
        <v>1</v>
      </c>
      <c r="H414" s="539" t="b">
        <v>1</v>
      </c>
      <c r="I414" s="539" t="b">
        <v>0</v>
      </c>
      <c r="J414" s="531"/>
    </row>
    <row r="415">
      <c r="A415" s="531"/>
      <c r="B415" s="532"/>
      <c r="C415" s="533"/>
      <c r="D415" s="534">
        <v>43874.0</v>
      </c>
      <c r="E415" s="538" t="s">
        <v>1863</v>
      </c>
      <c r="F415" s="538" t="s">
        <v>1501</v>
      </c>
      <c r="G415" s="540" t="s">
        <v>1502</v>
      </c>
      <c r="H415" s="540" t="s">
        <v>1502</v>
      </c>
      <c r="I415" s="539" t="b">
        <v>0</v>
      </c>
      <c r="J415" s="531"/>
    </row>
    <row r="416">
      <c r="A416" s="531"/>
      <c r="B416" s="532"/>
      <c r="C416" s="533"/>
      <c r="D416" s="534">
        <v>43874.0</v>
      </c>
      <c r="E416" s="538" t="s">
        <v>1863</v>
      </c>
      <c r="F416" s="538" t="s">
        <v>1500</v>
      </c>
      <c r="G416" s="539" t="b">
        <v>1</v>
      </c>
      <c r="H416" s="539" t="b">
        <v>1</v>
      </c>
      <c r="I416" s="539" t="b">
        <v>0</v>
      </c>
      <c r="J416" s="531"/>
    </row>
    <row r="417">
      <c r="A417" s="531"/>
      <c r="B417" s="532"/>
      <c r="C417" s="533"/>
      <c r="D417" s="534">
        <v>43874.0</v>
      </c>
      <c r="E417" s="538" t="s">
        <v>1864</v>
      </c>
      <c r="F417" s="538" t="s">
        <v>1501</v>
      </c>
      <c r="G417" s="540" t="s">
        <v>1502</v>
      </c>
      <c r="H417" s="540" t="s">
        <v>1502</v>
      </c>
      <c r="I417" s="539" t="b">
        <v>0</v>
      </c>
      <c r="J417" s="531"/>
    </row>
    <row r="418">
      <c r="A418" s="531"/>
      <c r="B418" s="532"/>
      <c r="C418" s="533"/>
      <c r="D418" s="534">
        <v>43874.0</v>
      </c>
      <c r="E418" s="538" t="s">
        <v>1864</v>
      </c>
      <c r="F418" s="538" t="s">
        <v>1500</v>
      </c>
      <c r="G418" s="539" t="b">
        <v>1</v>
      </c>
      <c r="H418" s="539" t="b">
        <v>1</v>
      </c>
      <c r="I418" s="539" t="b">
        <v>0</v>
      </c>
      <c r="J418" s="531"/>
    </row>
    <row r="419">
      <c r="A419" s="531"/>
      <c r="B419" s="532"/>
      <c r="C419" s="533"/>
      <c r="D419" s="534">
        <v>43874.0</v>
      </c>
      <c r="E419" s="538" t="s">
        <v>1868</v>
      </c>
      <c r="F419" s="538" t="s">
        <v>1501</v>
      </c>
      <c r="G419" s="540" t="s">
        <v>1502</v>
      </c>
      <c r="H419" s="540" t="s">
        <v>1502</v>
      </c>
      <c r="I419" s="539" t="b">
        <v>0</v>
      </c>
      <c r="J419" s="531"/>
    </row>
    <row r="420">
      <c r="A420" s="531"/>
      <c r="B420" s="532"/>
      <c r="C420" s="533"/>
      <c r="D420" s="534">
        <v>43874.0</v>
      </c>
      <c r="E420" s="538" t="s">
        <v>1868</v>
      </c>
      <c r="F420" s="538" t="s">
        <v>1500</v>
      </c>
      <c r="G420" s="539" t="b">
        <v>1</v>
      </c>
      <c r="H420" s="539" t="b">
        <v>1</v>
      </c>
      <c r="I420" s="539" t="b">
        <v>0</v>
      </c>
      <c r="J420" s="531"/>
    </row>
    <row r="421">
      <c r="A421" s="531"/>
      <c r="B421" s="532"/>
      <c r="C421" s="533"/>
      <c r="D421" s="534">
        <v>43874.0</v>
      </c>
      <c r="E421" s="538" t="s">
        <v>216</v>
      </c>
      <c r="F421" s="538" t="s">
        <v>1501</v>
      </c>
      <c r="G421" s="540" t="s">
        <v>1502</v>
      </c>
      <c r="H421" s="540" t="s">
        <v>1502</v>
      </c>
      <c r="I421" s="539" t="b">
        <v>0</v>
      </c>
      <c r="J421" s="531"/>
    </row>
    <row r="422">
      <c r="A422" s="531"/>
      <c r="B422" s="532"/>
      <c r="C422" s="533"/>
      <c r="D422" s="534">
        <v>43874.0</v>
      </c>
      <c r="E422" s="538" t="s">
        <v>216</v>
      </c>
      <c r="F422" s="538" t="s">
        <v>1500</v>
      </c>
      <c r="G422" s="539" t="b">
        <v>1</v>
      </c>
      <c r="H422" s="539" t="b">
        <v>1</v>
      </c>
      <c r="I422" s="539" t="b">
        <v>0</v>
      </c>
      <c r="J422" s="531"/>
    </row>
    <row r="423">
      <c r="A423" s="531"/>
      <c r="B423" s="532"/>
      <c r="C423" s="533"/>
      <c r="D423" s="534">
        <v>43874.0</v>
      </c>
      <c r="E423" s="538" t="s">
        <v>1872</v>
      </c>
      <c r="F423" s="538" t="s">
        <v>1501</v>
      </c>
      <c r="G423" s="540" t="s">
        <v>1502</v>
      </c>
      <c r="H423" s="540" t="s">
        <v>1502</v>
      </c>
      <c r="I423" s="539" t="b">
        <v>0</v>
      </c>
      <c r="J423" s="531"/>
    </row>
    <row r="424">
      <c r="A424" s="531"/>
      <c r="B424" s="532"/>
      <c r="C424" s="533"/>
      <c r="D424" s="534">
        <v>43874.0</v>
      </c>
      <c r="E424" s="538" t="s">
        <v>1872</v>
      </c>
      <c r="F424" s="538" t="s">
        <v>1500</v>
      </c>
      <c r="G424" s="539" t="b">
        <v>1</v>
      </c>
      <c r="H424" s="539" t="b">
        <v>1</v>
      </c>
      <c r="I424" s="539" t="b">
        <v>0</v>
      </c>
      <c r="J424" s="531"/>
    </row>
    <row r="425">
      <c r="A425" s="531"/>
      <c r="B425" s="532"/>
      <c r="C425" s="533"/>
      <c r="D425" s="534">
        <v>43874.0</v>
      </c>
      <c r="E425" s="538" t="s">
        <v>1868</v>
      </c>
      <c r="F425" s="538" t="s">
        <v>1874</v>
      </c>
      <c r="G425" s="540" t="s">
        <v>1502</v>
      </c>
      <c r="H425" s="540" t="s">
        <v>1502</v>
      </c>
      <c r="I425" s="539" t="b">
        <v>0</v>
      </c>
      <c r="J425" s="531"/>
    </row>
    <row r="426">
      <c r="A426" s="531"/>
      <c r="B426" s="532"/>
      <c r="C426" s="533"/>
      <c r="D426" s="534">
        <v>43838.0</v>
      </c>
      <c r="E426" s="538" t="s">
        <v>1878</v>
      </c>
      <c r="F426" s="538" t="s">
        <v>1500</v>
      </c>
      <c r="G426" s="539" t="b">
        <v>1</v>
      </c>
      <c r="H426" s="539" t="b">
        <v>1</v>
      </c>
      <c r="I426" s="539" t="b">
        <v>1</v>
      </c>
      <c r="J426" s="531"/>
    </row>
    <row r="427">
      <c r="A427" s="531"/>
      <c r="B427" s="532"/>
      <c r="C427" s="533"/>
      <c r="D427" s="534">
        <v>43838.0</v>
      </c>
      <c r="E427" s="538" t="s">
        <v>1879</v>
      </c>
      <c r="F427" s="538" t="s">
        <v>1500</v>
      </c>
      <c r="G427" s="539" t="b">
        <v>1</v>
      </c>
      <c r="H427" s="539" t="b">
        <v>1</v>
      </c>
      <c r="I427" s="539" t="b">
        <v>1</v>
      </c>
      <c r="J427" s="531"/>
    </row>
    <row r="428">
      <c r="A428" s="531"/>
      <c r="B428" s="532"/>
      <c r="C428" s="533"/>
      <c r="D428" s="534">
        <v>43838.0</v>
      </c>
      <c r="E428" s="538" t="s">
        <v>1878</v>
      </c>
      <c r="F428" s="538" t="s">
        <v>1501</v>
      </c>
      <c r="G428" s="540" t="s">
        <v>1502</v>
      </c>
      <c r="H428" s="540" t="s">
        <v>1502</v>
      </c>
      <c r="I428" s="539" t="b">
        <v>1</v>
      </c>
      <c r="J428" s="531"/>
    </row>
    <row r="429">
      <c r="A429" s="531"/>
      <c r="B429" s="532"/>
      <c r="C429" s="533"/>
      <c r="D429" s="534">
        <v>43838.0</v>
      </c>
      <c r="E429" s="538" t="s">
        <v>1879</v>
      </c>
      <c r="F429" s="538" t="s">
        <v>1501</v>
      </c>
      <c r="G429" s="540" t="s">
        <v>1502</v>
      </c>
      <c r="H429" s="540" t="s">
        <v>1502</v>
      </c>
      <c r="I429" s="539" t="b">
        <v>1</v>
      </c>
      <c r="J429" s="531"/>
    </row>
    <row r="430" ht="11.25" customHeight="1">
      <c r="A430" s="552"/>
      <c r="B430" s="553"/>
      <c r="C430" s="553"/>
      <c r="D430" s="555">
        <v>43838.0</v>
      </c>
      <c r="E430" s="556" t="s">
        <v>1886</v>
      </c>
      <c r="F430" s="553"/>
      <c r="G430" s="553"/>
      <c r="H430" s="553"/>
      <c r="I430" s="553"/>
      <c r="J430" s="557"/>
    </row>
    <row r="431">
      <c r="A431" s="531"/>
      <c r="B431" s="532"/>
      <c r="C431" s="533"/>
      <c r="D431" s="534">
        <v>43825.0</v>
      </c>
      <c r="E431" s="538" t="s">
        <v>1887</v>
      </c>
      <c r="F431" s="538" t="s">
        <v>1888</v>
      </c>
      <c r="G431" s="540" t="s">
        <v>1502</v>
      </c>
      <c r="H431" s="540" t="s">
        <v>1502</v>
      </c>
      <c r="I431" s="539" t="b">
        <v>1</v>
      </c>
      <c r="J431" s="531"/>
    </row>
    <row r="432">
      <c r="A432" s="531"/>
      <c r="B432" s="532"/>
      <c r="C432" s="533"/>
      <c r="D432" s="534">
        <v>43825.0</v>
      </c>
      <c r="E432" s="538" t="s">
        <v>1889</v>
      </c>
      <c r="F432" s="538" t="s">
        <v>1888</v>
      </c>
      <c r="G432" s="540" t="s">
        <v>1502</v>
      </c>
      <c r="H432" s="540" t="s">
        <v>1502</v>
      </c>
      <c r="I432" s="539" t="b">
        <v>1</v>
      </c>
      <c r="J432" s="531"/>
    </row>
    <row r="433">
      <c r="A433" s="531"/>
      <c r="B433" s="532"/>
      <c r="C433" s="533"/>
      <c r="D433" s="534">
        <v>43825.0</v>
      </c>
      <c r="E433" s="538" t="s">
        <v>1887</v>
      </c>
      <c r="F433" s="538" t="s">
        <v>1890</v>
      </c>
      <c r="G433" s="539" t="b">
        <v>1</v>
      </c>
      <c r="H433" s="539" t="b">
        <v>1</v>
      </c>
      <c r="I433" s="539" t="b">
        <v>1</v>
      </c>
      <c r="J433" s="531"/>
    </row>
    <row r="434">
      <c r="A434" s="531"/>
      <c r="B434" s="532"/>
      <c r="C434" s="533"/>
      <c r="D434" s="534">
        <v>43825.0</v>
      </c>
      <c r="E434" s="538" t="s">
        <v>1889</v>
      </c>
      <c r="F434" s="538" t="s">
        <v>1890</v>
      </c>
      <c r="G434" s="539" t="b">
        <v>1</v>
      </c>
      <c r="H434" s="539" t="b">
        <v>1</v>
      </c>
      <c r="I434" s="539" t="b">
        <v>1</v>
      </c>
      <c r="J434" s="531"/>
    </row>
    <row r="435">
      <c r="A435" s="531"/>
      <c r="B435" s="532"/>
      <c r="C435" s="533"/>
      <c r="D435" s="534">
        <v>43816.0</v>
      </c>
      <c r="E435" s="538" t="s">
        <v>1891</v>
      </c>
      <c r="F435" s="538" t="s">
        <v>1501</v>
      </c>
      <c r="G435" s="540" t="s">
        <v>1502</v>
      </c>
      <c r="H435" s="540" t="s">
        <v>1502</v>
      </c>
      <c r="I435" s="539" t="b">
        <v>1</v>
      </c>
      <c r="J435" s="531"/>
    </row>
    <row r="436">
      <c r="A436" s="531"/>
      <c r="B436" s="532"/>
      <c r="C436" s="533"/>
      <c r="D436" s="534">
        <v>43816.0</v>
      </c>
      <c r="E436" s="538" t="s">
        <v>1893</v>
      </c>
      <c r="F436" s="538" t="s">
        <v>1501</v>
      </c>
      <c r="G436" s="540" t="s">
        <v>1502</v>
      </c>
      <c r="H436" s="540" t="s">
        <v>1502</v>
      </c>
      <c r="I436" s="539" t="b">
        <v>1</v>
      </c>
      <c r="J436" s="531"/>
    </row>
    <row r="437">
      <c r="A437" s="531"/>
      <c r="B437" s="532"/>
      <c r="C437" s="533"/>
      <c r="D437" s="534">
        <v>43816.0</v>
      </c>
      <c r="E437" s="538" t="s">
        <v>1895</v>
      </c>
      <c r="F437" s="538" t="s">
        <v>1501</v>
      </c>
      <c r="G437" s="540" t="s">
        <v>1502</v>
      </c>
      <c r="H437" s="540" t="s">
        <v>1502</v>
      </c>
      <c r="I437" s="539" t="b">
        <v>1</v>
      </c>
      <c r="J437" s="531"/>
    </row>
    <row r="438">
      <c r="A438" s="531"/>
      <c r="B438" s="532"/>
      <c r="C438" s="533"/>
      <c r="D438" s="534">
        <v>43816.0</v>
      </c>
      <c r="E438" s="538" t="s">
        <v>1896</v>
      </c>
      <c r="F438" s="538" t="s">
        <v>1501</v>
      </c>
      <c r="G438" s="540" t="s">
        <v>1502</v>
      </c>
      <c r="H438" s="540" t="s">
        <v>1502</v>
      </c>
      <c r="I438" s="539" t="b">
        <v>1</v>
      </c>
      <c r="J438" s="531"/>
    </row>
    <row r="439">
      <c r="A439" s="531"/>
      <c r="B439" s="532"/>
      <c r="C439" s="533"/>
      <c r="D439" s="534">
        <v>43816.0</v>
      </c>
      <c r="E439" s="538" t="s">
        <v>1897</v>
      </c>
      <c r="F439" s="538" t="s">
        <v>1501</v>
      </c>
      <c r="G439" s="540" t="s">
        <v>1502</v>
      </c>
      <c r="H439" s="540" t="s">
        <v>1502</v>
      </c>
      <c r="I439" s="539" t="b">
        <v>1</v>
      </c>
      <c r="J439" s="531"/>
    </row>
    <row r="440">
      <c r="A440" s="531"/>
      <c r="B440" s="532"/>
      <c r="C440" s="533"/>
      <c r="D440" s="534">
        <v>43816.0</v>
      </c>
      <c r="E440" s="538" t="s">
        <v>1893</v>
      </c>
      <c r="F440" s="538" t="s">
        <v>1500</v>
      </c>
      <c r="G440" s="539" t="b">
        <v>1</v>
      </c>
      <c r="H440" s="539" t="b">
        <v>1</v>
      </c>
      <c r="I440" s="539" t="b">
        <v>1</v>
      </c>
      <c r="J440" s="531"/>
    </row>
    <row r="441">
      <c r="A441" s="531"/>
      <c r="B441" s="532"/>
      <c r="C441" s="533"/>
      <c r="D441" s="534">
        <v>43816.0</v>
      </c>
      <c r="E441" s="538" t="s">
        <v>1895</v>
      </c>
      <c r="F441" s="538" t="s">
        <v>1500</v>
      </c>
      <c r="G441" s="539" t="b">
        <v>1</v>
      </c>
      <c r="H441" s="539" t="b">
        <v>1</v>
      </c>
      <c r="I441" s="539" t="b">
        <v>1</v>
      </c>
      <c r="J441" s="531"/>
    </row>
    <row r="442">
      <c r="A442" s="531"/>
      <c r="B442" s="532"/>
      <c r="C442" s="533"/>
      <c r="D442" s="534">
        <v>43816.0</v>
      </c>
      <c r="E442" s="538" t="s">
        <v>1896</v>
      </c>
      <c r="F442" s="538" t="s">
        <v>1500</v>
      </c>
      <c r="G442" s="539" t="b">
        <v>1</v>
      </c>
      <c r="H442" s="539" t="b">
        <v>1</v>
      </c>
      <c r="I442" s="539" t="b">
        <v>1</v>
      </c>
      <c r="J442" s="531"/>
    </row>
    <row r="443">
      <c r="A443" s="531"/>
      <c r="B443" s="532"/>
      <c r="C443" s="533"/>
      <c r="D443" s="534">
        <v>43816.0</v>
      </c>
      <c r="E443" s="538" t="s">
        <v>1897</v>
      </c>
      <c r="F443" s="538" t="s">
        <v>1500</v>
      </c>
      <c r="G443" s="539" t="b">
        <v>1</v>
      </c>
      <c r="H443" s="539" t="b">
        <v>1</v>
      </c>
      <c r="I443" s="539" t="b">
        <v>1</v>
      </c>
      <c r="J443" s="531"/>
    </row>
    <row r="444">
      <c r="A444" s="531"/>
      <c r="B444" s="532"/>
      <c r="C444" s="533"/>
      <c r="D444" s="534">
        <v>43816.0</v>
      </c>
      <c r="E444" s="538" t="s">
        <v>1740</v>
      </c>
      <c r="F444" s="538" t="s">
        <v>1899</v>
      </c>
      <c r="G444" s="540" t="s">
        <v>1502</v>
      </c>
      <c r="H444" s="540" t="s">
        <v>1502</v>
      </c>
      <c r="I444" s="540" t="s">
        <v>1502</v>
      </c>
      <c r="J444" s="531"/>
    </row>
    <row r="445">
      <c r="A445" s="531"/>
      <c r="B445" s="532"/>
      <c r="C445" s="533"/>
      <c r="D445" s="534">
        <v>43816.0</v>
      </c>
      <c r="E445" s="538" t="s">
        <v>1900</v>
      </c>
      <c r="F445" s="538" t="s">
        <v>1901</v>
      </c>
      <c r="G445" s="540" t="s">
        <v>1502</v>
      </c>
      <c r="H445" s="540" t="s">
        <v>1502</v>
      </c>
      <c r="I445" s="539" t="b">
        <v>1</v>
      </c>
      <c r="J445" s="531"/>
    </row>
    <row r="446">
      <c r="A446" s="531"/>
      <c r="B446" s="532"/>
      <c r="C446" s="533"/>
      <c r="D446" s="534">
        <v>43799.0</v>
      </c>
      <c r="E446" s="538" t="s">
        <v>1902</v>
      </c>
      <c r="F446" s="538" t="s">
        <v>1903</v>
      </c>
      <c r="G446" s="539" t="b">
        <v>1</v>
      </c>
      <c r="H446" s="539" t="b">
        <v>1</v>
      </c>
      <c r="I446" s="539" t="b">
        <v>1</v>
      </c>
      <c r="J446" s="538" t="s">
        <v>1904</v>
      </c>
    </row>
    <row r="447">
      <c r="A447" s="531"/>
      <c r="B447" s="532"/>
      <c r="C447" s="533"/>
      <c r="D447" s="534">
        <v>43792.0</v>
      </c>
      <c r="E447" s="559" t="s">
        <v>1905</v>
      </c>
      <c r="F447" s="538" t="s">
        <v>1903</v>
      </c>
      <c r="G447" s="539" t="b">
        <v>1</v>
      </c>
      <c r="H447" s="539" t="b">
        <v>1</v>
      </c>
      <c r="I447" s="539" t="b">
        <v>1</v>
      </c>
      <c r="J447" s="538" t="s">
        <v>1906</v>
      </c>
    </row>
    <row r="448">
      <c r="A448" s="531"/>
      <c r="B448" s="532"/>
      <c r="C448" s="533"/>
      <c r="D448" s="534">
        <v>43792.0</v>
      </c>
      <c r="E448" s="559" t="s">
        <v>609</v>
      </c>
      <c r="F448" s="538" t="s">
        <v>1903</v>
      </c>
      <c r="G448" s="539" t="b">
        <v>1</v>
      </c>
      <c r="H448" s="539" t="b">
        <v>1</v>
      </c>
      <c r="I448" s="539" t="b">
        <v>1</v>
      </c>
      <c r="J448" s="538" t="s">
        <v>1907</v>
      </c>
    </row>
    <row r="449">
      <c r="A449" s="531"/>
      <c r="B449" s="532"/>
      <c r="C449" s="533"/>
      <c r="D449" s="534">
        <v>43792.0</v>
      </c>
      <c r="E449" s="559" t="s">
        <v>1908</v>
      </c>
      <c r="F449" s="538" t="s">
        <v>1903</v>
      </c>
      <c r="G449" s="539" t="b">
        <v>1</v>
      </c>
      <c r="H449" s="539" t="b">
        <v>1</v>
      </c>
      <c r="I449" s="539" t="b">
        <v>1</v>
      </c>
      <c r="J449" s="538" t="s">
        <v>1910</v>
      </c>
    </row>
    <row r="450">
      <c r="A450" s="531"/>
      <c r="B450" s="532"/>
      <c r="C450" s="533"/>
      <c r="D450" s="534">
        <v>43792.0</v>
      </c>
      <c r="E450" s="559" t="s">
        <v>1911</v>
      </c>
      <c r="F450" s="538" t="s">
        <v>1903</v>
      </c>
      <c r="G450" s="539" t="b">
        <v>1</v>
      </c>
      <c r="H450" s="539" t="b">
        <v>1</v>
      </c>
      <c r="I450" s="539" t="b">
        <v>1</v>
      </c>
      <c r="J450" s="538" t="s">
        <v>1912</v>
      </c>
    </row>
    <row r="451">
      <c r="A451" s="531"/>
      <c r="B451" s="532"/>
      <c r="C451" s="533"/>
      <c r="D451" s="534">
        <v>43792.0</v>
      </c>
      <c r="E451" s="559" t="s">
        <v>1913</v>
      </c>
      <c r="F451" s="538" t="s">
        <v>1903</v>
      </c>
      <c r="G451" s="539" t="b">
        <v>1</v>
      </c>
      <c r="H451" s="539" t="b">
        <v>1</v>
      </c>
      <c r="I451" s="539" t="b">
        <v>1</v>
      </c>
      <c r="J451" s="538" t="s">
        <v>1914</v>
      </c>
    </row>
    <row r="452">
      <c r="A452" s="531"/>
      <c r="B452" s="532"/>
      <c r="C452" s="533"/>
      <c r="D452" s="534">
        <v>43792.0</v>
      </c>
      <c r="E452" s="559" t="s">
        <v>1915</v>
      </c>
      <c r="F452" s="538" t="s">
        <v>1903</v>
      </c>
      <c r="G452" s="539" t="b">
        <v>1</v>
      </c>
      <c r="H452" s="539" t="b">
        <v>1</v>
      </c>
      <c r="I452" s="539" t="b">
        <v>1</v>
      </c>
      <c r="J452" s="538" t="s">
        <v>1912</v>
      </c>
    </row>
    <row r="453">
      <c r="A453" s="531"/>
      <c r="B453" s="532"/>
      <c r="C453" s="533"/>
      <c r="D453" s="534">
        <v>43792.0</v>
      </c>
      <c r="E453" s="538" t="s">
        <v>1499</v>
      </c>
      <c r="F453" s="538" t="s">
        <v>1916</v>
      </c>
      <c r="G453" s="540" t="s">
        <v>1502</v>
      </c>
      <c r="H453" s="540" t="s">
        <v>1502</v>
      </c>
      <c r="I453" s="539" t="b">
        <v>1</v>
      </c>
      <c r="J453" s="531"/>
    </row>
    <row r="454">
      <c r="A454" s="531"/>
      <c r="B454" s="532"/>
      <c r="C454" s="533"/>
      <c r="D454" s="534">
        <v>43792.0</v>
      </c>
      <c r="E454" s="538" t="s">
        <v>1499</v>
      </c>
      <c r="F454" s="538" t="s">
        <v>1917</v>
      </c>
      <c r="G454" s="539" t="b">
        <v>1</v>
      </c>
      <c r="H454" s="539" t="b">
        <v>1</v>
      </c>
      <c r="I454" s="539" t="b">
        <v>1</v>
      </c>
      <c r="J454" s="531"/>
    </row>
    <row r="455">
      <c r="A455" s="531"/>
      <c r="B455" s="532"/>
      <c r="C455" s="533"/>
      <c r="D455" s="534">
        <v>43792.0</v>
      </c>
      <c r="E455" s="538" t="s">
        <v>1891</v>
      </c>
      <c r="F455" s="538" t="s">
        <v>1918</v>
      </c>
      <c r="G455" s="539" t="b">
        <v>1</v>
      </c>
      <c r="H455" s="539" t="b">
        <v>1</v>
      </c>
      <c r="I455" s="539" t="b">
        <v>1</v>
      </c>
      <c r="J455" s="531"/>
    </row>
    <row r="456">
      <c r="A456" s="531"/>
      <c r="B456" s="532"/>
      <c r="C456" s="533" t="str">
        <f>IMAGE(GOOGLEANALYTICS("UA-149355390-1", "2020 Film Festival Database &amp; Calendar",sheetName()))</f>
        <v/>
      </c>
      <c r="D456" s="534">
        <v>43792.0</v>
      </c>
      <c r="E456" s="538" t="s">
        <v>1919</v>
      </c>
      <c r="F456" s="560" t="s">
        <v>1920</v>
      </c>
      <c r="G456" s="540" t="s">
        <v>1502</v>
      </c>
      <c r="H456" s="540" t="s">
        <v>1502</v>
      </c>
      <c r="I456" s="540" t="s">
        <v>1502</v>
      </c>
      <c r="J456" s="531"/>
    </row>
    <row r="457">
      <c r="A457" s="531"/>
      <c r="B457" s="532"/>
      <c r="C457" s="532"/>
      <c r="D457" s="534">
        <v>43792.0</v>
      </c>
      <c r="E457" s="538" t="s">
        <v>1919</v>
      </c>
      <c r="F457" s="538" t="s">
        <v>1921</v>
      </c>
      <c r="G457" s="539" t="b">
        <v>1</v>
      </c>
      <c r="H457" s="539" t="b">
        <v>1</v>
      </c>
      <c r="I457" s="539" t="b">
        <v>1</v>
      </c>
      <c r="J457" s="531"/>
    </row>
    <row r="458">
      <c r="A458" s="531"/>
      <c r="B458" s="532"/>
      <c r="C458" s="532"/>
      <c r="D458" s="534">
        <v>43787.0</v>
      </c>
      <c r="E458" s="538" t="s">
        <v>1922</v>
      </c>
      <c r="F458" s="538" t="s">
        <v>1923</v>
      </c>
      <c r="G458" s="539" t="b">
        <v>1</v>
      </c>
      <c r="H458" s="539" t="b">
        <v>1</v>
      </c>
      <c r="I458" s="539" t="b">
        <v>1</v>
      </c>
      <c r="J458" s="531"/>
    </row>
    <row r="459">
      <c r="A459" s="531"/>
      <c r="B459" s="532"/>
      <c r="C459" s="532"/>
      <c r="D459" s="534">
        <v>43787.0</v>
      </c>
      <c r="E459" s="538" t="s">
        <v>1925</v>
      </c>
      <c r="F459" s="538" t="s">
        <v>1923</v>
      </c>
      <c r="G459" s="539" t="b">
        <v>1</v>
      </c>
      <c r="H459" s="539" t="b">
        <v>1</v>
      </c>
      <c r="I459" s="539" t="b">
        <v>1</v>
      </c>
      <c r="J459" s="531"/>
    </row>
    <row r="460">
      <c r="A460" s="531"/>
      <c r="B460" s="532"/>
      <c r="C460" s="532"/>
      <c r="D460" s="534">
        <v>43787.0</v>
      </c>
      <c r="E460" s="538" t="s">
        <v>318</v>
      </c>
      <c r="F460" s="538" t="s">
        <v>1926</v>
      </c>
      <c r="G460" s="550" t="s">
        <v>1502</v>
      </c>
      <c r="H460" s="550" t="s">
        <v>1502</v>
      </c>
      <c r="I460" s="550" t="s">
        <v>1502</v>
      </c>
      <c r="J460" s="531"/>
    </row>
    <row r="461">
      <c r="A461" s="531"/>
      <c r="B461" s="532"/>
      <c r="C461" s="532"/>
      <c r="D461" s="534">
        <v>43784.0</v>
      </c>
      <c r="E461" s="538" t="s">
        <v>1927</v>
      </c>
      <c r="F461" s="538" t="s">
        <v>1928</v>
      </c>
      <c r="G461" s="539" t="b">
        <v>1</v>
      </c>
      <c r="H461" s="539" t="b">
        <v>1</v>
      </c>
      <c r="I461" s="539" t="b">
        <v>1</v>
      </c>
      <c r="J461" s="531"/>
    </row>
    <row r="462">
      <c r="A462" s="531"/>
      <c r="B462" s="532"/>
      <c r="C462" s="532"/>
      <c r="D462" s="534">
        <v>43784.0</v>
      </c>
      <c r="E462" s="538" t="s">
        <v>1927</v>
      </c>
      <c r="F462" s="538" t="s">
        <v>1527</v>
      </c>
      <c r="G462" s="539" t="b">
        <v>1</v>
      </c>
      <c r="H462" s="539" t="b">
        <v>1</v>
      </c>
      <c r="I462" s="539" t="b">
        <v>1</v>
      </c>
      <c r="J462" s="531"/>
    </row>
    <row r="463">
      <c r="A463" s="531"/>
      <c r="B463" s="532"/>
      <c r="C463" s="532"/>
      <c r="D463" s="534">
        <v>43784.0</v>
      </c>
      <c r="E463" s="538" t="s">
        <v>1929</v>
      </c>
      <c r="F463" s="538" t="s">
        <v>1930</v>
      </c>
      <c r="G463" s="539" t="b">
        <v>1</v>
      </c>
      <c r="H463" s="539" t="b">
        <v>1</v>
      </c>
      <c r="I463" s="539" t="b">
        <v>1</v>
      </c>
      <c r="J463" s="531"/>
    </row>
    <row r="464">
      <c r="A464" s="531"/>
      <c r="B464" s="532"/>
      <c r="C464" s="532"/>
      <c r="D464" s="534">
        <v>43782.0</v>
      </c>
      <c r="E464" s="538" t="s">
        <v>1931</v>
      </c>
      <c r="F464" s="538" t="s">
        <v>1903</v>
      </c>
      <c r="G464" s="539" t="b">
        <v>1</v>
      </c>
      <c r="H464" s="539" t="b">
        <v>1</v>
      </c>
      <c r="I464" s="539" t="b">
        <v>1</v>
      </c>
      <c r="J464" s="538" t="s">
        <v>1912</v>
      </c>
    </row>
    <row r="465">
      <c r="A465" s="531"/>
      <c r="B465" s="532"/>
      <c r="C465" s="532"/>
      <c r="D465" s="534">
        <v>43781.0</v>
      </c>
      <c r="E465" s="561" t="s">
        <v>1933</v>
      </c>
      <c r="F465" s="538" t="s">
        <v>1903</v>
      </c>
      <c r="G465" s="539" t="b">
        <v>1</v>
      </c>
      <c r="H465" s="539" t="b">
        <v>1</v>
      </c>
      <c r="I465" s="539" t="b">
        <v>1</v>
      </c>
      <c r="J465" s="538" t="s">
        <v>1910</v>
      </c>
    </row>
    <row r="466">
      <c r="A466" s="531"/>
      <c r="B466" s="532"/>
      <c r="C466" s="532"/>
      <c r="D466" s="534">
        <v>43781.0</v>
      </c>
      <c r="E466" s="561" t="s">
        <v>1934</v>
      </c>
      <c r="F466" s="538" t="s">
        <v>1903</v>
      </c>
      <c r="G466" s="539" t="b">
        <v>1</v>
      </c>
      <c r="H466" s="539" t="b">
        <v>1</v>
      </c>
      <c r="I466" s="539" t="b">
        <v>1</v>
      </c>
      <c r="J466" s="538" t="s">
        <v>1912</v>
      </c>
    </row>
    <row r="467">
      <c r="A467" s="531"/>
      <c r="B467" s="532"/>
      <c r="C467" s="532"/>
      <c r="D467" s="534">
        <v>43781.0</v>
      </c>
      <c r="E467" s="561" t="s">
        <v>1936</v>
      </c>
      <c r="F467" s="538" t="s">
        <v>1903</v>
      </c>
      <c r="G467" s="539" t="b">
        <v>1</v>
      </c>
      <c r="H467" s="539" t="b">
        <v>1</v>
      </c>
      <c r="I467" s="539" t="b">
        <v>1</v>
      </c>
      <c r="J467" s="538" t="s">
        <v>1912</v>
      </c>
    </row>
    <row r="468">
      <c r="A468" s="531"/>
      <c r="B468" s="532"/>
      <c r="C468" s="532"/>
      <c r="D468" s="534">
        <v>43781.0</v>
      </c>
      <c r="E468" s="561" t="s">
        <v>1937</v>
      </c>
      <c r="F468" s="538" t="s">
        <v>1903</v>
      </c>
      <c r="G468" s="539" t="b">
        <v>1</v>
      </c>
      <c r="H468" s="539" t="b">
        <v>1</v>
      </c>
      <c r="I468" s="539" t="b">
        <v>1</v>
      </c>
      <c r="J468" s="538" t="s">
        <v>1939</v>
      </c>
    </row>
    <row r="469">
      <c r="A469" s="531"/>
      <c r="B469" s="532"/>
      <c r="C469" s="532"/>
      <c r="D469" s="534">
        <v>43781.0</v>
      </c>
      <c r="E469" s="561" t="s">
        <v>738</v>
      </c>
      <c r="F469" s="538" t="s">
        <v>1903</v>
      </c>
      <c r="G469" s="539" t="b">
        <v>1</v>
      </c>
      <c r="H469" s="539" t="b">
        <v>1</v>
      </c>
      <c r="I469" s="539" t="b">
        <v>1</v>
      </c>
      <c r="J469" s="538" t="s">
        <v>1912</v>
      </c>
    </row>
    <row r="470">
      <c r="A470" s="531"/>
      <c r="B470" s="532"/>
      <c r="C470" s="532"/>
      <c r="D470" s="534">
        <v>43781.0</v>
      </c>
      <c r="E470" s="561" t="s">
        <v>1940</v>
      </c>
      <c r="F470" s="538" t="s">
        <v>1903</v>
      </c>
      <c r="G470" s="539" t="b">
        <v>1</v>
      </c>
      <c r="H470" s="539" t="b">
        <v>1</v>
      </c>
      <c r="I470" s="539" t="b">
        <v>1</v>
      </c>
      <c r="J470" s="538" t="s">
        <v>1941</v>
      </c>
    </row>
    <row r="471">
      <c r="A471" s="531"/>
      <c r="B471" s="532"/>
      <c r="C471" s="532"/>
      <c r="D471" s="534">
        <v>43781.0</v>
      </c>
      <c r="E471" s="561" t="s">
        <v>1942</v>
      </c>
      <c r="F471" s="538" t="s">
        <v>1903</v>
      </c>
      <c r="G471" s="539" t="b">
        <v>1</v>
      </c>
      <c r="H471" s="539" t="b">
        <v>1</v>
      </c>
      <c r="I471" s="539" t="b">
        <v>1</v>
      </c>
      <c r="J471" s="538" t="s">
        <v>1939</v>
      </c>
    </row>
    <row r="472">
      <c r="A472" s="531"/>
      <c r="B472" s="532"/>
      <c r="C472" s="532"/>
      <c r="D472" s="534">
        <v>43781.0</v>
      </c>
      <c r="E472" s="561" t="s">
        <v>1943</v>
      </c>
      <c r="F472" s="538" t="s">
        <v>1903</v>
      </c>
      <c r="G472" s="539" t="b">
        <v>1</v>
      </c>
      <c r="H472" s="539" t="b">
        <v>1</v>
      </c>
      <c r="I472" s="539" t="b">
        <v>1</v>
      </c>
      <c r="J472" s="538" t="s">
        <v>1912</v>
      </c>
    </row>
    <row r="473">
      <c r="A473" s="531"/>
      <c r="B473" s="532"/>
      <c r="C473" s="532"/>
      <c r="D473" s="534">
        <v>43781.0</v>
      </c>
      <c r="E473" s="562" t="s">
        <v>1944</v>
      </c>
      <c r="F473" s="538" t="s">
        <v>1903</v>
      </c>
      <c r="G473" s="539" t="b">
        <v>1</v>
      </c>
      <c r="H473" s="539" t="b">
        <v>1</v>
      </c>
      <c r="I473" s="539" t="b">
        <v>1</v>
      </c>
      <c r="J473" s="538" t="s">
        <v>1912</v>
      </c>
    </row>
    <row r="474" ht="22.5" customHeight="1">
      <c r="A474" s="563"/>
      <c r="B474" s="563"/>
      <c r="C474" s="563"/>
      <c r="D474" s="564">
        <v>43781.0</v>
      </c>
      <c r="E474" s="565" t="s">
        <v>1949</v>
      </c>
      <c r="F474" s="475"/>
      <c r="G474" s="475"/>
      <c r="H474" s="475"/>
      <c r="I474" s="475"/>
      <c r="J474" s="476"/>
    </row>
    <row r="475" ht="11.25" customHeight="1">
      <c r="A475" s="566"/>
      <c r="B475" s="566"/>
      <c r="C475" s="566"/>
      <c r="D475" s="567">
        <v>43756.0</v>
      </c>
      <c r="E475" s="568" t="s">
        <v>1950</v>
      </c>
      <c r="F475" s="471"/>
      <c r="G475" s="569"/>
      <c r="H475" s="569"/>
      <c r="I475" s="569"/>
      <c r="J475" s="570"/>
    </row>
    <row r="476">
      <c r="A476" s="531"/>
      <c r="B476" s="532"/>
      <c r="C476" s="532"/>
      <c r="D476" s="534">
        <v>43747.0</v>
      </c>
      <c r="E476" s="538" t="s">
        <v>1954</v>
      </c>
      <c r="F476" s="538" t="s">
        <v>1903</v>
      </c>
      <c r="G476" s="550" t="s">
        <v>1502</v>
      </c>
      <c r="H476" s="550" t="s">
        <v>1502</v>
      </c>
      <c r="I476" s="550" t="s">
        <v>1502</v>
      </c>
      <c r="J476" s="550" t="s">
        <v>1502</v>
      </c>
    </row>
    <row r="477">
      <c r="A477" s="531"/>
      <c r="B477" s="532"/>
      <c r="C477" s="532"/>
      <c r="D477" s="534">
        <v>43747.0</v>
      </c>
      <c r="E477" s="538" t="s">
        <v>459</v>
      </c>
      <c r="F477" s="538" t="s">
        <v>1651</v>
      </c>
      <c r="G477" s="550" t="s">
        <v>1502</v>
      </c>
      <c r="H477" s="550" t="s">
        <v>1502</v>
      </c>
      <c r="I477" s="550" t="s">
        <v>1502</v>
      </c>
      <c r="J477" s="550" t="s">
        <v>1502</v>
      </c>
    </row>
    <row r="478">
      <c r="A478" s="531"/>
      <c r="B478" s="532"/>
      <c r="C478" s="532"/>
      <c r="D478" s="534">
        <v>43747.0</v>
      </c>
      <c r="E478" s="538" t="s">
        <v>1956</v>
      </c>
      <c r="F478" s="538" t="s">
        <v>1651</v>
      </c>
      <c r="G478" s="550" t="s">
        <v>1502</v>
      </c>
      <c r="H478" s="550" t="s">
        <v>1502</v>
      </c>
      <c r="I478" s="550" t="s">
        <v>1502</v>
      </c>
      <c r="J478" s="550" t="s">
        <v>1502</v>
      </c>
    </row>
    <row r="479">
      <c r="A479" s="531"/>
      <c r="B479" s="532"/>
      <c r="C479" s="532"/>
      <c r="D479" s="534">
        <v>43747.0</v>
      </c>
      <c r="E479" s="538" t="s">
        <v>1957</v>
      </c>
      <c r="F479" s="538" t="s">
        <v>1651</v>
      </c>
      <c r="G479" s="550" t="s">
        <v>1502</v>
      </c>
      <c r="H479" s="550" t="s">
        <v>1502</v>
      </c>
      <c r="I479" s="550" t="s">
        <v>1502</v>
      </c>
      <c r="J479" s="550" t="s">
        <v>1502</v>
      </c>
    </row>
    <row r="480">
      <c r="A480" s="531"/>
      <c r="B480" s="532"/>
      <c r="C480" s="532"/>
      <c r="D480" s="534">
        <v>43747.0</v>
      </c>
      <c r="E480" s="538" t="s">
        <v>1958</v>
      </c>
      <c r="F480" s="538" t="s">
        <v>1651</v>
      </c>
      <c r="G480" s="550" t="s">
        <v>1502</v>
      </c>
      <c r="H480" s="550" t="s">
        <v>1502</v>
      </c>
      <c r="I480" s="550" t="s">
        <v>1502</v>
      </c>
      <c r="J480" s="550" t="s">
        <v>1502</v>
      </c>
    </row>
    <row r="481">
      <c r="A481" s="531"/>
      <c r="B481" s="532"/>
      <c r="C481" s="532"/>
      <c r="D481" s="534">
        <v>43747.0</v>
      </c>
      <c r="E481" s="538" t="s">
        <v>1960</v>
      </c>
      <c r="F481" s="538" t="s">
        <v>1651</v>
      </c>
      <c r="G481" s="550" t="s">
        <v>1502</v>
      </c>
      <c r="H481" s="550" t="s">
        <v>1502</v>
      </c>
      <c r="I481" s="550" t="s">
        <v>1502</v>
      </c>
      <c r="J481" s="550" t="s">
        <v>1502</v>
      </c>
    </row>
    <row r="482">
      <c r="A482" s="531"/>
      <c r="B482" s="532"/>
      <c r="C482" s="532"/>
      <c r="D482" s="534">
        <v>43747.0</v>
      </c>
      <c r="E482" s="538" t="s">
        <v>1961</v>
      </c>
      <c r="F482" s="538" t="s">
        <v>1651</v>
      </c>
      <c r="G482" s="550" t="s">
        <v>1502</v>
      </c>
      <c r="H482" s="550" t="s">
        <v>1502</v>
      </c>
      <c r="I482" s="550" t="s">
        <v>1502</v>
      </c>
      <c r="J482" s="550" t="s">
        <v>1502</v>
      </c>
    </row>
    <row r="483">
      <c r="A483" s="531"/>
      <c r="B483" s="532"/>
      <c r="C483" s="532"/>
      <c r="D483" s="534">
        <v>43747.0</v>
      </c>
      <c r="E483" s="538" t="s">
        <v>1963</v>
      </c>
      <c r="F483" s="538" t="s">
        <v>1651</v>
      </c>
      <c r="G483" s="550" t="s">
        <v>1502</v>
      </c>
      <c r="H483" s="550" t="s">
        <v>1502</v>
      </c>
      <c r="I483" s="550" t="s">
        <v>1502</v>
      </c>
      <c r="J483" s="550" t="s">
        <v>1502</v>
      </c>
    </row>
    <row r="484">
      <c r="A484" s="531"/>
      <c r="B484" s="532"/>
      <c r="C484" s="532"/>
      <c r="D484" s="534">
        <v>43747.0</v>
      </c>
      <c r="E484" s="538" t="s">
        <v>1964</v>
      </c>
      <c r="F484" s="538" t="s">
        <v>1651</v>
      </c>
      <c r="G484" s="550" t="s">
        <v>1502</v>
      </c>
      <c r="H484" s="550" t="s">
        <v>1502</v>
      </c>
      <c r="I484" s="550" t="s">
        <v>1502</v>
      </c>
      <c r="J484" s="550" t="s">
        <v>1502</v>
      </c>
    </row>
    <row r="485">
      <c r="A485" s="531"/>
      <c r="B485" s="532"/>
      <c r="C485" s="532"/>
      <c r="D485" s="534">
        <v>43747.0</v>
      </c>
      <c r="E485" s="538" t="s">
        <v>1965</v>
      </c>
      <c r="F485" s="538" t="s">
        <v>1651</v>
      </c>
      <c r="G485" s="550" t="s">
        <v>1502</v>
      </c>
      <c r="H485" s="550" t="s">
        <v>1502</v>
      </c>
      <c r="I485" s="550" t="s">
        <v>1502</v>
      </c>
      <c r="J485" s="550" t="s">
        <v>1502</v>
      </c>
    </row>
    <row r="486">
      <c r="A486" s="531"/>
      <c r="B486" s="532"/>
      <c r="C486" s="532"/>
      <c r="D486" s="534">
        <v>43747.0</v>
      </c>
      <c r="E486" s="538" t="s">
        <v>1966</v>
      </c>
      <c r="F486" s="538" t="s">
        <v>1651</v>
      </c>
      <c r="G486" s="550" t="s">
        <v>1502</v>
      </c>
      <c r="H486" s="550" t="s">
        <v>1502</v>
      </c>
      <c r="I486" s="550" t="s">
        <v>1502</v>
      </c>
      <c r="J486" s="550" t="s">
        <v>1502</v>
      </c>
    </row>
    <row r="487">
      <c r="A487" s="531"/>
      <c r="B487" s="532"/>
      <c r="C487" s="532"/>
      <c r="D487" s="534">
        <v>43693.0</v>
      </c>
      <c r="E487" s="538" t="s">
        <v>1967</v>
      </c>
      <c r="F487" s="538" t="s">
        <v>1651</v>
      </c>
      <c r="G487" s="550" t="s">
        <v>1502</v>
      </c>
      <c r="H487" s="550" t="s">
        <v>1502</v>
      </c>
      <c r="I487" s="550" t="s">
        <v>1502</v>
      </c>
      <c r="J487" s="550" t="s">
        <v>1502</v>
      </c>
    </row>
    <row r="488">
      <c r="A488" s="531"/>
      <c r="B488" s="532"/>
      <c r="C488" s="532"/>
      <c r="D488" s="534">
        <v>43693.0</v>
      </c>
      <c r="E488" s="538" t="s">
        <v>1968</v>
      </c>
      <c r="F488" s="538" t="s">
        <v>1651</v>
      </c>
      <c r="G488" s="550" t="s">
        <v>1502</v>
      </c>
      <c r="H488" s="550" t="s">
        <v>1502</v>
      </c>
      <c r="I488" s="550" t="s">
        <v>1502</v>
      </c>
      <c r="J488" s="550" t="s">
        <v>1502</v>
      </c>
    </row>
    <row r="489">
      <c r="A489" s="531"/>
      <c r="B489" s="532"/>
      <c r="C489" s="532"/>
      <c r="D489" s="534">
        <v>43693.0</v>
      </c>
      <c r="E489" s="538" t="s">
        <v>1969</v>
      </c>
      <c r="F489" s="538" t="s">
        <v>1651</v>
      </c>
      <c r="G489" s="550" t="s">
        <v>1502</v>
      </c>
      <c r="H489" s="550" t="s">
        <v>1502</v>
      </c>
      <c r="I489" s="550" t="s">
        <v>1502</v>
      </c>
      <c r="J489" s="550" t="s">
        <v>1502</v>
      </c>
    </row>
    <row r="490">
      <c r="A490" s="531"/>
      <c r="B490" s="532"/>
      <c r="C490" s="532"/>
      <c r="D490" s="534">
        <v>43693.0</v>
      </c>
      <c r="E490" s="538" t="s">
        <v>1970</v>
      </c>
      <c r="F490" s="538" t="s">
        <v>1651</v>
      </c>
      <c r="G490" s="550" t="s">
        <v>1502</v>
      </c>
      <c r="H490" s="550" t="s">
        <v>1502</v>
      </c>
      <c r="I490" s="550" t="s">
        <v>1502</v>
      </c>
      <c r="J490" s="550" t="s">
        <v>1502</v>
      </c>
    </row>
    <row r="491">
      <c r="A491" s="531"/>
      <c r="B491" s="532"/>
      <c r="C491" s="532"/>
      <c r="D491" s="534">
        <v>43693.0</v>
      </c>
      <c r="E491" s="538" t="s">
        <v>1971</v>
      </c>
      <c r="F491" s="538" t="s">
        <v>1651</v>
      </c>
      <c r="G491" s="550" t="s">
        <v>1502</v>
      </c>
      <c r="H491" s="550" t="s">
        <v>1502</v>
      </c>
      <c r="I491" s="550" t="s">
        <v>1502</v>
      </c>
      <c r="J491" s="550" t="s">
        <v>1502</v>
      </c>
    </row>
    <row r="492">
      <c r="A492" s="531"/>
      <c r="B492" s="532"/>
      <c r="C492" s="532"/>
      <c r="D492" s="534">
        <v>43693.0</v>
      </c>
      <c r="E492" s="538" t="s">
        <v>1972</v>
      </c>
      <c r="F492" s="538" t="s">
        <v>1651</v>
      </c>
      <c r="G492" s="550" t="s">
        <v>1502</v>
      </c>
      <c r="H492" s="550" t="s">
        <v>1502</v>
      </c>
      <c r="I492" s="550" t="s">
        <v>1502</v>
      </c>
      <c r="J492" s="550" t="s">
        <v>1502</v>
      </c>
    </row>
    <row r="493" ht="11.25" customHeight="1">
      <c r="A493" s="571"/>
      <c r="B493" s="571"/>
      <c r="C493" s="571"/>
      <c r="D493" s="572">
        <v>43693.0</v>
      </c>
      <c r="E493" s="573" t="s">
        <v>1975</v>
      </c>
      <c r="F493" s="574"/>
      <c r="G493" s="574"/>
      <c r="H493" s="574"/>
      <c r="I493" s="574"/>
      <c r="J493" s="575"/>
    </row>
    <row r="494" ht="11.25" customHeight="1">
      <c r="A494" s="552"/>
      <c r="B494" s="553"/>
      <c r="C494" s="553"/>
      <c r="D494" s="555">
        <v>43675.0</v>
      </c>
      <c r="E494" s="556" t="s">
        <v>1980</v>
      </c>
      <c r="F494" s="553"/>
      <c r="G494" s="553"/>
      <c r="H494" s="553"/>
      <c r="I494" s="553"/>
      <c r="J494" s="557"/>
    </row>
    <row r="495" ht="11.25" customHeight="1">
      <c r="A495" s="576"/>
      <c r="B495" s="577"/>
      <c r="C495" s="577"/>
      <c r="D495" s="578">
        <v>43675.0</v>
      </c>
      <c r="E495" s="579" t="s">
        <v>1982</v>
      </c>
      <c r="F495" s="577"/>
      <c r="G495" s="577"/>
      <c r="H495" s="577"/>
      <c r="I495" s="577"/>
      <c r="J495" s="580"/>
    </row>
    <row r="496">
      <c r="A496" s="531"/>
      <c r="B496" s="532"/>
      <c r="C496" s="532"/>
      <c r="D496" s="534">
        <v>43669.0</v>
      </c>
      <c r="E496" s="538" t="s">
        <v>1702</v>
      </c>
      <c r="F496" s="538" t="s">
        <v>1984</v>
      </c>
      <c r="G496" s="550" t="s">
        <v>1502</v>
      </c>
      <c r="H496" s="550" t="s">
        <v>1502</v>
      </c>
      <c r="I496" s="539" t="b">
        <v>1</v>
      </c>
      <c r="J496" s="531"/>
    </row>
    <row r="497">
      <c r="D497" s="534">
        <v>43669.0</v>
      </c>
      <c r="E497" s="43" t="s">
        <v>1986</v>
      </c>
      <c r="F497" s="538" t="s">
        <v>1988</v>
      </c>
      <c r="G497" s="539" t="b">
        <v>1</v>
      </c>
      <c r="H497" s="539" t="b">
        <v>1</v>
      </c>
      <c r="I497" s="539" t="b">
        <v>1</v>
      </c>
    </row>
    <row r="498">
      <c r="A498" s="531"/>
      <c r="B498" s="532"/>
      <c r="C498" s="532"/>
      <c r="D498" s="534">
        <v>43669.0</v>
      </c>
      <c r="E498" s="538" t="s">
        <v>1038</v>
      </c>
      <c r="F498" s="538" t="s">
        <v>1651</v>
      </c>
      <c r="G498" s="550" t="s">
        <v>1502</v>
      </c>
      <c r="H498" s="550" t="s">
        <v>1502</v>
      </c>
      <c r="I498" s="539" t="b">
        <v>1</v>
      </c>
      <c r="J498" s="531"/>
    </row>
    <row r="499">
      <c r="A499" s="531"/>
      <c r="B499" s="532"/>
      <c r="C499" s="532"/>
      <c r="D499" s="534">
        <v>43669.0</v>
      </c>
      <c r="E499" s="538" t="s">
        <v>912</v>
      </c>
      <c r="F499" s="538" t="s">
        <v>1984</v>
      </c>
      <c r="G499" s="550" t="s">
        <v>1502</v>
      </c>
      <c r="H499" s="550" t="s">
        <v>1502</v>
      </c>
      <c r="I499" s="539" t="b">
        <v>1</v>
      </c>
      <c r="J499" s="531"/>
    </row>
    <row r="500">
      <c r="A500" s="531"/>
      <c r="B500" s="532"/>
      <c r="C500" s="532"/>
      <c r="D500" s="534">
        <v>43669.0</v>
      </c>
      <c r="E500" s="538" t="s">
        <v>1990</v>
      </c>
      <c r="F500" s="538" t="s">
        <v>1991</v>
      </c>
      <c r="G500" s="550" t="s">
        <v>1502</v>
      </c>
      <c r="H500" s="550" t="s">
        <v>1502</v>
      </c>
      <c r="I500" s="539" t="b">
        <v>1</v>
      </c>
      <c r="J500" s="531"/>
    </row>
    <row r="501">
      <c r="A501" s="531"/>
      <c r="B501" s="532"/>
      <c r="C501" s="532"/>
      <c r="D501" s="534">
        <v>43669.0</v>
      </c>
      <c r="E501" s="538" t="s">
        <v>1702</v>
      </c>
      <c r="F501" s="538" t="s">
        <v>1991</v>
      </c>
      <c r="G501" s="550" t="s">
        <v>1502</v>
      </c>
      <c r="H501" s="550" t="s">
        <v>1502</v>
      </c>
      <c r="I501" s="539" t="b">
        <v>1</v>
      </c>
      <c r="J501" s="531"/>
    </row>
    <row r="502">
      <c r="A502" s="531"/>
      <c r="B502" s="532"/>
      <c r="C502" s="532"/>
      <c r="D502" s="534">
        <v>43669.0</v>
      </c>
      <c r="E502" s="538" t="s">
        <v>1832</v>
      </c>
      <c r="F502" s="531" t="s">
        <v>1991</v>
      </c>
      <c r="G502" s="581" t="s">
        <v>1502</v>
      </c>
      <c r="H502" s="581" t="s">
        <v>1502</v>
      </c>
      <c r="I502" s="539" t="b">
        <v>1</v>
      </c>
      <c r="J502" s="561"/>
    </row>
    <row r="503">
      <c r="A503" s="531"/>
      <c r="B503" s="532"/>
      <c r="C503" s="532"/>
      <c r="D503" s="534">
        <v>43626.0</v>
      </c>
      <c r="E503" s="538" t="s">
        <v>1993</v>
      </c>
      <c r="F503" s="538" t="s">
        <v>1651</v>
      </c>
      <c r="G503" s="550" t="s">
        <v>1502</v>
      </c>
      <c r="H503" s="550" t="s">
        <v>1502</v>
      </c>
      <c r="I503" s="539" t="b">
        <v>1</v>
      </c>
      <c r="J503" s="531"/>
    </row>
    <row r="504">
      <c r="A504" s="531"/>
      <c r="B504" s="532"/>
      <c r="C504" s="532"/>
      <c r="D504" s="534">
        <v>43626.0</v>
      </c>
      <c r="E504" s="538" t="s">
        <v>1994</v>
      </c>
      <c r="F504" s="538" t="s">
        <v>1651</v>
      </c>
      <c r="G504" s="550" t="s">
        <v>1502</v>
      </c>
      <c r="H504" s="550" t="s">
        <v>1502</v>
      </c>
      <c r="I504" s="539" t="b">
        <v>1</v>
      </c>
      <c r="J504" s="531"/>
    </row>
    <row r="505">
      <c r="A505" s="531"/>
      <c r="B505" s="532"/>
      <c r="C505" s="532"/>
      <c r="D505" s="534">
        <v>43626.0</v>
      </c>
      <c r="E505" s="538" t="s">
        <v>1996</v>
      </c>
      <c r="F505" s="538" t="s">
        <v>1651</v>
      </c>
      <c r="G505" s="550" t="s">
        <v>1502</v>
      </c>
      <c r="H505" s="550" t="s">
        <v>1502</v>
      </c>
      <c r="I505" s="539" t="b">
        <v>1</v>
      </c>
      <c r="J505" s="531"/>
    </row>
    <row r="506">
      <c r="A506" s="531"/>
      <c r="B506" s="532"/>
      <c r="C506" s="532"/>
      <c r="D506" s="534">
        <v>43600.0</v>
      </c>
      <c r="E506" s="538" t="s">
        <v>1998</v>
      </c>
      <c r="F506" s="538" t="s">
        <v>1903</v>
      </c>
      <c r="G506" s="539" t="b">
        <v>1</v>
      </c>
      <c r="H506" s="539" t="b">
        <v>1</v>
      </c>
      <c r="I506" s="539" t="b">
        <v>1</v>
      </c>
      <c r="J506" s="531"/>
    </row>
    <row r="507">
      <c r="A507" s="531"/>
      <c r="B507" s="532"/>
      <c r="C507" s="532"/>
      <c r="D507" s="534">
        <v>43600.0</v>
      </c>
      <c r="E507" s="538" t="s">
        <v>898</v>
      </c>
      <c r="F507" s="538" t="s">
        <v>1999</v>
      </c>
      <c r="G507" s="539" t="b">
        <v>1</v>
      </c>
      <c r="H507" s="539" t="b">
        <v>1</v>
      </c>
      <c r="I507" s="539" t="b">
        <v>1</v>
      </c>
      <c r="J507" s="531"/>
    </row>
    <row r="508">
      <c r="A508" s="531"/>
      <c r="B508" s="532"/>
      <c r="C508" s="532"/>
      <c r="D508" s="534">
        <v>43577.0</v>
      </c>
      <c r="E508" s="538" t="s">
        <v>2000</v>
      </c>
      <c r="F508" s="538" t="s">
        <v>2001</v>
      </c>
      <c r="G508" s="550" t="s">
        <v>1502</v>
      </c>
      <c r="H508" s="550" t="s">
        <v>1502</v>
      </c>
      <c r="I508" s="539" t="b">
        <v>1</v>
      </c>
      <c r="J508" s="531"/>
    </row>
    <row r="509">
      <c r="A509" s="531"/>
      <c r="B509" s="532"/>
      <c r="C509" s="532"/>
      <c r="D509" s="534">
        <v>43577.0</v>
      </c>
      <c r="E509" s="538" t="s">
        <v>2000</v>
      </c>
      <c r="F509" s="538" t="s">
        <v>2002</v>
      </c>
      <c r="G509" s="539" t="b">
        <v>1</v>
      </c>
      <c r="H509" s="539" t="b">
        <v>1</v>
      </c>
      <c r="I509" s="539" t="b">
        <v>1</v>
      </c>
      <c r="J509" s="531"/>
    </row>
    <row r="510">
      <c r="A510" s="531"/>
      <c r="B510" s="532"/>
      <c r="C510" s="532"/>
      <c r="D510" s="534">
        <v>43564.0</v>
      </c>
      <c r="E510" s="538" t="s">
        <v>1254</v>
      </c>
      <c r="F510" s="538" t="s">
        <v>2005</v>
      </c>
      <c r="G510" s="539" t="b">
        <v>1</v>
      </c>
      <c r="H510" s="539" t="b">
        <v>1</v>
      </c>
      <c r="I510" s="539" t="b">
        <v>1</v>
      </c>
      <c r="J510" s="531"/>
    </row>
    <row r="511">
      <c r="A511" s="531"/>
      <c r="B511" s="532"/>
      <c r="C511" s="532"/>
      <c r="D511" s="534">
        <v>43562.0</v>
      </c>
      <c r="E511" s="538" t="s">
        <v>2006</v>
      </c>
      <c r="F511" s="538" t="s">
        <v>1651</v>
      </c>
      <c r="G511" s="550" t="s">
        <v>1502</v>
      </c>
      <c r="H511" s="550" t="s">
        <v>1502</v>
      </c>
      <c r="I511" s="539" t="b">
        <v>1</v>
      </c>
      <c r="J511" s="531"/>
    </row>
    <row r="512">
      <c r="A512" s="531"/>
      <c r="B512" s="532"/>
      <c r="C512" s="532"/>
      <c r="D512" s="534">
        <v>43562.0</v>
      </c>
      <c r="E512" s="538" t="s">
        <v>2007</v>
      </c>
      <c r="F512" s="538" t="s">
        <v>2008</v>
      </c>
      <c r="G512" s="550" t="s">
        <v>1502</v>
      </c>
      <c r="H512" s="550" t="s">
        <v>1502</v>
      </c>
      <c r="I512" s="539" t="b">
        <v>1</v>
      </c>
      <c r="J512" s="531"/>
    </row>
    <row r="513">
      <c r="A513" s="531"/>
      <c r="B513" s="532"/>
      <c r="C513" s="532"/>
      <c r="D513" s="534">
        <v>43562.0</v>
      </c>
      <c r="E513" s="538" t="s">
        <v>2007</v>
      </c>
      <c r="F513" s="538" t="s">
        <v>2002</v>
      </c>
      <c r="G513" s="539" t="b">
        <v>1</v>
      </c>
      <c r="H513" s="539" t="b">
        <v>1</v>
      </c>
      <c r="I513" s="539" t="b">
        <v>1</v>
      </c>
      <c r="J513" s="531"/>
    </row>
    <row r="514" ht="15.0" customHeight="1">
      <c r="A514" s="531"/>
      <c r="B514" s="532"/>
      <c r="C514" s="532"/>
      <c r="D514" s="534">
        <v>43562.0</v>
      </c>
      <c r="E514" s="538" t="s">
        <v>881</v>
      </c>
      <c r="F514" s="538" t="s">
        <v>1651</v>
      </c>
      <c r="G514" s="550" t="s">
        <v>1502</v>
      </c>
      <c r="H514" s="550" t="s">
        <v>1502</v>
      </c>
      <c r="I514" s="539" t="b">
        <v>1</v>
      </c>
      <c r="J514" s="531"/>
    </row>
    <row r="515" ht="15.0" customHeight="1">
      <c r="A515" s="531"/>
      <c r="B515" s="532"/>
      <c r="C515" s="532"/>
      <c r="D515" s="534">
        <v>43562.0</v>
      </c>
      <c r="E515" s="538" t="s">
        <v>2010</v>
      </c>
      <c r="F515" s="538" t="s">
        <v>2008</v>
      </c>
      <c r="G515" s="550" t="s">
        <v>1502</v>
      </c>
      <c r="H515" s="550" t="s">
        <v>1502</v>
      </c>
      <c r="I515" s="539" t="b">
        <v>1</v>
      </c>
      <c r="J515" s="531"/>
    </row>
    <row r="516" ht="15.0" customHeight="1">
      <c r="A516" s="531"/>
      <c r="B516" s="532"/>
      <c r="C516" s="532"/>
      <c r="D516" s="534">
        <v>43562.0</v>
      </c>
      <c r="E516" s="538" t="s">
        <v>1290</v>
      </c>
      <c r="F516" s="538" t="s">
        <v>1651</v>
      </c>
      <c r="G516" s="550" t="s">
        <v>1502</v>
      </c>
      <c r="H516" s="550" t="s">
        <v>1502</v>
      </c>
      <c r="I516" s="539" t="b">
        <v>1</v>
      </c>
      <c r="J516" s="531"/>
    </row>
    <row r="517">
      <c r="A517" s="531"/>
      <c r="B517" s="532"/>
      <c r="C517" s="532"/>
      <c r="D517" s="534">
        <v>43557.0</v>
      </c>
      <c r="E517" s="538" t="s">
        <v>2012</v>
      </c>
      <c r="F517" s="538" t="s">
        <v>2013</v>
      </c>
      <c r="G517" s="550" t="s">
        <v>1502</v>
      </c>
      <c r="H517" s="550" t="s">
        <v>1502</v>
      </c>
      <c r="I517" s="539" t="b">
        <v>1</v>
      </c>
      <c r="J517" s="531"/>
    </row>
    <row r="518">
      <c r="A518" s="531"/>
      <c r="B518" s="532"/>
      <c r="C518" s="532"/>
      <c r="D518" s="534">
        <v>43557.0</v>
      </c>
      <c r="E518" s="538" t="s">
        <v>2012</v>
      </c>
      <c r="F518" s="583" t="s">
        <v>2014</v>
      </c>
      <c r="G518" s="539" t="b">
        <v>1</v>
      </c>
      <c r="H518" s="539" t="b">
        <v>1</v>
      </c>
      <c r="I518" s="539" t="b">
        <v>1</v>
      </c>
      <c r="J518" s="531"/>
    </row>
    <row r="519">
      <c r="A519" s="531"/>
      <c r="B519" s="532"/>
      <c r="C519" s="532"/>
      <c r="D519" s="534">
        <v>43557.0</v>
      </c>
      <c r="E519" s="538" t="s">
        <v>2018</v>
      </c>
      <c r="F519" s="538" t="s">
        <v>2019</v>
      </c>
      <c r="G519" s="550" t="s">
        <v>1502</v>
      </c>
      <c r="H519" s="550" t="s">
        <v>1502</v>
      </c>
      <c r="I519" s="539" t="b">
        <v>1</v>
      </c>
      <c r="J519" s="531"/>
    </row>
    <row r="520">
      <c r="A520" s="531"/>
      <c r="B520" s="532"/>
      <c r="C520" s="532"/>
      <c r="D520" s="534">
        <v>43557.0</v>
      </c>
      <c r="E520" s="538" t="s">
        <v>2020</v>
      </c>
      <c r="F520" s="538" t="s">
        <v>2021</v>
      </c>
      <c r="G520" s="539" t="b">
        <v>1</v>
      </c>
      <c r="H520" s="539" t="b">
        <v>1</v>
      </c>
      <c r="I520" s="539" t="b">
        <v>1</v>
      </c>
      <c r="J520" s="531"/>
    </row>
    <row r="521">
      <c r="A521" s="531"/>
      <c r="B521" s="532"/>
      <c r="C521" s="532"/>
      <c r="D521" s="534">
        <v>43557.0</v>
      </c>
      <c r="E521" s="538" t="s">
        <v>2022</v>
      </c>
      <c r="F521" s="538" t="s">
        <v>2019</v>
      </c>
      <c r="G521" s="550" t="s">
        <v>1502</v>
      </c>
      <c r="H521" s="550" t="s">
        <v>1502</v>
      </c>
      <c r="I521" s="539" t="b">
        <v>1</v>
      </c>
      <c r="J521" s="531"/>
    </row>
    <row r="522">
      <c r="A522" s="531"/>
      <c r="B522" s="532"/>
      <c r="C522" s="532"/>
      <c r="D522" s="534">
        <v>43556.0</v>
      </c>
      <c r="E522" s="538" t="s">
        <v>2023</v>
      </c>
      <c r="F522" s="538" t="s">
        <v>2024</v>
      </c>
      <c r="G522" s="539" t="b">
        <v>1</v>
      </c>
      <c r="H522" s="539" t="b">
        <v>1</v>
      </c>
      <c r="I522" s="539" t="b">
        <v>1</v>
      </c>
      <c r="J522" s="531"/>
    </row>
    <row r="523">
      <c r="A523" s="531"/>
      <c r="B523" s="532"/>
      <c r="C523" s="532"/>
      <c r="D523" s="534">
        <v>43556.0</v>
      </c>
      <c r="E523" s="538" t="s">
        <v>2026</v>
      </c>
      <c r="F523" s="538" t="s">
        <v>2027</v>
      </c>
      <c r="G523" s="550" t="s">
        <v>1502</v>
      </c>
      <c r="H523" s="550" t="s">
        <v>1502</v>
      </c>
      <c r="I523" s="539" t="b">
        <v>1</v>
      </c>
      <c r="J523" s="531"/>
    </row>
    <row r="524">
      <c r="D524" s="584">
        <v>43556.0</v>
      </c>
      <c r="E524" s="43" t="s">
        <v>24</v>
      </c>
      <c r="F524" s="585" t="s">
        <v>2028</v>
      </c>
      <c r="G524" s="550" t="s">
        <v>1502</v>
      </c>
      <c r="H524" s="550" t="s">
        <v>1502</v>
      </c>
      <c r="I524" s="550" t="s">
        <v>1502</v>
      </c>
    </row>
    <row r="525">
      <c r="A525" s="538" t="s">
        <v>2029</v>
      </c>
      <c r="B525" s="532"/>
      <c r="C525" s="532"/>
      <c r="D525" s="534">
        <v>43510.0</v>
      </c>
      <c r="E525" s="538" t="s">
        <v>216</v>
      </c>
      <c r="F525" s="538" t="s">
        <v>2030</v>
      </c>
      <c r="G525" s="539" t="b">
        <v>1</v>
      </c>
      <c r="H525" s="539" t="b">
        <v>1</v>
      </c>
      <c r="I525" s="539" t="b">
        <v>1</v>
      </c>
      <c r="J525" s="531"/>
    </row>
    <row r="526">
      <c r="A526" s="538" t="s">
        <v>2031</v>
      </c>
      <c r="B526" s="532"/>
      <c r="C526" s="532"/>
      <c r="D526" s="534">
        <v>43510.0</v>
      </c>
      <c r="E526" s="538" t="s">
        <v>199</v>
      </c>
      <c r="F526" s="538" t="s">
        <v>2032</v>
      </c>
      <c r="G526" s="539" t="b">
        <v>1</v>
      </c>
      <c r="H526" s="539" t="b">
        <v>1</v>
      </c>
      <c r="I526" s="539" t="b">
        <v>1</v>
      </c>
      <c r="J526" s="531"/>
    </row>
    <row r="527" ht="11.25" customHeight="1">
      <c r="A527" s="552"/>
      <c r="B527" s="553"/>
      <c r="C527" s="553"/>
      <c r="D527" s="555">
        <v>43505.0</v>
      </c>
      <c r="E527" s="556" t="s">
        <v>2033</v>
      </c>
      <c r="F527" s="553"/>
      <c r="G527" s="553"/>
      <c r="H527" s="553"/>
      <c r="I527" s="553"/>
      <c r="J527" s="557"/>
    </row>
    <row r="528">
      <c r="A528" s="538" t="s">
        <v>2034</v>
      </c>
      <c r="B528" s="532"/>
      <c r="C528" s="532"/>
      <c r="D528" s="534">
        <v>43505.0</v>
      </c>
      <c r="E528" s="538" t="s">
        <v>2035</v>
      </c>
      <c r="F528" s="538" t="s">
        <v>2036</v>
      </c>
      <c r="G528" s="539" t="b">
        <v>1</v>
      </c>
      <c r="H528" s="539" t="b">
        <v>1</v>
      </c>
      <c r="I528" s="539" t="b">
        <v>1</v>
      </c>
      <c r="J528" s="538"/>
    </row>
    <row r="529">
      <c r="A529" s="538" t="s">
        <v>2037</v>
      </c>
      <c r="B529" s="586">
        <v>942.0</v>
      </c>
      <c r="C529" s="586"/>
      <c r="D529" s="534">
        <v>43505.0</v>
      </c>
      <c r="E529" s="562" t="s">
        <v>2039</v>
      </c>
      <c r="F529" s="538" t="s">
        <v>2040</v>
      </c>
      <c r="G529" s="539" t="b">
        <v>1</v>
      </c>
      <c r="H529" s="539" t="b">
        <v>1</v>
      </c>
      <c r="I529" s="539" t="b">
        <v>1</v>
      </c>
      <c r="J529" s="531"/>
    </row>
    <row r="530">
      <c r="A530" s="538" t="s">
        <v>2041</v>
      </c>
      <c r="B530" s="586">
        <v>943.0</v>
      </c>
      <c r="C530" s="586"/>
      <c r="D530" s="534">
        <v>43505.0</v>
      </c>
      <c r="E530" s="587" t="s">
        <v>2042</v>
      </c>
      <c r="F530" s="538" t="s">
        <v>2040</v>
      </c>
      <c r="G530" s="539" t="b">
        <v>1</v>
      </c>
      <c r="H530" s="539" t="b">
        <v>1</v>
      </c>
      <c r="I530" s="539" t="b">
        <v>1</v>
      </c>
      <c r="J530" s="531"/>
    </row>
    <row r="531">
      <c r="A531" s="538" t="s">
        <v>2044</v>
      </c>
      <c r="B531" s="586">
        <v>944.0</v>
      </c>
      <c r="C531" s="586"/>
      <c r="D531" s="534">
        <v>43505.0</v>
      </c>
      <c r="E531" s="587" t="s">
        <v>1047</v>
      </c>
      <c r="F531" s="538" t="s">
        <v>2040</v>
      </c>
      <c r="G531" s="539" t="b">
        <v>1</v>
      </c>
      <c r="H531" s="539" t="b">
        <v>1</v>
      </c>
      <c r="I531" s="539" t="b">
        <v>1</v>
      </c>
      <c r="J531" s="531"/>
    </row>
    <row r="532">
      <c r="A532" s="538" t="s">
        <v>2045</v>
      </c>
      <c r="B532" s="586">
        <v>945.0</v>
      </c>
      <c r="C532" s="586"/>
      <c r="D532" s="534">
        <v>43505.0</v>
      </c>
      <c r="E532" s="587" t="s">
        <v>2046</v>
      </c>
      <c r="F532" s="538" t="s">
        <v>2040</v>
      </c>
      <c r="G532" s="539" t="b">
        <v>1</v>
      </c>
      <c r="H532" s="539" t="b">
        <v>1</v>
      </c>
      <c r="I532" s="539" t="b">
        <v>1</v>
      </c>
      <c r="J532" s="531"/>
    </row>
    <row r="533">
      <c r="A533" s="538" t="s">
        <v>2048</v>
      </c>
      <c r="B533" s="532"/>
      <c r="C533" s="532"/>
      <c r="D533" s="534">
        <v>43505.0</v>
      </c>
      <c r="E533" s="538" t="s">
        <v>2049</v>
      </c>
      <c r="F533" s="538" t="s">
        <v>2050</v>
      </c>
      <c r="G533" s="539" t="b">
        <v>1</v>
      </c>
      <c r="H533" s="539" t="b">
        <v>1</v>
      </c>
      <c r="I533" s="539" t="b">
        <v>1</v>
      </c>
      <c r="J533" s="531"/>
    </row>
    <row r="534">
      <c r="A534" s="538" t="s">
        <v>2051</v>
      </c>
      <c r="B534" s="532"/>
      <c r="C534" s="532"/>
      <c r="D534" s="534">
        <v>43505.0</v>
      </c>
      <c r="E534" s="538" t="s">
        <v>2052</v>
      </c>
      <c r="F534" s="538" t="s">
        <v>1988</v>
      </c>
      <c r="G534" s="539" t="b">
        <v>1</v>
      </c>
      <c r="H534" s="539" t="b">
        <v>1</v>
      </c>
      <c r="I534" s="539" t="b">
        <v>1</v>
      </c>
      <c r="J534" s="531"/>
    </row>
    <row r="535">
      <c r="A535" s="538" t="s">
        <v>2053</v>
      </c>
      <c r="B535" s="532"/>
      <c r="C535" s="532"/>
      <c r="D535" s="534">
        <v>43502.0</v>
      </c>
      <c r="E535" s="538" t="s">
        <v>199</v>
      </c>
      <c r="F535" s="538" t="s">
        <v>2054</v>
      </c>
      <c r="G535" s="539" t="b">
        <v>1</v>
      </c>
      <c r="H535" s="539" t="b">
        <v>1</v>
      </c>
      <c r="I535" s="539" t="b">
        <v>1</v>
      </c>
      <c r="J535" s="531"/>
    </row>
    <row r="536">
      <c r="A536" s="538" t="s">
        <v>2055</v>
      </c>
      <c r="B536" s="532"/>
      <c r="C536" s="532"/>
      <c r="D536" s="534">
        <v>43495.0</v>
      </c>
      <c r="E536" s="538" t="s">
        <v>2056</v>
      </c>
      <c r="F536" s="562" t="s">
        <v>1843</v>
      </c>
      <c r="G536" s="539" t="b">
        <v>1</v>
      </c>
      <c r="H536" s="539" t="b">
        <v>1</v>
      </c>
      <c r="I536" s="539" t="b">
        <v>1</v>
      </c>
      <c r="J536" s="531"/>
    </row>
    <row r="537">
      <c r="A537" s="538" t="s">
        <v>2058</v>
      </c>
      <c r="B537" s="532"/>
      <c r="C537" s="532"/>
      <c r="D537" s="534">
        <v>43493.0</v>
      </c>
      <c r="E537" s="538" t="s">
        <v>525</v>
      </c>
      <c r="F537" s="538" t="s">
        <v>2059</v>
      </c>
      <c r="G537" s="539" t="b">
        <v>1</v>
      </c>
      <c r="H537" s="539" t="b">
        <v>1</v>
      </c>
      <c r="I537" s="539" t="b">
        <v>1</v>
      </c>
      <c r="J537" s="531"/>
    </row>
    <row r="538" ht="12.0" customHeight="1">
      <c r="A538" s="588"/>
      <c r="B538" s="589"/>
      <c r="C538" s="589"/>
      <c r="D538" s="590">
        <v>43489.0</v>
      </c>
      <c r="E538" s="591" t="s">
        <v>1975</v>
      </c>
      <c r="F538" s="592"/>
      <c r="G538" s="593"/>
      <c r="H538" s="593"/>
      <c r="I538" s="593"/>
      <c r="J538" s="594"/>
    </row>
    <row r="539">
      <c r="A539" s="538" t="s">
        <v>2066</v>
      </c>
      <c r="B539" s="532"/>
      <c r="C539" s="532"/>
      <c r="D539" s="534">
        <v>43488.0</v>
      </c>
      <c r="E539" s="538" t="s">
        <v>1519</v>
      </c>
      <c r="F539" s="538" t="s">
        <v>2067</v>
      </c>
      <c r="G539" s="539" t="b">
        <v>1</v>
      </c>
      <c r="H539" s="539" t="b">
        <v>1</v>
      </c>
      <c r="I539" s="539" t="b">
        <v>1</v>
      </c>
      <c r="J539" s="531"/>
    </row>
    <row r="540">
      <c r="A540" s="538" t="s">
        <v>2070</v>
      </c>
      <c r="B540" s="532"/>
      <c r="C540" s="532"/>
      <c r="D540" s="534">
        <v>43488.0</v>
      </c>
      <c r="E540" s="538" t="s">
        <v>2071</v>
      </c>
      <c r="F540" s="538" t="s">
        <v>2072</v>
      </c>
      <c r="G540" s="539" t="b">
        <v>1</v>
      </c>
      <c r="H540" s="539" t="b">
        <v>1</v>
      </c>
      <c r="I540" s="539" t="b">
        <v>1</v>
      </c>
      <c r="J540" s="531"/>
    </row>
    <row r="541">
      <c r="A541" s="538" t="s">
        <v>2073</v>
      </c>
      <c r="B541" s="532"/>
      <c r="C541" s="532"/>
      <c r="D541" s="534">
        <v>43488.0</v>
      </c>
      <c r="E541" s="538" t="s">
        <v>2071</v>
      </c>
      <c r="F541" s="562" t="s">
        <v>1843</v>
      </c>
      <c r="G541" s="550" t="s">
        <v>1502</v>
      </c>
      <c r="H541" s="550" t="s">
        <v>1502</v>
      </c>
      <c r="I541" s="539" t="b">
        <v>1</v>
      </c>
      <c r="J541" s="531"/>
    </row>
    <row r="542">
      <c r="A542" s="538" t="s">
        <v>2074</v>
      </c>
      <c r="B542" s="595" t="s">
        <v>2075</v>
      </c>
      <c r="C542" s="595"/>
      <c r="D542" s="534">
        <v>43485.0</v>
      </c>
      <c r="E542" s="562" t="s">
        <v>1879</v>
      </c>
      <c r="F542" s="538" t="s">
        <v>2040</v>
      </c>
      <c r="G542" s="539" t="b">
        <v>1</v>
      </c>
      <c r="H542" s="539" t="b">
        <v>1</v>
      </c>
      <c r="I542" s="539" t="b">
        <v>1</v>
      </c>
      <c r="J542" s="531"/>
    </row>
    <row r="543">
      <c r="A543" s="538" t="s">
        <v>2077</v>
      </c>
      <c r="B543" s="595" t="s">
        <v>2078</v>
      </c>
      <c r="C543" s="595"/>
      <c r="D543" s="534">
        <v>43850.0</v>
      </c>
      <c r="E543" s="562" t="s">
        <v>2079</v>
      </c>
      <c r="F543" s="560" t="s">
        <v>1903</v>
      </c>
      <c r="G543" s="539" t="b">
        <v>1</v>
      </c>
      <c r="H543" s="539" t="b">
        <v>1</v>
      </c>
      <c r="I543" s="539" t="b">
        <v>1</v>
      </c>
      <c r="J543" s="531"/>
    </row>
    <row r="544">
      <c r="A544" s="538" t="s">
        <v>2080</v>
      </c>
      <c r="B544" s="595" t="s">
        <v>2081</v>
      </c>
      <c r="C544" s="595"/>
      <c r="D544" s="534">
        <v>44216.0</v>
      </c>
      <c r="E544" s="562" t="s">
        <v>2083</v>
      </c>
      <c r="F544" s="560" t="s">
        <v>1903</v>
      </c>
      <c r="G544" s="539" t="b">
        <v>1</v>
      </c>
      <c r="H544" s="539" t="b">
        <v>1</v>
      </c>
      <c r="I544" s="539" t="b">
        <v>1</v>
      </c>
      <c r="J544" s="531"/>
    </row>
    <row r="545">
      <c r="A545" s="538" t="s">
        <v>2084</v>
      </c>
      <c r="B545" s="595"/>
      <c r="C545" s="595"/>
      <c r="D545" s="534">
        <v>40197.0</v>
      </c>
      <c r="E545" s="596" t="s">
        <v>525</v>
      </c>
      <c r="F545" s="538" t="s">
        <v>2086</v>
      </c>
      <c r="G545" s="539" t="b">
        <v>1</v>
      </c>
      <c r="H545" s="539" t="b">
        <v>1</v>
      </c>
      <c r="I545" s="550" t="s">
        <v>1502</v>
      </c>
      <c r="J545" s="531"/>
    </row>
    <row r="546">
      <c r="A546" s="538" t="s">
        <v>2087</v>
      </c>
      <c r="B546" s="595"/>
      <c r="C546" s="595"/>
      <c r="D546" s="534">
        <v>40562.0</v>
      </c>
      <c r="E546" s="43" t="s">
        <v>2088</v>
      </c>
      <c r="F546" s="538" t="s">
        <v>2089</v>
      </c>
      <c r="G546" s="539" t="b">
        <v>1</v>
      </c>
      <c r="H546" s="539" t="b">
        <v>1</v>
      </c>
      <c r="I546" s="539" t="b">
        <v>1</v>
      </c>
      <c r="J546" s="531"/>
    </row>
    <row r="547">
      <c r="A547" s="538" t="s">
        <v>2090</v>
      </c>
      <c r="B547" s="595" t="s">
        <v>2091</v>
      </c>
      <c r="C547" s="595"/>
      <c r="D547" s="534">
        <v>40927.0</v>
      </c>
      <c r="E547" s="43" t="s">
        <v>579</v>
      </c>
      <c r="F547" s="560" t="s">
        <v>1903</v>
      </c>
      <c r="G547" s="539" t="b">
        <v>1</v>
      </c>
      <c r="H547" s="539" t="b">
        <v>1</v>
      </c>
      <c r="I547" s="539" t="b">
        <v>1</v>
      </c>
      <c r="J547" s="531"/>
    </row>
    <row r="548">
      <c r="A548" s="538" t="s">
        <v>2092</v>
      </c>
      <c r="B548" s="595" t="s">
        <v>2093</v>
      </c>
      <c r="C548" s="595"/>
      <c r="D548" s="534">
        <v>41293.0</v>
      </c>
      <c r="E548" s="597" t="s">
        <v>140</v>
      </c>
      <c r="F548" s="560" t="s">
        <v>1903</v>
      </c>
      <c r="G548" s="539" t="b">
        <v>1</v>
      </c>
      <c r="H548" s="539" t="b">
        <v>1</v>
      </c>
      <c r="I548" s="539" t="b">
        <v>1</v>
      </c>
      <c r="J548" s="531"/>
    </row>
    <row r="549">
      <c r="A549" s="538" t="s">
        <v>2094</v>
      </c>
      <c r="B549" s="595" t="s">
        <v>2095</v>
      </c>
      <c r="C549" s="595"/>
      <c r="D549" s="534">
        <v>41658.0</v>
      </c>
      <c r="E549" s="597" t="s">
        <v>478</v>
      </c>
      <c r="F549" s="560" t="s">
        <v>1903</v>
      </c>
      <c r="G549" s="539" t="b">
        <v>1</v>
      </c>
      <c r="H549" s="539" t="b">
        <v>1</v>
      </c>
      <c r="I549" s="539" t="b">
        <v>1</v>
      </c>
      <c r="J549" s="531"/>
    </row>
    <row r="550">
      <c r="A550" s="538" t="s">
        <v>2096</v>
      </c>
      <c r="B550" s="595" t="s">
        <v>2097</v>
      </c>
      <c r="C550" s="595"/>
      <c r="D550" s="534">
        <v>42023.0</v>
      </c>
      <c r="E550" s="597" t="s">
        <v>2098</v>
      </c>
      <c r="F550" s="560" t="s">
        <v>1903</v>
      </c>
      <c r="G550" s="539" t="b">
        <v>1</v>
      </c>
      <c r="H550" s="539" t="b">
        <v>1</v>
      </c>
      <c r="I550" s="539" t="b">
        <v>1</v>
      </c>
      <c r="J550" s="531"/>
    </row>
    <row r="551">
      <c r="A551" s="538" t="s">
        <v>2099</v>
      </c>
      <c r="B551" s="595" t="s">
        <v>2100</v>
      </c>
      <c r="C551" s="595"/>
      <c r="D551" s="534">
        <v>42388.0</v>
      </c>
      <c r="E551" s="597" t="s">
        <v>2101</v>
      </c>
      <c r="F551" s="560" t="s">
        <v>1903</v>
      </c>
      <c r="G551" s="539" t="b">
        <v>1</v>
      </c>
      <c r="H551" s="539" t="b">
        <v>1</v>
      </c>
      <c r="I551" s="539" t="b">
        <v>1</v>
      </c>
      <c r="J551" s="531"/>
    </row>
    <row r="552">
      <c r="A552" s="538" t="s">
        <v>2102</v>
      </c>
      <c r="B552" s="595" t="s">
        <v>2103</v>
      </c>
      <c r="C552" s="595"/>
      <c r="D552" s="534">
        <v>42754.0</v>
      </c>
      <c r="E552" s="597" t="s">
        <v>406</v>
      </c>
      <c r="F552" s="560" t="s">
        <v>1903</v>
      </c>
      <c r="G552" s="539" t="b">
        <v>1</v>
      </c>
      <c r="H552" s="539" t="b">
        <v>1</v>
      </c>
      <c r="I552" s="539" t="b">
        <v>1</v>
      </c>
      <c r="J552" s="531"/>
    </row>
    <row r="553">
      <c r="A553" s="538" t="s">
        <v>2105</v>
      </c>
      <c r="B553" s="595" t="s">
        <v>2107</v>
      </c>
      <c r="C553" s="595"/>
      <c r="D553" s="534">
        <v>43119.0</v>
      </c>
      <c r="E553" s="597" t="s">
        <v>2108</v>
      </c>
      <c r="F553" s="560" t="s">
        <v>1903</v>
      </c>
      <c r="G553" s="539" t="b">
        <v>1</v>
      </c>
      <c r="H553" s="539" t="b">
        <v>1</v>
      </c>
      <c r="I553" s="539" t="b">
        <v>1</v>
      </c>
      <c r="J553" s="531"/>
    </row>
    <row r="554">
      <c r="A554" s="538" t="s">
        <v>2109</v>
      </c>
      <c r="B554" s="595"/>
      <c r="C554" s="595"/>
      <c r="D554" s="534">
        <v>43484.0</v>
      </c>
      <c r="E554" s="538" t="s">
        <v>2110</v>
      </c>
      <c r="F554" s="538" t="s">
        <v>2111</v>
      </c>
      <c r="G554" s="550" t="s">
        <v>1502</v>
      </c>
      <c r="H554" s="550" t="s">
        <v>1502</v>
      </c>
      <c r="I554" s="539" t="b">
        <v>1</v>
      </c>
      <c r="J554" s="531"/>
    </row>
    <row r="555">
      <c r="A555" s="538" t="s">
        <v>2112</v>
      </c>
      <c r="B555" s="600"/>
      <c r="C555" s="600"/>
      <c r="D555" s="601">
        <v>43483.0</v>
      </c>
      <c r="E555" s="538" t="s">
        <v>1502</v>
      </c>
      <c r="F555" s="538" t="s">
        <v>2113</v>
      </c>
      <c r="G555" s="550" t="s">
        <v>1502</v>
      </c>
      <c r="H555" s="550" t="s">
        <v>1502</v>
      </c>
      <c r="I555" s="550" t="s">
        <v>1502</v>
      </c>
      <c r="J555" s="538" t="s">
        <v>2114</v>
      </c>
    </row>
    <row r="556">
      <c r="A556" s="538" t="s">
        <v>2115</v>
      </c>
      <c r="B556" s="600"/>
      <c r="C556" s="600"/>
      <c r="D556" s="601">
        <v>43483.0</v>
      </c>
      <c r="E556" s="538" t="s">
        <v>2116</v>
      </c>
      <c r="F556" s="538" t="s">
        <v>2117</v>
      </c>
      <c r="G556" s="539" t="b">
        <v>1</v>
      </c>
      <c r="H556" s="539" t="b">
        <v>1</v>
      </c>
      <c r="I556" s="539" t="b">
        <v>1</v>
      </c>
      <c r="J556" s="531"/>
    </row>
    <row r="557">
      <c r="A557" s="538" t="s">
        <v>2118</v>
      </c>
      <c r="B557" s="600"/>
      <c r="C557" s="600"/>
      <c r="D557" s="601">
        <v>43483.0</v>
      </c>
      <c r="E557" s="538" t="s">
        <v>2119</v>
      </c>
      <c r="F557" s="562" t="s">
        <v>1843</v>
      </c>
      <c r="G557" s="550" t="s">
        <v>1502</v>
      </c>
      <c r="H557" s="550" t="s">
        <v>1502</v>
      </c>
      <c r="I557" s="539" t="b">
        <v>1</v>
      </c>
      <c r="J557" s="531"/>
    </row>
    <row r="558">
      <c r="A558" s="538" t="s">
        <v>2120</v>
      </c>
      <c r="B558" s="586"/>
      <c r="C558" s="586"/>
      <c r="D558" s="604">
        <v>43482.0</v>
      </c>
      <c r="E558" s="538" t="s">
        <v>2122</v>
      </c>
      <c r="F558" s="562" t="s">
        <v>1843</v>
      </c>
      <c r="G558" s="550" t="s">
        <v>1502</v>
      </c>
      <c r="H558" s="550" t="s">
        <v>1502</v>
      </c>
      <c r="I558" s="539" t="b">
        <v>1</v>
      </c>
      <c r="J558" s="531"/>
    </row>
    <row r="559">
      <c r="A559" s="538" t="s">
        <v>2123</v>
      </c>
      <c r="B559" s="600"/>
      <c r="C559" s="600"/>
      <c r="D559" s="601">
        <v>43482.0</v>
      </c>
      <c r="E559" s="562" t="s">
        <v>2124</v>
      </c>
      <c r="F559" s="562" t="s">
        <v>1843</v>
      </c>
      <c r="G559" s="550" t="s">
        <v>1502</v>
      </c>
      <c r="H559" s="550" t="s">
        <v>1502</v>
      </c>
      <c r="I559" s="539" t="b">
        <v>1</v>
      </c>
      <c r="J559" s="531"/>
    </row>
    <row r="560">
      <c r="A560" s="538" t="s">
        <v>2125</v>
      </c>
      <c r="B560" s="586"/>
      <c r="C560" s="586"/>
      <c r="D560" s="604">
        <v>43482.0</v>
      </c>
      <c r="E560" s="597" t="s">
        <v>2126</v>
      </c>
      <c r="F560" s="562" t="s">
        <v>1843</v>
      </c>
      <c r="G560" s="550" t="s">
        <v>1502</v>
      </c>
      <c r="H560" s="550" t="s">
        <v>1502</v>
      </c>
      <c r="I560" s="539" t="b">
        <v>1</v>
      </c>
      <c r="J560" s="531"/>
    </row>
    <row r="561">
      <c r="A561" s="538" t="s">
        <v>2127</v>
      </c>
      <c r="B561" s="586"/>
      <c r="C561" s="586"/>
      <c r="D561" s="604">
        <v>43482.0</v>
      </c>
      <c r="E561" s="597" t="s">
        <v>2128</v>
      </c>
      <c r="F561" s="562" t="s">
        <v>1843</v>
      </c>
      <c r="G561" s="550" t="s">
        <v>1502</v>
      </c>
      <c r="H561" s="550" t="s">
        <v>1502</v>
      </c>
      <c r="I561" s="539" t="b">
        <v>1</v>
      </c>
      <c r="J561" s="531"/>
    </row>
    <row r="562">
      <c r="A562" s="538" t="s">
        <v>2129</v>
      </c>
      <c r="B562" s="586"/>
      <c r="C562" s="586"/>
      <c r="D562" s="604">
        <v>43482.0</v>
      </c>
      <c r="E562" s="597" t="s">
        <v>2130</v>
      </c>
      <c r="F562" s="562" t="s">
        <v>1843</v>
      </c>
      <c r="G562" s="550" t="s">
        <v>1502</v>
      </c>
      <c r="H562" s="550" t="s">
        <v>1502</v>
      </c>
      <c r="I562" s="539" t="b">
        <v>1</v>
      </c>
      <c r="J562" s="531"/>
    </row>
    <row r="563">
      <c r="A563" s="538" t="s">
        <v>2131</v>
      </c>
      <c r="B563" s="586"/>
      <c r="C563" s="586"/>
      <c r="D563" s="604">
        <v>43482.0</v>
      </c>
      <c r="E563" s="597" t="s">
        <v>2132</v>
      </c>
      <c r="F563" s="562" t="s">
        <v>1843</v>
      </c>
      <c r="G563" s="550" t="s">
        <v>1502</v>
      </c>
      <c r="H563" s="550" t="s">
        <v>1502</v>
      </c>
      <c r="I563" s="539" t="b">
        <v>1</v>
      </c>
      <c r="J563" s="531"/>
    </row>
    <row r="564">
      <c r="A564" s="538" t="s">
        <v>2135</v>
      </c>
      <c r="B564" s="586"/>
      <c r="C564" s="586"/>
      <c r="D564" s="604">
        <v>43482.0</v>
      </c>
      <c r="E564" s="597" t="s">
        <v>2136</v>
      </c>
      <c r="F564" s="562" t="s">
        <v>1843</v>
      </c>
      <c r="G564" s="550" t="s">
        <v>1502</v>
      </c>
      <c r="H564" s="550" t="s">
        <v>1502</v>
      </c>
      <c r="I564" s="539" t="b">
        <v>1</v>
      </c>
      <c r="J564" s="531"/>
    </row>
    <row r="565">
      <c r="A565" s="538" t="s">
        <v>2137</v>
      </c>
      <c r="B565" s="586"/>
      <c r="C565" s="586"/>
      <c r="D565" s="604">
        <v>43482.0</v>
      </c>
      <c r="E565" s="597" t="s">
        <v>2138</v>
      </c>
      <c r="F565" s="562" t="s">
        <v>1843</v>
      </c>
      <c r="G565" s="550" t="s">
        <v>1502</v>
      </c>
      <c r="H565" s="550" t="s">
        <v>1502</v>
      </c>
      <c r="I565" s="539" t="b">
        <v>1</v>
      </c>
      <c r="J565" s="531"/>
    </row>
    <row r="566">
      <c r="A566" s="538" t="s">
        <v>2139</v>
      </c>
      <c r="B566" s="586"/>
      <c r="C566" s="586"/>
      <c r="D566" s="604">
        <v>43482.0</v>
      </c>
      <c r="E566" s="562" t="s">
        <v>2140</v>
      </c>
      <c r="F566" s="562" t="s">
        <v>1843</v>
      </c>
      <c r="G566" s="550" t="s">
        <v>1502</v>
      </c>
      <c r="H566" s="550" t="s">
        <v>1502</v>
      </c>
      <c r="I566" s="539" t="b">
        <v>1</v>
      </c>
      <c r="J566" s="531"/>
    </row>
    <row r="567">
      <c r="A567" s="538" t="s">
        <v>2141</v>
      </c>
      <c r="B567" s="586"/>
      <c r="C567" s="586"/>
      <c r="D567" s="604">
        <v>43482.0</v>
      </c>
      <c r="E567" s="562" t="s">
        <v>2142</v>
      </c>
      <c r="F567" s="562" t="s">
        <v>1843</v>
      </c>
      <c r="G567" s="550" t="s">
        <v>1502</v>
      </c>
      <c r="H567" s="550" t="s">
        <v>1502</v>
      </c>
      <c r="I567" s="539" t="b">
        <v>1</v>
      </c>
      <c r="J567" s="531"/>
    </row>
    <row r="568">
      <c r="A568" s="538" t="s">
        <v>2143</v>
      </c>
      <c r="B568" s="586"/>
      <c r="C568" s="586"/>
      <c r="D568" s="604">
        <v>43482.0</v>
      </c>
      <c r="E568" s="562" t="s">
        <v>2145</v>
      </c>
      <c r="F568" s="562" t="s">
        <v>1843</v>
      </c>
      <c r="G568" s="550" t="s">
        <v>1502</v>
      </c>
      <c r="H568" s="550" t="s">
        <v>1502</v>
      </c>
      <c r="I568" s="539" t="b">
        <v>1</v>
      </c>
      <c r="J568" s="531"/>
    </row>
    <row r="569">
      <c r="A569" s="538" t="s">
        <v>2146</v>
      </c>
      <c r="B569" s="586"/>
      <c r="C569" s="586"/>
      <c r="D569" s="604">
        <v>43482.0</v>
      </c>
      <c r="E569" s="562" t="s">
        <v>2147</v>
      </c>
      <c r="F569" s="562" t="s">
        <v>1843</v>
      </c>
      <c r="G569" s="550" t="s">
        <v>1502</v>
      </c>
      <c r="H569" s="550" t="s">
        <v>1502</v>
      </c>
      <c r="I569" s="539" t="b">
        <v>1</v>
      </c>
      <c r="J569" s="531"/>
    </row>
    <row r="570">
      <c r="A570" s="538" t="s">
        <v>2148</v>
      </c>
      <c r="B570" s="586"/>
      <c r="C570" s="586"/>
      <c r="D570" s="604">
        <v>43482.0</v>
      </c>
      <c r="E570" s="562" t="s">
        <v>2149</v>
      </c>
      <c r="F570" s="562" t="s">
        <v>1843</v>
      </c>
      <c r="G570" s="550" t="s">
        <v>1502</v>
      </c>
      <c r="H570" s="550" t="s">
        <v>1502</v>
      </c>
      <c r="I570" s="539" t="b">
        <v>1</v>
      </c>
      <c r="J570" s="531"/>
    </row>
    <row r="571">
      <c r="A571" s="538" t="s">
        <v>2150</v>
      </c>
      <c r="B571" s="586"/>
      <c r="C571" s="586"/>
      <c r="D571" s="604">
        <v>43482.0</v>
      </c>
      <c r="E571" s="562" t="s">
        <v>2151</v>
      </c>
      <c r="F571" s="562" t="s">
        <v>1843</v>
      </c>
      <c r="G571" s="550" t="s">
        <v>1502</v>
      </c>
      <c r="H571" s="550" t="s">
        <v>1502</v>
      </c>
      <c r="I571" s="539" t="b">
        <v>1</v>
      </c>
      <c r="J571" s="531"/>
    </row>
    <row r="572">
      <c r="A572" s="538" t="s">
        <v>2153</v>
      </c>
      <c r="B572" s="586"/>
      <c r="C572" s="586"/>
      <c r="D572" s="604">
        <v>43482.0</v>
      </c>
      <c r="E572" s="562" t="s">
        <v>2154</v>
      </c>
      <c r="F572" s="562" t="s">
        <v>1843</v>
      </c>
      <c r="G572" s="550" t="s">
        <v>1502</v>
      </c>
      <c r="H572" s="550" t="s">
        <v>1502</v>
      </c>
      <c r="I572" s="539" t="b">
        <v>1</v>
      </c>
      <c r="J572" s="531"/>
    </row>
    <row r="573">
      <c r="A573" s="538" t="s">
        <v>2155</v>
      </c>
      <c r="B573" s="586"/>
      <c r="C573" s="586"/>
      <c r="D573" s="604">
        <v>43482.0</v>
      </c>
      <c r="E573" s="562" t="s">
        <v>2157</v>
      </c>
      <c r="F573" s="562" t="s">
        <v>1843</v>
      </c>
      <c r="G573" s="550" t="s">
        <v>1502</v>
      </c>
      <c r="H573" s="550" t="s">
        <v>1502</v>
      </c>
      <c r="I573" s="539" t="b">
        <v>1</v>
      </c>
      <c r="J573" s="531"/>
    </row>
    <row r="574">
      <c r="A574" s="538" t="s">
        <v>2158</v>
      </c>
      <c r="B574" s="586"/>
      <c r="C574" s="586"/>
      <c r="D574" s="604">
        <v>43482.0</v>
      </c>
      <c r="E574" s="562" t="s">
        <v>2159</v>
      </c>
      <c r="F574" s="562" t="s">
        <v>1843</v>
      </c>
      <c r="G574" s="550" t="s">
        <v>1502</v>
      </c>
      <c r="H574" s="550" t="s">
        <v>1502</v>
      </c>
      <c r="I574" s="539" t="b">
        <v>1</v>
      </c>
      <c r="J574" s="531"/>
    </row>
    <row r="575">
      <c r="A575" s="538" t="s">
        <v>2160</v>
      </c>
      <c r="B575" s="586"/>
      <c r="C575" s="586"/>
      <c r="D575" s="604">
        <v>43482.0</v>
      </c>
      <c r="E575" s="562" t="s">
        <v>2161</v>
      </c>
      <c r="F575" s="562" t="s">
        <v>1843</v>
      </c>
      <c r="G575" s="550" t="s">
        <v>1502</v>
      </c>
      <c r="H575" s="550" t="s">
        <v>1502</v>
      </c>
      <c r="I575" s="539" t="b">
        <v>1</v>
      </c>
      <c r="J575" s="531"/>
    </row>
    <row r="576">
      <c r="A576" s="538" t="s">
        <v>2162</v>
      </c>
      <c r="B576" s="586"/>
      <c r="C576" s="586"/>
      <c r="D576" s="604">
        <v>43482.0</v>
      </c>
      <c r="E576" s="562" t="s">
        <v>2163</v>
      </c>
      <c r="F576" s="562" t="s">
        <v>1843</v>
      </c>
      <c r="G576" s="550" t="s">
        <v>1502</v>
      </c>
      <c r="H576" s="550" t="s">
        <v>1502</v>
      </c>
      <c r="I576" s="539" t="b">
        <v>1</v>
      </c>
      <c r="J576" s="531"/>
    </row>
    <row r="577">
      <c r="A577" s="538" t="s">
        <v>2164</v>
      </c>
      <c r="B577" s="586"/>
      <c r="C577" s="586"/>
      <c r="D577" s="604">
        <v>43482.0</v>
      </c>
      <c r="E577" s="562" t="s">
        <v>2165</v>
      </c>
      <c r="F577" s="562" t="s">
        <v>1843</v>
      </c>
      <c r="G577" s="550" t="s">
        <v>1502</v>
      </c>
      <c r="H577" s="550" t="s">
        <v>1502</v>
      </c>
      <c r="I577" s="539" t="b">
        <v>1</v>
      </c>
      <c r="J577" s="531"/>
    </row>
    <row r="578">
      <c r="A578" s="538" t="s">
        <v>2167</v>
      </c>
      <c r="B578" s="586"/>
      <c r="C578" s="586"/>
      <c r="D578" s="604">
        <v>43481.0</v>
      </c>
      <c r="E578" s="539" t="s">
        <v>1502</v>
      </c>
      <c r="F578" s="562" t="s">
        <v>2168</v>
      </c>
      <c r="G578" s="605" t="s">
        <v>1502</v>
      </c>
      <c r="H578" s="605" t="s">
        <v>1502</v>
      </c>
      <c r="I578" s="605" t="s">
        <v>1502</v>
      </c>
      <c r="J578" s="531"/>
    </row>
    <row r="579">
      <c r="A579" s="538" t="s">
        <v>2170</v>
      </c>
      <c r="B579" s="586"/>
      <c r="C579" s="586"/>
      <c r="D579" s="604">
        <v>43480.0</v>
      </c>
      <c r="E579" s="562" t="s">
        <v>2171</v>
      </c>
      <c r="F579" s="562" t="s">
        <v>2172</v>
      </c>
      <c r="G579" s="539" t="b">
        <v>1</v>
      </c>
      <c r="H579" s="539" t="b">
        <v>1</v>
      </c>
      <c r="I579" s="539" t="b">
        <v>1</v>
      </c>
      <c r="J579" s="531"/>
    </row>
    <row r="580">
      <c r="A580" s="538" t="s">
        <v>2174</v>
      </c>
      <c r="B580" s="586"/>
      <c r="C580" s="586"/>
      <c r="D580" s="604">
        <v>43480.0</v>
      </c>
      <c r="E580" s="562" t="s">
        <v>2175</v>
      </c>
      <c r="F580" s="562" t="s">
        <v>2176</v>
      </c>
      <c r="G580" s="539" t="b">
        <v>1</v>
      </c>
      <c r="H580" s="539" t="b">
        <v>1</v>
      </c>
      <c r="I580" s="605" t="s">
        <v>1502</v>
      </c>
      <c r="J580" s="531"/>
    </row>
    <row r="581">
      <c r="A581" s="538" t="s">
        <v>2178</v>
      </c>
      <c r="B581" s="586"/>
      <c r="C581" s="586"/>
      <c r="D581" s="604">
        <v>43480.0</v>
      </c>
      <c r="E581" s="562" t="s">
        <v>2179</v>
      </c>
      <c r="F581" s="606" t="s">
        <v>2180</v>
      </c>
      <c r="G581" s="539" t="b">
        <v>1</v>
      </c>
      <c r="H581" s="539" t="b">
        <v>1</v>
      </c>
      <c r="I581" s="539" t="b">
        <v>1</v>
      </c>
      <c r="J581" s="531"/>
    </row>
    <row r="582">
      <c r="A582" s="538" t="s">
        <v>2181</v>
      </c>
      <c r="B582" s="586"/>
      <c r="C582" s="586"/>
      <c r="D582" s="604">
        <v>43480.0</v>
      </c>
      <c r="E582" s="608" t="s">
        <v>2182</v>
      </c>
      <c r="F582" s="608" t="s">
        <v>2184</v>
      </c>
      <c r="G582" s="539" t="b">
        <v>1</v>
      </c>
      <c r="H582" s="539" t="b">
        <v>1</v>
      </c>
      <c r="I582" s="539" t="b">
        <v>1</v>
      </c>
      <c r="J582" s="609"/>
    </row>
    <row r="583">
      <c r="A583" s="538" t="s">
        <v>2186</v>
      </c>
      <c r="B583" s="586"/>
      <c r="C583" s="586"/>
      <c r="D583" s="610">
        <v>43480.0</v>
      </c>
      <c r="E583" s="611" t="s">
        <v>2188</v>
      </c>
      <c r="F583" s="611" t="s">
        <v>2189</v>
      </c>
      <c r="G583" s="539" t="b">
        <v>1</v>
      </c>
      <c r="H583" s="539" t="b">
        <v>1</v>
      </c>
      <c r="I583" s="539" t="b">
        <v>1</v>
      </c>
      <c r="J583" s="612"/>
    </row>
    <row r="584">
      <c r="A584" s="538" t="s">
        <v>2191</v>
      </c>
      <c r="B584" s="600" t="s">
        <v>2192</v>
      </c>
      <c r="C584" s="600"/>
      <c r="D584" s="604">
        <v>43480.0</v>
      </c>
      <c r="E584" s="562" t="s">
        <v>2193</v>
      </c>
      <c r="F584" s="597" t="s">
        <v>2040</v>
      </c>
      <c r="G584" s="539" t="b">
        <v>1</v>
      </c>
      <c r="H584" s="539" t="b">
        <v>1</v>
      </c>
      <c r="I584" s="539" t="b">
        <v>1</v>
      </c>
      <c r="J584" s="539"/>
    </row>
    <row r="585">
      <c r="A585" s="613" t="s">
        <v>2195</v>
      </c>
      <c r="H585" s="613"/>
      <c r="I585" s="614"/>
      <c r="J585" s="614"/>
    </row>
    <row r="586">
      <c r="A586" s="615" t="s">
        <v>2199</v>
      </c>
      <c r="B586" s="616"/>
      <c r="C586" s="616"/>
      <c r="D586" s="617">
        <v>43479.0</v>
      </c>
      <c r="E586" s="618" t="s">
        <v>2200</v>
      </c>
      <c r="F586" s="619" t="s">
        <v>2201</v>
      </c>
      <c r="G586" s="620" t="b">
        <v>1</v>
      </c>
      <c r="H586" s="620" t="b">
        <v>1</v>
      </c>
      <c r="I586" s="620" t="b">
        <v>1</v>
      </c>
      <c r="J586" s="615"/>
    </row>
    <row r="587">
      <c r="A587" s="615" t="s">
        <v>2206</v>
      </c>
      <c r="B587" s="616"/>
      <c r="C587" s="616"/>
      <c r="D587" s="617">
        <v>43479.0</v>
      </c>
      <c r="E587" s="618" t="s">
        <v>2207</v>
      </c>
      <c r="F587" s="619" t="s">
        <v>2201</v>
      </c>
      <c r="G587" s="620" t="b">
        <v>1</v>
      </c>
      <c r="H587" s="620" t="b">
        <v>1</v>
      </c>
      <c r="I587" s="620" t="b">
        <v>1</v>
      </c>
      <c r="J587" s="615"/>
    </row>
    <row r="588">
      <c r="A588" s="615" t="s">
        <v>2208</v>
      </c>
      <c r="B588" s="616"/>
      <c r="C588" s="616"/>
      <c r="D588" s="617">
        <v>43479.0</v>
      </c>
      <c r="E588" s="618" t="s">
        <v>2209</v>
      </c>
      <c r="F588" s="619" t="s">
        <v>2201</v>
      </c>
      <c r="G588" s="620" t="b">
        <v>1</v>
      </c>
      <c r="H588" s="620" t="b">
        <v>1</v>
      </c>
      <c r="I588" s="620" t="b">
        <v>1</v>
      </c>
      <c r="J588" s="615"/>
    </row>
    <row r="589">
      <c r="A589" s="615" t="s">
        <v>2210</v>
      </c>
      <c r="B589" s="616"/>
      <c r="C589" s="616"/>
      <c r="D589" s="617">
        <v>43479.0</v>
      </c>
      <c r="E589" s="618" t="s">
        <v>2211</v>
      </c>
      <c r="F589" s="619" t="s">
        <v>2201</v>
      </c>
      <c r="G589" s="620" t="b">
        <v>1</v>
      </c>
      <c r="H589" s="620" t="b">
        <v>1</v>
      </c>
      <c r="I589" s="620" t="b">
        <v>1</v>
      </c>
      <c r="J589" s="615"/>
    </row>
    <row r="590">
      <c r="A590" s="615" t="s">
        <v>2213</v>
      </c>
      <c r="B590" s="616"/>
      <c r="C590" s="616"/>
      <c r="D590" s="617">
        <v>43479.0</v>
      </c>
      <c r="E590" s="618" t="s">
        <v>2214</v>
      </c>
      <c r="F590" s="619" t="s">
        <v>2201</v>
      </c>
      <c r="G590" s="620" t="b">
        <v>1</v>
      </c>
      <c r="H590" s="620" t="b">
        <v>1</v>
      </c>
      <c r="I590" s="620" t="b">
        <v>1</v>
      </c>
      <c r="J590" s="615"/>
    </row>
    <row r="591">
      <c r="A591" s="615" t="s">
        <v>2215</v>
      </c>
      <c r="B591" s="616"/>
      <c r="C591" s="616"/>
      <c r="D591" s="617">
        <v>43479.0</v>
      </c>
      <c r="E591" s="618" t="s">
        <v>2216</v>
      </c>
      <c r="F591" s="619" t="s">
        <v>2201</v>
      </c>
      <c r="G591" s="620" t="b">
        <v>1</v>
      </c>
      <c r="H591" s="620" t="b">
        <v>1</v>
      </c>
      <c r="I591" s="620" t="b">
        <v>1</v>
      </c>
      <c r="J591" s="615"/>
    </row>
    <row r="592">
      <c r="A592" s="615" t="s">
        <v>2219</v>
      </c>
      <c r="B592" s="616"/>
      <c r="C592" s="616"/>
      <c r="D592" s="617">
        <v>43479.0</v>
      </c>
      <c r="E592" s="618" t="s">
        <v>2220</v>
      </c>
      <c r="F592" s="619" t="s">
        <v>2201</v>
      </c>
      <c r="G592" s="620" t="b">
        <v>1</v>
      </c>
      <c r="H592" s="620" t="b">
        <v>1</v>
      </c>
      <c r="I592" s="620" t="b">
        <v>1</v>
      </c>
      <c r="J592" s="615"/>
    </row>
    <row r="593">
      <c r="A593" s="615" t="s">
        <v>2221</v>
      </c>
      <c r="B593" s="616"/>
      <c r="C593" s="616"/>
      <c r="D593" s="617">
        <v>43479.0</v>
      </c>
      <c r="E593" s="618" t="s">
        <v>2222</v>
      </c>
      <c r="F593" s="619" t="s">
        <v>2201</v>
      </c>
      <c r="G593" s="620" t="b">
        <v>1</v>
      </c>
      <c r="H593" s="620" t="b">
        <v>1</v>
      </c>
      <c r="I593" s="620" t="b">
        <v>1</v>
      </c>
      <c r="J593" s="615"/>
    </row>
    <row r="594">
      <c r="A594" s="615" t="s">
        <v>2223</v>
      </c>
      <c r="B594" s="621" t="s">
        <v>2224</v>
      </c>
      <c r="C594" s="621"/>
      <c r="D594" s="617">
        <v>43479.0</v>
      </c>
      <c r="E594" s="618" t="s">
        <v>2226</v>
      </c>
      <c r="F594" s="619" t="s">
        <v>2201</v>
      </c>
      <c r="G594" s="620" t="b">
        <v>1</v>
      </c>
      <c r="H594" s="620" t="b">
        <v>1</v>
      </c>
      <c r="I594" s="620" t="b">
        <v>1</v>
      </c>
      <c r="J594" s="615"/>
    </row>
    <row r="595">
      <c r="A595" s="615" t="s">
        <v>2227</v>
      </c>
      <c r="B595" s="621" t="s">
        <v>2228</v>
      </c>
      <c r="C595" s="621"/>
      <c r="D595" s="617">
        <v>43479.0</v>
      </c>
      <c r="E595" s="618" t="s">
        <v>2229</v>
      </c>
      <c r="F595" s="619" t="s">
        <v>2201</v>
      </c>
      <c r="G595" s="620" t="b">
        <v>1</v>
      </c>
      <c r="H595" s="620" t="b">
        <v>1</v>
      </c>
      <c r="I595" s="620" t="b">
        <v>1</v>
      </c>
      <c r="J595" s="615"/>
    </row>
    <row r="596">
      <c r="A596" s="615" t="s">
        <v>2231</v>
      </c>
      <c r="B596" s="621" t="s">
        <v>2232</v>
      </c>
      <c r="C596" s="621"/>
      <c r="D596" s="617">
        <v>43479.0</v>
      </c>
      <c r="E596" s="618" t="s">
        <v>2233</v>
      </c>
      <c r="F596" s="619" t="s">
        <v>2201</v>
      </c>
      <c r="G596" s="620" t="b">
        <v>1</v>
      </c>
      <c r="H596" s="620" t="b">
        <v>1</v>
      </c>
      <c r="I596" s="620" t="b">
        <v>1</v>
      </c>
      <c r="J596" s="615"/>
    </row>
    <row r="597">
      <c r="A597" s="615" t="s">
        <v>2237</v>
      </c>
      <c r="B597" s="621" t="s">
        <v>2238</v>
      </c>
      <c r="C597" s="621"/>
      <c r="D597" s="617">
        <v>43479.0</v>
      </c>
      <c r="E597" s="618" t="s">
        <v>2239</v>
      </c>
      <c r="F597" s="619" t="s">
        <v>2201</v>
      </c>
      <c r="G597" s="620" t="b">
        <v>1</v>
      </c>
      <c r="H597" s="620" t="b">
        <v>1</v>
      </c>
      <c r="I597" s="620" t="b">
        <v>1</v>
      </c>
      <c r="J597" s="615"/>
    </row>
    <row r="598">
      <c r="A598" s="615" t="s">
        <v>2240</v>
      </c>
      <c r="B598" s="621" t="s">
        <v>2241</v>
      </c>
      <c r="C598" s="621"/>
      <c r="D598" s="617">
        <v>43479.0</v>
      </c>
      <c r="E598" s="618" t="s">
        <v>2242</v>
      </c>
      <c r="F598" s="619" t="s">
        <v>2201</v>
      </c>
      <c r="G598" s="620" t="b">
        <v>1</v>
      </c>
      <c r="H598" s="620" t="b">
        <v>1</v>
      </c>
      <c r="I598" s="620" t="b">
        <v>1</v>
      </c>
      <c r="J598" s="615"/>
    </row>
    <row r="599">
      <c r="A599" s="615" t="s">
        <v>2243</v>
      </c>
      <c r="B599" s="621" t="s">
        <v>2244</v>
      </c>
      <c r="C599" s="621"/>
      <c r="D599" s="617">
        <v>43479.0</v>
      </c>
      <c r="E599" s="618" t="s">
        <v>2245</v>
      </c>
      <c r="F599" s="619" t="s">
        <v>2201</v>
      </c>
      <c r="G599" s="620" t="b">
        <v>1</v>
      </c>
      <c r="H599" s="620" t="b">
        <v>1</v>
      </c>
      <c r="I599" s="620" t="b">
        <v>1</v>
      </c>
      <c r="J599" s="615"/>
    </row>
    <row r="600">
      <c r="A600" s="615" t="s">
        <v>2246</v>
      </c>
      <c r="B600" s="621" t="s">
        <v>2247</v>
      </c>
      <c r="C600" s="621"/>
      <c r="D600" s="617">
        <v>43479.0</v>
      </c>
      <c r="E600" s="618" t="s">
        <v>2248</v>
      </c>
      <c r="F600" s="619" t="s">
        <v>2201</v>
      </c>
      <c r="G600" s="620" t="b">
        <v>1</v>
      </c>
      <c r="H600" s="620" t="b">
        <v>1</v>
      </c>
      <c r="I600" s="620" t="b">
        <v>1</v>
      </c>
      <c r="J600" s="615"/>
    </row>
    <row r="601">
      <c r="A601" s="615" t="s">
        <v>2249</v>
      </c>
      <c r="B601" s="621" t="s">
        <v>2251</v>
      </c>
      <c r="C601" s="621"/>
      <c r="D601" s="617">
        <v>43479.0</v>
      </c>
      <c r="E601" s="618" t="s">
        <v>2253</v>
      </c>
      <c r="F601" s="619" t="s">
        <v>2201</v>
      </c>
      <c r="G601" s="620" t="b">
        <v>1</v>
      </c>
      <c r="H601" s="620" t="b">
        <v>1</v>
      </c>
      <c r="I601" s="620" t="b">
        <v>1</v>
      </c>
      <c r="J601" s="615"/>
    </row>
    <row r="602">
      <c r="A602" s="615" t="s">
        <v>2255</v>
      </c>
      <c r="B602" s="621" t="s">
        <v>2256</v>
      </c>
      <c r="C602" s="621"/>
      <c r="D602" s="617">
        <v>43479.0</v>
      </c>
      <c r="E602" s="618" t="s">
        <v>2257</v>
      </c>
      <c r="F602" s="619" t="s">
        <v>2201</v>
      </c>
      <c r="G602" s="620" t="b">
        <v>1</v>
      </c>
      <c r="H602" s="620" t="b">
        <v>1</v>
      </c>
      <c r="I602" s="620" t="b">
        <v>1</v>
      </c>
      <c r="J602" s="615"/>
    </row>
    <row r="603">
      <c r="A603" s="615" t="s">
        <v>2258</v>
      </c>
      <c r="B603" s="621" t="s">
        <v>2259</v>
      </c>
      <c r="C603" s="621"/>
      <c r="D603" s="617">
        <v>43479.0</v>
      </c>
      <c r="E603" s="618" t="s">
        <v>2260</v>
      </c>
      <c r="F603" s="619" t="s">
        <v>2201</v>
      </c>
      <c r="G603" s="620" t="b">
        <v>1</v>
      </c>
      <c r="H603" s="620" t="b">
        <v>1</v>
      </c>
      <c r="I603" s="620" t="b">
        <v>1</v>
      </c>
      <c r="J603" s="615"/>
    </row>
    <row r="604">
      <c r="A604" s="615" t="s">
        <v>2262</v>
      </c>
      <c r="B604" s="621" t="s">
        <v>2263</v>
      </c>
      <c r="C604" s="621"/>
      <c r="D604" s="617">
        <v>43479.0</v>
      </c>
      <c r="E604" s="618" t="s">
        <v>2264</v>
      </c>
      <c r="F604" s="619" t="s">
        <v>2201</v>
      </c>
      <c r="G604" s="620" t="b">
        <v>1</v>
      </c>
      <c r="H604" s="620" t="b">
        <v>1</v>
      </c>
      <c r="I604" s="620" t="b">
        <v>1</v>
      </c>
      <c r="J604" s="615"/>
    </row>
    <row r="605">
      <c r="A605" s="615" t="s">
        <v>2265</v>
      </c>
      <c r="B605" s="621" t="s">
        <v>2266</v>
      </c>
      <c r="C605" s="621"/>
      <c r="D605" s="617">
        <v>43479.0</v>
      </c>
      <c r="E605" s="618" t="s">
        <v>2267</v>
      </c>
      <c r="F605" s="619" t="s">
        <v>2201</v>
      </c>
      <c r="G605" s="620" t="b">
        <v>1</v>
      </c>
      <c r="H605" s="620" t="b">
        <v>1</v>
      </c>
      <c r="I605" s="620" t="b">
        <v>1</v>
      </c>
      <c r="J605" s="615"/>
    </row>
    <row r="606">
      <c r="A606" s="615" t="s">
        <v>2268</v>
      </c>
      <c r="B606" s="621" t="s">
        <v>2269</v>
      </c>
      <c r="C606" s="621"/>
      <c r="D606" s="617">
        <v>43479.0</v>
      </c>
      <c r="E606" s="618" t="s">
        <v>2270</v>
      </c>
      <c r="F606" s="619" t="s">
        <v>2201</v>
      </c>
      <c r="G606" s="620" t="b">
        <v>1</v>
      </c>
      <c r="H606" s="620" t="b">
        <v>1</v>
      </c>
      <c r="I606" s="620" t="b">
        <v>1</v>
      </c>
      <c r="J606" s="615"/>
    </row>
    <row r="607">
      <c r="A607" s="615" t="s">
        <v>2271</v>
      </c>
      <c r="B607" s="621" t="s">
        <v>2272</v>
      </c>
      <c r="C607" s="621"/>
      <c r="D607" s="617">
        <v>43479.0</v>
      </c>
      <c r="E607" s="618" t="s">
        <v>2273</v>
      </c>
      <c r="F607" s="619" t="s">
        <v>2201</v>
      </c>
      <c r="G607" s="620" t="b">
        <v>1</v>
      </c>
      <c r="H607" s="620" t="b">
        <v>1</v>
      </c>
      <c r="I607" s="620" t="b">
        <v>1</v>
      </c>
      <c r="J607" s="615"/>
    </row>
    <row r="608">
      <c r="A608" s="615" t="s">
        <v>2274</v>
      </c>
      <c r="B608" s="621" t="s">
        <v>2275</v>
      </c>
      <c r="C608" s="621"/>
      <c r="D608" s="617">
        <v>43479.0</v>
      </c>
      <c r="E608" s="618" t="s">
        <v>2276</v>
      </c>
      <c r="F608" s="619" t="s">
        <v>2201</v>
      </c>
      <c r="G608" s="620" t="b">
        <v>1</v>
      </c>
      <c r="H608" s="620" t="b">
        <v>1</v>
      </c>
      <c r="I608" s="620" t="b">
        <v>1</v>
      </c>
      <c r="J608" s="620"/>
    </row>
  </sheetData>
  <mergeCells count="4">
    <mergeCell ref="G15:J15"/>
    <mergeCell ref="E474:J474"/>
    <mergeCell ref="E475:F475"/>
    <mergeCell ref="A585:G585"/>
  </mergeCells>
  <hyperlinks>
    <hyperlink r:id="rId1" ref="E17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P3" s="63" t="str">
        <f>hyperlink("http://sbiff.org/", "Santa Barbara International Film Festival")</f>
        <v>Santa Barbara International Film Festival</v>
      </c>
      <c r="AA3" s="43" t="s">
        <v>50</v>
      </c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7" t="str">
        <f>hyperlink("https://www.gbfilmfestival.org/", "Green Bay Film Festival")</f>
        <v>Green Bay Film Festival</v>
      </c>
      <c r="BR3" s="43" t="s">
        <v>50</v>
      </c>
      <c r="BS3" s="63" t="str">
        <f>hyperlink("https://www.pasadenafilmfestival.org/", "Pasadena International Film Festival")</f>
        <v>Pasadena International Film Festival</v>
      </c>
      <c r="CB3" s="43" t="s">
        <v>50</v>
      </c>
      <c r="CG3" s="63" t="str">
        <f>hyperlink("https://www.clevelandfilm.org/", "Cleveland International Film Festival")</f>
        <v>Cleveland International Film Festival</v>
      </c>
      <c r="CS3" s="43" t="s">
        <v>50</v>
      </c>
      <c r="CV3" s="63" t="str">
        <f>hyperlink("https://mspfilm.org/festivals/mspiff/", "Minneapolis-St. Paul International Film Festival")</f>
        <v>Minneapolis-St. Paul International Film Festival</v>
      </c>
      <c r="DR3" s="43" t="s">
        <v>50</v>
      </c>
      <c r="DS3" s="47" t="str">
        <f>hyperlink("http://www.acbv.org/events/2019/red-wasp-film-festival-2019", "Red Wasp Film Festival")</f>
        <v>Red Wasp Film Festival</v>
      </c>
      <c r="DU3" s="43" t="s">
        <v>50</v>
      </c>
      <c r="DV3" s="45"/>
      <c r="DW3" s="47" t="str">
        <f>hyperlink("http://www.fortmyersfilmfestival.com/", "Fort Myers Film Festival")</f>
        <v>Fort Myers Film Festival</v>
      </c>
      <c r="EB3" s="43" t="s">
        <v>50</v>
      </c>
      <c r="EC3" s="45"/>
      <c r="ED3" s="45"/>
      <c r="EF3" s="63" t="str">
        <f>hyperlink("https://www.rooftopfilms.com/", "Rooftop Films Summer Series")</f>
        <v>Rooftop Films Summer Series</v>
      </c>
      <c r="IA3" s="43" t="s">
        <v>50</v>
      </c>
      <c r="IB3" s="45"/>
      <c r="IC3" s="63" t="str">
        <f>hyperlink("https://www.sidewalkfest.com/", "Sidewalk Film Festival")</f>
        <v>Sidewalk Film Festival</v>
      </c>
      <c r="IJ3" s="43" t="s">
        <v>50</v>
      </c>
      <c r="IN3" s="63" t="str">
        <f>hyperlink("https://www.royalstarr.org/", "Royal Starr Film Festival")</f>
        <v>Royal Starr Film Festival</v>
      </c>
      <c r="IX3" s="43" t="s">
        <v>50</v>
      </c>
      <c r="IY3" s="45"/>
      <c r="IZ3" s="45"/>
      <c r="JA3" s="47" t="str">
        <f>hyperlink("https://www.breckfilmfest.org/", "Breckenridge Film Festival")</f>
        <v>Breckenridge Film Festival</v>
      </c>
      <c r="JE3" s="43" t="s">
        <v>50</v>
      </c>
      <c r="JF3" s="45"/>
      <c r="JH3" s="63" t="str">
        <f>hyperlink("http://greatlakesfilmfest.com/", "Great Lakes International Film Festival")</f>
        <v>Great Lakes International Film Festival</v>
      </c>
      <c r="JY3" s="43" t="s">
        <v>50</v>
      </c>
      <c r="KC3" s="63" t="str">
        <f>hyperlink("https://mkefilm.org/", "Milwaukee Film Festival ")</f>
        <v>Milwaukee Film Festival </v>
      </c>
      <c r="KR3" s="43" t="s">
        <v>50</v>
      </c>
      <c r="KT3" s="45"/>
      <c r="KU3" s="45"/>
      <c r="KV3" s="45"/>
      <c r="KW3" s="45"/>
      <c r="KZ3" s="63" t="str">
        <f>hyperlink("http://www.fliff.com/", "Fort Lauderdale International Film Festival")</f>
        <v>Fort Lauderdale International Film Festival</v>
      </c>
      <c r="LQ3" s="43" t="s">
        <v>50</v>
      </c>
      <c r="LR3" s="45"/>
      <c r="LS3" s="45"/>
      <c r="LW3" s="63" t="str">
        <f>hyperlink("https://www.ahith.com/", "Another Hole in the Head Film Festival")</f>
        <v>Another Hole in the Head Film Festival</v>
      </c>
      <c r="ML3" s="43" t="s">
        <v>50</v>
      </c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7" t="str">
        <f>hyperlink("http://www.sunshinecityfilmfestival.com/", "Sunshine City Film Festival")</f>
        <v>Sunshine City Film Festival</v>
      </c>
      <c r="V4" s="43" t="s">
        <v>50</v>
      </c>
      <c r="W4" s="45"/>
      <c r="X4" s="45"/>
      <c r="Y4" s="47" t="str">
        <f>hyperlink("http://www.njfilmfest.com/", "New Jersey International Film Festival")</f>
        <v>New Jersey International Film Festival</v>
      </c>
      <c r="BD4" s="43" t="s">
        <v>50</v>
      </c>
      <c r="BE4" s="45"/>
      <c r="BF4" s="45"/>
      <c r="BG4" s="47" t="str">
        <f>hyperlink("http://www.artcenterbonita.org/biff/", "Bonita Springs International Film Festival")</f>
        <v>Bonita Springs International Film Festival</v>
      </c>
      <c r="BK4" s="43" t="s">
        <v>50</v>
      </c>
      <c r="BL4" s="45"/>
      <c r="BM4" s="45"/>
      <c r="BN4" s="47" t="str">
        <f>hyperlink("http://www.nwfilm.org/festivals/piff", "Portland International Film Festival")</f>
        <v>Portland International Film Festival</v>
      </c>
      <c r="CB4" s="43" t="s">
        <v>50</v>
      </c>
      <c r="CC4" s="45"/>
      <c r="CD4" s="45"/>
      <c r="CE4" s="45"/>
      <c r="CF4" s="45"/>
      <c r="CG4" s="47" t="str">
        <f>hyperlink("http://www.newdirectors.org/", "New Directors/New Films")</f>
        <v>New Directors/New Films</v>
      </c>
      <c r="CS4" s="43" t="s">
        <v>50</v>
      </c>
      <c r="CT4" s="45"/>
      <c r="CU4" s="47" t="str">
        <f>hyperlink("https://www.sffilm.org", "San Francisco International Film Festival")</f>
        <v>San Francisco International Film Festival</v>
      </c>
      <c r="DI4" s="43" t="s">
        <v>50</v>
      </c>
      <c r="DJ4" s="47" t="str">
        <f>hyperlink("http://manhattanff.com/", "Manhattan Film Festival")</f>
        <v>Manhattan Film Festival</v>
      </c>
      <c r="DY4" s="43" t="s">
        <v>50</v>
      </c>
      <c r="DZ4" s="63" t="str">
        <f>hyperlink("http://www.niagaracc.suny.edu/ncccfilmfestival/", "NCCC Film &amp; Animation Festival")</f>
        <v>NCCC Film &amp; Animation Festival</v>
      </c>
      <c r="EA4" s="43" t="s">
        <v>50</v>
      </c>
      <c r="EE4" s="63" t="str">
        <f>hyperlink("https://www.chicoindie.com/", "Chico Independent Film Festival, The")</f>
        <v>Chico Independent Film Festival, The</v>
      </c>
      <c r="EP4" s="43" t="s">
        <v>50</v>
      </c>
      <c r="ER4" s="63" t="str">
        <f>hyperlink("https://www.ds-ff.com/", "Duluth-Superior Film Festival")</f>
        <v>Duluth-Superior Film Festival</v>
      </c>
      <c r="EW4" s="43" t="s">
        <v>50</v>
      </c>
      <c r="EX4" s="45"/>
      <c r="EY4" s="45"/>
      <c r="EZ4" s="45"/>
      <c r="FA4" s="47" t="str">
        <f>hyperlink("http://miamindiefest.com/", "Miami Independent Film Festival")</f>
        <v>Miami Independent Film Festival</v>
      </c>
      <c r="GF4" s="43" t="s">
        <v>50</v>
      </c>
      <c r="GG4" s="45"/>
      <c r="GH4" s="45"/>
      <c r="GI4" s="45"/>
      <c r="GJ4" s="47" t="str">
        <f>hyperlink("https://www.miff.org/", "Maine International Film Festival")</f>
        <v>Maine International Film Festival</v>
      </c>
      <c r="GT4" s="43" t="s">
        <v>50</v>
      </c>
      <c r="GU4" s="45"/>
      <c r="GV4" s="45"/>
      <c r="GW4" s="45"/>
      <c r="GX4" s="45"/>
      <c r="GY4" s="47" t="str">
        <f>hyperlink("http://www.woo...festival.org/", "Woods Hole Film Festival")</f>
        <v>Woods Hole Film Festival</v>
      </c>
      <c r="HG4" s="43" t="s">
        <v>50</v>
      </c>
      <c r="HH4" s="45"/>
      <c r="HI4" s="45"/>
      <c r="HK4" s="63" t="str">
        <f>hyperlink("http://www.chainfilmfestival.com/", "Chain NYC Film Festival")</f>
        <v>Chain NYC Film Festival</v>
      </c>
      <c r="HV4" s="43" t="s">
        <v>50</v>
      </c>
      <c r="HW4" s="45"/>
      <c r="HX4" s="45"/>
      <c r="HY4" s="45"/>
      <c r="HZ4" s="47" t="str">
        <f>hyperlink("https://www.caiff.org/", "California Independent Film Festival")</f>
        <v>California Independent Film Festival</v>
      </c>
      <c r="II4" s="43" t="s">
        <v>50</v>
      </c>
      <c r="IJ4" s="45"/>
      <c r="IO4" s="63" t="str">
        <f>hyperlink("http://www.valleyfilmfest.com/", "Valley Film Festival, The")</f>
        <v>Valley Film Festival, The</v>
      </c>
      <c r="IX4" s="43" t="s">
        <v>50</v>
      </c>
      <c r="IY4" s="63" t="str">
        <f>hyperlink("http://www.oregonindependentfilmfest.com/", "Oregon Independent Film Festival ")</f>
        <v>Oregon Independent Film Festival </v>
      </c>
      <c r="JO4" s="43" t="s">
        <v>50</v>
      </c>
      <c r="JP4" s="63" t="str">
        <f>hyperlink("http://othervenicefilmfestival.com/", "Other Venice Film Festival")</f>
        <v>Other Venice Film Festival</v>
      </c>
      <c r="JS4" s="43" t="s">
        <v>50</v>
      </c>
      <c r="JU4" s="63" t="str">
        <f>hyperlink("http://www.angaelica.com/", "Festival Angaelica")</f>
        <v>Festival Angaelica</v>
      </c>
      <c r="JZ4" s="43" t="s">
        <v>50</v>
      </c>
      <c r="KB4" s="63" t="str">
        <f>hyperlink("https://www.chicagofilmfestival.com/", "Chicago International Film Festival")</f>
        <v>Chicago International Film Festival</v>
      </c>
      <c r="KN4" s="43" t="s">
        <v>50</v>
      </c>
      <c r="KX4" s="63" t="str">
        <f>hyperlink("https://denverfilmfestival.denverfilm.org/?detect=yes", "Denver Film Festival")</f>
        <v>Denver Film Festival</v>
      </c>
      <c r="LJ4" s="43" t="s">
        <v>50</v>
      </c>
      <c r="LL4" s="63" t="str">
        <f>hyperlink("https://kwfilmfest.com/", "Key West Film Festival")</f>
        <v>Key West Film Festival</v>
      </c>
      <c r="LQ4" s="43" t="s">
        <v>50</v>
      </c>
      <c r="LR4" s="45"/>
      <c r="LX4" s="47" t="str">
        <f>hyperlink("https://www.smff.org/", "Santa Monica International Film Festival")</f>
        <v>Santa Monica International Film Festival</v>
      </c>
      <c r="LY4" s="43" t="s">
        <v>50</v>
      </c>
      <c r="MB4" s="63" t="str">
        <f>hyperlink("http://anchoragefilmfestival.org/", "Anchorage International Film Festival")</f>
        <v>Anchorage International Film Festival</v>
      </c>
      <c r="ML4" s="43" t="s">
        <v>50</v>
      </c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7" t="str">
        <f>hyperlink("http://www.borregospringsfilmfestival.org/", "Borrego Springs Film Festival")</f>
        <v>Borrego Springs Film Festival</v>
      </c>
      <c r="V5" s="43" t="s">
        <v>50</v>
      </c>
      <c r="W5" s="45"/>
      <c r="X5" s="45"/>
      <c r="Y5" s="47" t="str">
        <f>hyperlink("http://www.flicpolson.com/", "Flathead Lake International Cinemafest")</f>
        <v>Flathead Lake International Cinemafest</v>
      </c>
      <c r="AB5" s="43" t="s">
        <v>50</v>
      </c>
      <c r="AC5" s="45"/>
      <c r="AD5" s="45"/>
      <c r="AE5" s="47" t="str">
        <f>hyperlink("http://sfindie.com/festivals/sf-indiefest/", "San Francisco Independent Film Festival")</f>
        <v>San Francisco Independent Film Festival</v>
      </c>
      <c r="AT5" s="43" t="s">
        <v>50</v>
      </c>
      <c r="AU5" s="45"/>
      <c r="AV5" s="45"/>
      <c r="AW5" s="45"/>
      <c r="AX5" s="45"/>
      <c r="AY5" s="45"/>
      <c r="AZ5" s="47" t="str">
        <f>hyperlink("https://winterfilmawards.com/", "Winter Film Awards International Film Festival")</f>
        <v>Winter Film Awards International Film Festival</v>
      </c>
      <c r="BJ5" s="43" t="s">
        <v>50</v>
      </c>
      <c r="BK5" s="45"/>
      <c r="BL5" s="63" t="str">
        <f>hyperlink("https://www.cinequest.org/", "Cinequest")</f>
        <v>Cinequest</v>
      </c>
      <c r="BX5" s="43" t="s">
        <v>50</v>
      </c>
      <c r="CA5" s="63" t="str">
        <f>hyperlink("https://www.queensworldfilmfestival.com/", "Queens World Film Festival")</f>
        <v>Queens World Film Festival</v>
      </c>
      <c r="CL5" s="43" t="s">
        <v>50</v>
      </c>
      <c r="CM5" s="45"/>
      <c r="CN5" s="47" t="str">
        <f>hyperlink("https://pjiff.org/", "Poppy Jasper International Film Festival")</f>
        <v>Poppy Jasper International Film Festival</v>
      </c>
      <c r="CV5" s="43" t="s">
        <v>50</v>
      </c>
      <c r="CW5" s="47" t="str">
        <f>hyperlink("http://www.willcoxfilmfest.com/SAIFF/", "Southern Arizona Independent Film Festival")</f>
        <v>Southern Arizona Independent Film Festival</v>
      </c>
      <c r="CY5" s="43" t="s">
        <v>50</v>
      </c>
      <c r="CZ5" s="45"/>
      <c r="DA5" s="45"/>
      <c r="DB5" s="47" t="str">
        <f>hyperlink("http://www.filmfestivalarizona.com/", "Arizona International Film Festival")</f>
        <v>Arizona International Film Festival</v>
      </c>
      <c r="DN5" s="43" t="s">
        <v>50</v>
      </c>
      <c r="DO5" s="45"/>
      <c r="DP5" s="45"/>
      <c r="DQ5" s="47" t="str">
        <f>hyperlink("http://atlantafilmfestival.com/", "Atlanta Film Festival")</f>
        <v>Atlanta Film Festival</v>
      </c>
      <c r="EB5" s="43" t="s">
        <v>50</v>
      </c>
      <c r="EE5" s="63" t="str">
        <f>hyperlink("https://www.siff.net/", "Seattle International Film Festival")</f>
        <v>Seattle International Film Festival</v>
      </c>
      <c r="FD5" s="43" t="s">
        <v>50</v>
      </c>
      <c r="FG5" s="63" t="str">
        <f>hyperlink("http://danceswithfilms.com/", "Dances With Films")</f>
        <v>Dances With Films</v>
      </c>
      <c r="FR5" s="43" t="s">
        <v>50</v>
      </c>
      <c r="FS5" s="63" t="str">
        <f>hyperlink("https://www.jerseyshorefilmfestival.com/", "Jersey Shore Film Festival")</f>
        <v>Jersey Shore Film Festival</v>
      </c>
      <c r="GA5" s="43" t="s">
        <v>50</v>
      </c>
      <c r="GF5" s="45"/>
      <c r="GG5" s="45"/>
      <c r="GL5" s="45"/>
      <c r="GM5" s="45"/>
      <c r="GN5" s="45"/>
      <c r="GQ5" s="63" t="str">
        <f>hyperlink("https://newhopefilmfestival.com/", "New Hope Film Festival")</f>
        <v>New Hope Film Festival</v>
      </c>
      <c r="HA5" s="43" t="s">
        <v>50</v>
      </c>
      <c r="HB5" s="63" t="str">
        <f>hyperlink("http://safilm.com/", "San Antonio Film Festival")</f>
        <v>San Antonio Film Festival</v>
      </c>
      <c r="HH5" s="43" t="s">
        <v>50</v>
      </c>
      <c r="HI5" s="45"/>
      <c r="HJ5" s="45"/>
      <c r="HL5" s="63" t="str">
        <f>hyperlink("http://www.festivalofcinemanyc.com/", "Festival of Cinema NYC")</f>
        <v>Festival of Cinema NYC</v>
      </c>
      <c r="HV5" s="43" t="s">
        <v>50</v>
      </c>
      <c r="HW5" s="45"/>
      <c r="HY5" s="63" t="str">
        <f>hyperlink("http://trinityinternationalfilmfest.blogspot.com/", "Trinity International Film Festival")</f>
        <v>Trinity International Film Festival</v>
      </c>
      <c r="IC5" s="43" t="s">
        <v>50</v>
      </c>
      <c r="ID5" s="45"/>
      <c r="IE5" s="45"/>
      <c r="IF5" s="45"/>
      <c r="IG5" s="45"/>
      <c r="IH5" s="47" t="str">
        <f>hyperlink("http://www.vobfilmfestival.com/", "VOB Film Festival")</f>
        <v>VOB Film Festival</v>
      </c>
      <c r="IQ5" s="43" t="s">
        <v>50</v>
      </c>
      <c r="IR5" s="63" t="str">
        <f>hyperlink("http://mvfilmsociety.com/festivals/marthas-vineyard-international-film-festival/", "Martha's Vinyard International Film Festival")</f>
        <v>Martha's Vinyard International Film Festival</v>
      </c>
      <c r="IX5" s="43" t="s">
        <v>50</v>
      </c>
      <c r="JC5" s="63" t="str">
        <f>hyperlink("http://goldendoorfilmfestival.org/", "Golden Door Film Festival")</f>
        <v>Golden Door Film Festival</v>
      </c>
      <c r="JK5" s="43" t="s">
        <v>50</v>
      </c>
      <c r="JN5" s="63" t="str">
        <f>hyperlink("http://woodstockfilmfestival.org/", "Woodstock Film Festival")</f>
        <v>Woodstock Film Festival</v>
      </c>
      <c r="JS5" s="43" t="s">
        <v>50</v>
      </c>
      <c r="JT5" s="45"/>
      <c r="JV5" s="63" t="str">
        <f>hyperlink("http://heartlandfilm.org/festival/", "Heartland International Film Festival ")</f>
        <v>Heartland International Film Festival </v>
      </c>
      <c r="KG5" s="43" t="s">
        <v>50</v>
      </c>
      <c r="KI5" s="63" t="str">
        <f>hyperlink("http://twincitiesfilmfest.org/", "Twin Cities Film Festival")</f>
        <v>Twin Cities Film Festival</v>
      </c>
      <c r="KT5" s="43" t="s">
        <v>50</v>
      </c>
      <c r="KY5" s="63" t="str">
        <f>hyperlink("https://www.hiff.org/", "Hawaii International Film Festival")</f>
        <v>Hawaii International Film Festival</v>
      </c>
      <c r="LJ5" s="43" t="s">
        <v>50</v>
      </c>
      <c r="LK5" s="45"/>
      <c r="LM5" s="63" t="str">
        <f>hyperlink("http://www.willfilm.org/", "Williamsburg Independent Film Festival")</f>
        <v>Williamsburg Independent Film Festival</v>
      </c>
      <c r="LQ5" s="43" t="s">
        <v>50</v>
      </c>
      <c r="LR5" s="45"/>
      <c r="MI5" s="63" t="str">
        <f>hyperlink("http://siliconvalleyfilm.com", "Silicon Valley International Film Festival")</f>
        <v>Silicon Valley International Film Festival</v>
      </c>
      <c r="MK5" s="43" t="s">
        <v>50</v>
      </c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7" t="str">
        <f>hyperlink("https://www.chandlerfilmfestival.com/", "Chandler International Film Festival")</f>
        <v>Chandler International Film Festival</v>
      </c>
      <c r="V6" s="43" t="s">
        <v>50</v>
      </c>
      <c r="W6" s="45"/>
      <c r="X6" s="47" t="str">
        <f>hyperlink("http://www.sundance.org/festivals/sundance-film-festival#/", "Sundance Film Festival ")</f>
        <v>Sundance Film Festival </v>
      </c>
      <c r="AI6" s="43" t="s">
        <v>50</v>
      </c>
      <c r="AJ6" s="45"/>
      <c r="AK6" s="47" t="str">
        <f>hyperlink("http://www.cmiff.com/", "Central Michigan International Film Festival")</f>
        <v>Central Michigan International Film Festival</v>
      </c>
      <c r="AP6" s="43" t="s">
        <v>50</v>
      </c>
      <c r="AQ6" s="45"/>
      <c r="AR6" s="47" t="str">
        <f>hyperlink("http://www.hollywoodreelindependentfilmfestival.com/", "Hollywood Reel Independent Film Festival")</f>
        <v>Hollywood Reel Independent Film Festival</v>
      </c>
      <c r="BE6" s="43" t="s">
        <v>50</v>
      </c>
      <c r="BF6" s="45"/>
      <c r="BG6" s="47" t="str">
        <f>hyperlink("laketravisfilmfestival.com ", "Lake Travis Film Festival")</f>
        <v>Lake Travis Film Festival</v>
      </c>
      <c r="BK6" s="43" t="s">
        <v>50</v>
      </c>
      <c r="BL6" s="45"/>
      <c r="BM6" s="45"/>
      <c r="BN6" s="45"/>
      <c r="BO6" s="47" t="str">
        <f>hyperlink("https://miamifilmfestival.com/", "Miami Film Festival")</f>
        <v>Miami Film Festival</v>
      </c>
      <c r="BX6" s="43" t="s">
        <v>50</v>
      </c>
      <c r="BY6" s="47" t="str">
        <f>hyperlink("http://www.gasparillafilmfestival.com/", "Gasparilla International Film Festival")</f>
        <v>Gasparilla International Film Festival</v>
      </c>
      <c r="CE6" s="43" t="s">
        <v>50</v>
      </c>
      <c r="CF6" s="45"/>
      <c r="CG6" s="45"/>
      <c r="CH6" s="47" t="str">
        <f>hyperlink("http://www.phoenixfilmfestival.com/", "Phoenix Film Festival")</f>
        <v>Phoenix Film Festival</v>
      </c>
      <c r="CS6" s="43" t="s">
        <v>50</v>
      </c>
      <c r="CT6" s="45"/>
      <c r="CU6" s="45"/>
      <c r="CV6" s="45"/>
      <c r="CW6" s="45"/>
      <c r="CX6" s="47" t="str">
        <f>hyperlink("https://www.riversidefilmfestival.org/", "Riverside International Film Festival")</f>
        <v>Riverside International Film Festival</v>
      </c>
      <c r="CY6" s="43" t="s">
        <v>50</v>
      </c>
      <c r="CZ6" s="45"/>
      <c r="DA6" s="45"/>
      <c r="DB6" s="47" t="str">
        <f>hyperlink("https://tribecafilm.com/", "Tribeca Film Festival")</f>
        <v>Tribeca Film Festival</v>
      </c>
      <c r="DN6" s="43" t="s">
        <v>50</v>
      </c>
      <c r="DO6" s="45"/>
      <c r="DP6" s="45"/>
      <c r="DQ6" s="47" t="str">
        <f>hyperlink("https://indyfilmfest.org/", "Indy Film Fest")</f>
        <v>Indy Film Fest</v>
      </c>
      <c r="EB6" s="43" t="s">
        <v>50</v>
      </c>
      <c r="EE6" s="45"/>
      <c r="EF6" s="45"/>
      <c r="EG6" s="45"/>
      <c r="EH6" s="45"/>
      <c r="EI6" s="47" t="str">
        <f>hyperlink("https://www.milledgevillefilmfest.com/", "ME Film Festival")</f>
        <v>ME Film Festival</v>
      </c>
      <c r="EP6" s="43" t="s">
        <v>50</v>
      </c>
      <c r="EQ6" s="45"/>
      <c r="ER6" s="45"/>
      <c r="ES6" s="45"/>
      <c r="ET6" s="47" t="str">
        <f>hyperlink("http://www.brooklynfilmfestival.org/", "Brooklyn Film Festival")</f>
        <v>Brooklyn Film Festival</v>
      </c>
      <c r="FD6" s="43" t="s">
        <v>50</v>
      </c>
      <c r="FG6" s="63" t="str">
        <f>hyperlink("http://www.sohofilmfest.com/", "SOHO International Film Festival")</f>
        <v>SOHO International Film Festival</v>
      </c>
      <c r="FO6" s="43" t="s">
        <v>50</v>
      </c>
      <c r="FQ6" s="63" t="str">
        <f>hyperlink("https://liftoff.network/", "New York Lift-Off Film Festival")</f>
        <v>New York Lift-Off Film Festival</v>
      </c>
      <c r="FY6" s="43" t="s">
        <v>50</v>
      </c>
      <c r="GF6" s="45"/>
      <c r="GH6" s="45"/>
      <c r="GM6" s="45"/>
      <c r="GP6" s="63" t="str">
        <f>hyperlink("https://www.stonybrookfilmfestival.com/", "Stony Brook Film Festival")</f>
        <v>Stony Brook Film Festival</v>
      </c>
      <c r="GY6" s="43" t="s">
        <v>50</v>
      </c>
      <c r="HA6" s="45"/>
      <c r="HB6" s="63" t="str">
        <f>hyperlink("https://www.traversecityfilmfest.org/", "Traverse City Film Festival")</f>
        <v>Traverse City Film Festival</v>
      </c>
      <c r="HH6" s="43" t="s">
        <v>50</v>
      </c>
      <c r="HI6" s="45"/>
      <c r="HJ6" s="45"/>
      <c r="HK6" s="45"/>
      <c r="HL6" s="47" t="str">
        <f>hyperlink("http://www.festivalofcinemanyc.com", "Kew Gardens Festival of Cinema")</f>
        <v>Kew Gardens Festival of Cinema</v>
      </c>
      <c r="HV6" s="43" t="s">
        <v>50</v>
      </c>
      <c r="HZ6" s="63" t="str">
        <f>hyperlink("http://www.lcnaugusta.com/black-cat-picture-show/", "Black Cat Picture Show")</f>
        <v>Black Cat Picture Show</v>
      </c>
      <c r="IC6" s="43" t="s">
        <v>50</v>
      </c>
      <c r="IG6" s="63" t="str">
        <f>hyperlink("http://www.nevadacityfilmfestival.com/", "Nevada City Film Festival")</f>
        <v>Nevada City Film Festival</v>
      </c>
      <c r="IO6" s="43" t="s">
        <v>50</v>
      </c>
      <c r="IP6" s="45"/>
      <c r="IQ6" s="45"/>
      <c r="IR6" s="45"/>
      <c r="IS6" s="47" t="str">
        <f>hyperlink("https://www.burbankfilmfest.org/", "Burbank International Film Festival")</f>
        <v>Burbank International Film Festival</v>
      </c>
      <c r="IX6" s="43" t="s">
        <v>50</v>
      </c>
      <c r="IY6" s="45"/>
      <c r="IZ6" s="45"/>
      <c r="JA6" s="47" t="str">
        <f>hyperlink("http://southdakotafilmfest.org/", "South Dakota Film Festival")</f>
        <v>South Dakota Film Festival</v>
      </c>
      <c r="JE6" s="43" t="s">
        <v>50</v>
      </c>
      <c r="JH6" s="63" t="str">
        <f>hyperlink("http://fantasticfest.com/", "Fantastic Fest")</f>
        <v>Fantastic Fest</v>
      </c>
      <c r="JP6" s="43" t="s">
        <v>50</v>
      </c>
      <c r="JS6" s="45"/>
      <c r="JT6" s="45"/>
      <c r="JU6" s="45"/>
      <c r="JV6" s="47" t="str">
        <f>hyperlink("https://www.mvff.com/", "Mill Valley Film Festival")</f>
        <v>Mill Valley Film Festival</v>
      </c>
      <c r="KG6" s="43" t="s">
        <v>50</v>
      </c>
      <c r="KJ6" s="63" t="str">
        <f>hyperlink("http://filmadelphia.org/", "Philadelphia Film Festival")</f>
        <v>Philadelphia Film Festival</v>
      </c>
      <c r="KU6" s="43" t="s">
        <v>50</v>
      </c>
      <c r="KV6" s="45"/>
      <c r="KW6" s="45"/>
      <c r="KX6" s="45"/>
      <c r="KY6" s="47" t="str">
        <f>hyperlink("https://www.lakecountyfilmfestival.org", "Lake County Film Festival, The")</f>
        <v>Lake County Film Festival, The</v>
      </c>
      <c r="LJ6" s="43" t="s">
        <v>50</v>
      </c>
      <c r="LO6" s="63" t="str">
        <f>hyperlink("http://cinesol.com/film-festival/", "CineSol Film Festival")</f>
        <v>CineSol Film Festival</v>
      </c>
      <c r="LQ6" s="43" t="s">
        <v>50</v>
      </c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7" t="str">
        <f>hyperlink("http://cinemaonthebayou.com/", "Cinema on the Bayou")</f>
        <v>Cinema on the Bayou</v>
      </c>
      <c r="AE7" s="43" t="s">
        <v>50</v>
      </c>
      <c r="AF7" s="45"/>
      <c r="AG7" s="45"/>
      <c r="AH7" s="45"/>
      <c r="AI7" s="45"/>
      <c r="AJ7" s="45"/>
      <c r="AK7" s="45"/>
      <c r="AL7" s="45"/>
      <c r="AM7" s="47" t="str">
        <f>hyperlink("http://videofest.org/", "Dallas VideoFest Alternative Fiction")</f>
        <v>Dallas VideoFest Alternative Fiction</v>
      </c>
      <c r="AQ7" s="43" t="s">
        <v>50</v>
      </c>
      <c r="AR7" s="45"/>
      <c r="AS7" s="47" t="str">
        <f>hyperlink("https://laindiefilmfest.com/", "LA Indie Film Festival")</f>
        <v>LA Indie Film Festival</v>
      </c>
      <c r="BC7" s="43" t="s">
        <v>50</v>
      </c>
      <c r="BD7" s="45"/>
      <c r="BE7" s="45"/>
      <c r="BF7" s="45"/>
      <c r="BG7" s="45"/>
      <c r="BH7" s="47" t="str">
        <f>hyperlink("https://spokanefilmfestival.org/", "Spokane International Film Festival")</f>
        <v>Spokane International Film Festival</v>
      </c>
      <c r="BP7" s="43" t="s">
        <v>50</v>
      </c>
      <c r="BQ7" s="45"/>
      <c r="BR7" s="45"/>
      <c r="BS7" s="45"/>
      <c r="BT7" s="45"/>
      <c r="BU7" s="47" t="str">
        <f>hyperlink("https://www.sxsw.com/festivals/film/", "South by Southwest Film Festival")</f>
        <v>South by Southwest Film Festival</v>
      </c>
      <c r="CD7" s="43" t="s">
        <v>50</v>
      </c>
      <c r="CE7" s="45"/>
      <c r="CF7" s="45"/>
      <c r="CG7" s="45"/>
      <c r="CH7" s="47" t="str">
        <f>hyperlink("https://riverrunfilm.com/", "RiverRun International Film Festival")</f>
        <v>RiverRun International Film Festival</v>
      </c>
      <c r="CS7" s="43" t="s">
        <v>50</v>
      </c>
      <c r="CT7" s="45"/>
      <c r="CU7" s="45"/>
      <c r="CV7" s="47" t="str">
        <f>hyperlink("https://capitalcityfilmfest.com/", "Capital City Film Festival")</f>
        <v>Capital City Film Festival</v>
      </c>
      <c r="DF7" s="43" t="s">
        <v>50</v>
      </c>
      <c r="DJ7" s="63" t="str">
        <f>hyperlink("http://www.filmfestdc.org/", "FilmFest DC ")</f>
        <v>FilmFest DC </v>
      </c>
      <c r="DU7" s="43" t="s">
        <v>50</v>
      </c>
      <c r="DV7" s="45"/>
      <c r="DW7" s="45"/>
      <c r="DX7" s="45"/>
      <c r="DY7" s="45"/>
      <c r="DZ7" s="45"/>
      <c r="EA7" s="47" t="str">
        <f>hyperlink("https://www.nycindieff.com/", "New York City Independent Film Festival")</f>
        <v>New York City Independent Film Festival</v>
      </c>
      <c r="EI7" s="43" t="s">
        <v>50</v>
      </c>
      <c r="EJ7" s="45"/>
      <c r="EK7" s="47" t="str">
        <f>hyperlink("https://www.mammothlakesfilmfestival.com/", "Mammoth Lakes Film Festival")</f>
        <v>Mammoth Lakes Film Festival</v>
      </c>
      <c r="EP7" s="43" t="s">
        <v>50</v>
      </c>
      <c r="EQ7" s="45"/>
      <c r="ER7" s="45"/>
      <c r="ES7" s="47" t="str">
        <f>hyperlink("https://www.biffma.org/", "Berkshire International Film Festival")</f>
        <v>Berkshire International Film Festival</v>
      </c>
      <c r="EW7" s="43" t="s">
        <v>50</v>
      </c>
      <c r="EX7" s="45"/>
      <c r="EY7" s="45"/>
      <c r="EZ7" s="45"/>
      <c r="FA7" s="47" t="str">
        <f>hyperlink("http://prescottfilmfestival.com/", "Prescott Film Festival ")</f>
        <v>Prescott Film Festival </v>
      </c>
      <c r="FJ7" s="43" t="s">
        <v>50</v>
      </c>
      <c r="FL7" s="63" t="str">
        <f>hyperlink("http://southsidefilmfestival.com/", "South Side Film Festival Bethelham, PA")</f>
        <v>South Side Film Festival Bethelham, PA</v>
      </c>
      <c r="FQ7" s="43" t="s">
        <v>50</v>
      </c>
      <c r="FR7" s="63" t="str">
        <f>hyperlink("http://freestatefestival.org", "Free State Festival")</f>
        <v>Free State Festival</v>
      </c>
      <c r="FY7" s="43" t="s">
        <v>50</v>
      </c>
      <c r="GA7" s="45"/>
      <c r="GH7" s="45"/>
      <c r="GQ7" s="63" t="str">
        <f>hyperlink("http://www.brainwashm.com/", "Brainwash Movie Festival")</f>
        <v>Brainwash Movie Festival</v>
      </c>
      <c r="GZ7" s="43" t="s">
        <v>50</v>
      </c>
      <c r="HC7" s="63" t="str">
        <f>hyperlink("http://www.longbeachfilm.com/", "Long Beach International Film Festival")</f>
        <v>Long Beach International Film Festival</v>
      </c>
      <c r="HH7" s="43" t="s">
        <v>50</v>
      </c>
      <c r="HI7" s="47" t="str">
        <f>hyperlink("http://www.film-festival.org/", "Flickers' Rhode Island International Film Festival")</f>
        <v>Flickers' Rhode Island International Film Festival</v>
      </c>
      <c r="HO7" s="43" t="s">
        <v>50</v>
      </c>
      <c r="HP7" s="45"/>
      <c r="HQ7" s="45"/>
      <c r="HR7" s="47" t="str">
        <f>hyperlink("http://www.deepintheheartff.com/", "Deep in the Heart Film Festival")</f>
        <v>Deep in the Heart Film Festival</v>
      </c>
      <c r="HV7" s="43" t="s">
        <v>50</v>
      </c>
      <c r="HW7" s="45"/>
      <c r="HX7" s="45"/>
      <c r="HY7" s="45"/>
      <c r="HZ7" s="47" t="str">
        <f>hyperlink("https://www.defyfilmfestival.com/", "Defy Film Festival")</f>
        <v>Defy Film Festival</v>
      </c>
      <c r="IB7" s="43" t="s">
        <v>50</v>
      </c>
      <c r="IC7" s="45"/>
      <c r="ID7" s="45"/>
      <c r="IE7" s="45"/>
      <c r="IF7" s="45"/>
      <c r="IG7" s="47" t="str">
        <f>hyperlink("http://buffalodreamsfilmfest.com/", "Buffalo Dreams Fantastic Film Festival")</f>
        <v>Buffalo Dreams Fantastic Film Festival</v>
      </c>
      <c r="IN7" s="43" t="s">
        <v>50</v>
      </c>
      <c r="IS7" s="63" t="str">
        <f>hyperlink("https://www.austinrevolution.com/", "Austin Revolution Film Festival")</f>
        <v>Austin Revolution Film Festival</v>
      </c>
      <c r="IW7" s="43" t="s">
        <v>50</v>
      </c>
      <c r="IX7" s="45"/>
      <c r="IY7" s="45"/>
      <c r="IZ7" s="45"/>
      <c r="JA7" s="45"/>
      <c r="JB7" s="47" t="str">
        <f>hyperlink("http://mosaicfilmfest.com/", "Mosaic World Film Festival")</f>
        <v>Mosaic World Film Festival</v>
      </c>
      <c r="JE7" s="43" t="s">
        <v>50</v>
      </c>
      <c r="JF7" s="45"/>
      <c r="JG7" s="45"/>
      <c r="JH7" s="45"/>
      <c r="JI7" s="47" t="str">
        <f>hyperlink("https://www.glendaleinternationalfilmfestival.com/", "Glendale International Film Festival")</f>
        <v>Glendale International Film Festival</v>
      </c>
      <c r="JP7" s="43" t="s">
        <v>50</v>
      </c>
      <c r="JV7" s="63" t="str">
        <f>hyperlink("http://www.tacomafilmfestival.com/", "Tacoma Film Festival")</f>
        <v>Tacoma Film Festival</v>
      </c>
      <c r="KD7" s="43" t="s">
        <v>50</v>
      </c>
      <c r="KJ7" s="63" t="str">
        <f>hyperlink("https://austin...festival.com/", "Austin Film Festival ")</f>
        <v>Austin Film Festival </v>
      </c>
      <c r="KR7" s="43" t="s">
        <v>50</v>
      </c>
      <c r="KY7" s="63" t="str">
        <f>hyperlink("http://www.cinemastlouis.org/", "St. Louis International Film Festival ")</f>
        <v>St. Louis International Film Festival </v>
      </c>
      <c r="LJ7" s="43" t="s">
        <v>50</v>
      </c>
      <c r="LM7" s="45"/>
      <c r="LP7" s="63" t="str">
        <f>hyperlink("http://route66filmfestival.net", "Route 66 Film Festival")</f>
        <v>Route 66 Film Festival</v>
      </c>
      <c r="LR7" s="43" t="s">
        <v>50</v>
      </c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7" t="str">
        <f>hyperlink("http://www.slamdance.com/", "Slamdance Film Festival ")</f>
        <v>Slamdance Film Festival </v>
      </c>
      <c r="AF8" s="43" t="s">
        <v>50</v>
      </c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7" t="str">
        <f>hyperlink("http://www.santafefilmfestival.com/", "Santa Fe Film Festival")</f>
        <v>Santa Fe Film Festival</v>
      </c>
      <c r="AW8" s="43" t="s">
        <v>50</v>
      </c>
      <c r="AX8" s="45"/>
      <c r="AY8" s="45"/>
      <c r="AZ8" s="45"/>
      <c r="BA8" s="47" t="str">
        <f>hyperlink("https://beloitfilmfest.org/", "Beloit International Film Festival")</f>
        <v>Beloit International Film Festival</v>
      </c>
      <c r="BK8" s="43" t="s">
        <v>50</v>
      </c>
      <c r="BL8" s="45"/>
      <c r="BM8" s="45"/>
      <c r="BN8" s="45"/>
      <c r="BO8" s="45"/>
      <c r="BP8" s="45"/>
      <c r="BQ8" s="47" t="str">
        <f>hyperlink("http://www.idyllwildcinemafest.com/", "Idyllwild International Festival of Cinema")</f>
        <v>Idyllwild International Festival of Cinema</v>
      </c>
      <c r="BX8" s="43" t="s">
        <v>50</v>
      </c>
      <c r="BY8" s="47" t="str">
        <f>hyperlink("https://slofilmfest.org/", "San Luis Obispo International Film Festival")</f>
        <v>San Luis Obispo International Film Festival</v>
      </c>
      <c r="CE8" s="43" t="s">
        <v>50</v>
      </c>
      <c r="CF8" s="45"/>
      <c r="CG8" s="45"/>
      <c r="CH8" s="45"/>
      <c r="CI8" s="47" t="str">
        <f>hyperlink("https://www.sarasotafilmfestival.com/", "Sarasota Film Festival")</f>
        <v>Sarasota Film Festival</v>
      </c>
      <c r="CS8" s="43" t="s">
        <v>50</v>
      </c>
      <c r="CX8" s="63" t="str">
        <f>hyperlink("https://www.nohocinefest.com/", "North Hollywood CineFest")</f>
        <v>North Hollywood CineFest</v>
      </c>
      <c r="DF8" s="43" t="s">
        <v>50</v>
      </c>
      <c r="DG8" s="45"/>
      <c r="DH8" s="45"/>
      <c r="DJ8" s="63" t="str">
        <f>hyperlink("http://filmfestdc.org", "Washington, DC")</f>
        <v>Washington, DC</v>
      </c>
      <c r="DU8" s="43" t="s">
        <v>50</v>
      </c>
      <c r="DY8" s="45"/>
      <c r="DZ8" s="45"/>
      <c r="EA8" s="47" t="str">
        <f>hyperlink("https://www.nycindieff.com/", "NYC Indepdendent Film Festival")</f>
        <v>NYC Indepdendent Film Festival</v>
      </c>
      <c r="EI8" s="43" t="s">
        <v>50</v>
      </c>
      <c r="EJ8" s="45"/>
      <c r="EK8" s="45"/>
      <c r="EL8" s="45"/>
      <c r="EM8" s="45"/>
      <c r="EN8" s="47" t="str">
        <f>hyperlink("https://orlandointernationalfilmfestival.org", "Orlando International Film Festival")</f>
        <v>Orlando International Film Festival</v>
      </c>
      <c r="ER8" s="43" t="s">
        <v>50</v>
      </c>
      <c r="ES8" s="47" t="str">
        <f>hyperlink("http://www.thepeoplesfilmfestival.com/", "People's Film Festival, The")</f>
        <v>People's Film Festival, The</v>
      </c>
      <c r="EV8" s="43" t="s">
        <v>50</v>
      </c>
      <c r="EW8" s="47" t="str">
        <f>hyperlink("https://www.theartofbrooklyn.org/", "Art of Brooklyn Film Festival, The ")</f>
        <v>Art of Brooklyn Film Festival, The </v>
      </c>
      <c r="FD8" s="43" t="s">
        <v>50</v>
      </c>
      <c r="FE8" s="45"/>
      <c r="FF8" s="45"/>
      <c r="FG8" s="47" t="str">
        <f>hyperlink("http://www.lesfilmfestival.com/", "Lower East Side Film Festival, The")</f>
        <v>Lower East Side Film Festival, The</v>
      </c>
      <c r="FL8" s="43" t="s">
        <v>50</v>
      </c>
      <c r="FM8" s="45"/>
      <c r="FN8" s="47" t="str">
        <f>hyperlink("http://www.cfifn.org/", "Cape Fear Independent Film Festival")</f>
        <v>Cape Fear Independent Film Festival</v>
      </c>
      <c r="FQ8" s="43" t="s">
        <v>50</v>
      </c>
      <c r="FR8" s="47" t="str">
        <f>hyperlink("freestatefestival.org", "Free State Film Festival")</f>
        <v>Free State Film Festival</v>
      </c>
      <c r="FY8" s="43" t="s">
        <v>50</v>
      </c>
      <c r="FZ8" s="45"/>
      <c r="GA8" s="45"/>
      <c r="GJ8" s="63" t="str">
        <f>hyperlink("http://longislandfilm.com/", "Long Island International Film Expo")</f>
        <v>Long Island International Film Expo</v>
      </c>
      <c r="GQ8" s="43" t="s">
        <v>50</v>
      </c>
      <c r="GR8" s="63" t="str">
        <f>hyperlink("http://www.ciff.us/", "Chautauqua International Film Festival")</f>
        <v>Chautauqua International Film Festival</v>
      </c>
      <c r="GS8" s="43" t="s">
        <v>50</v>
      </c>
      <c r="GT8" s="63" t="str">
        <f>hyperlink("https://www.sbehiff.com/", "Hamilton International Film Festival")</f>
        <v>Hamilton International Film Festival</v>
      </c>
      <c r="HA8" s="43" t="s">
        <v>50</v>
      </c>
      <c r="HH8" s="45"/>
      <c r="HI8" s="45"/>
      <c r="HR8" s="63" t="str">
        <f>hyperlink("http://www.theindiegathering.com/", "Indie Gathering, The ")</f>
        <v>Indie Gathering, The </v>
      </c>
      <c r="HV8" s="43" t="s">
        <v>50</v>
      </c>
      <c r="HX8" s="45"/>
      <c r="IC8" s="45"/>
      <c r="IF8" s="63" t="str">
        <f>hyperlink("https://middfilmfest.org/", "Middlebury New Filmmakers Festival ")</f>
        <v>Middlebury New Filmmakers Festival </v>
      </c>
      <c r="IJ8" s="43" t="s">
        <v>50</v>
      </c>
      <c r="IK8" s="45"/>
      <c r="IL8" s="45"/>
      <c r="IM8" s="45"/>
      <c r="IN8" s="47" t="str">
        <f>hyperlink("http://woodstockmuseum.com/", "Woodstock Museum Film Festival")</f>
        <v>Woodstock Museum Film Festival</v>
      </c>
      <c r="IR8" s="43" t="s">
        <v>50</v>
      </c>
      <c r="IS8" s="47" t="str">
        <f>hyperlink("https://stxiff.com/", "South Texas International Film Festival")</f>
        <v>South Texas International Film Festival</v>
      </c>
      <c r="IW8" s="43" t="s">
        <v>50</v>
      </c>
      <c r="IX8" s="45"/>
      <c r="IY8" s="45"/>
      <c r="IZ8" s="45"/>
      <c r="JE8" s="47" t="str">
        <f>hyperlink("http://www.aspenfilm.org/", "Aspen Filmfest")</f>
        <v>Aspen Filmfest</v>
      </c>
      <c r="JK8" s="43" t="s">
        <v>50</v>
      </c>
      <c r="JO8" s="63" t="str">
        <f>hyperlink("https://nashvillefilmfestival.org/", "Nashville Film Festival")</f>
        <v>Nashville Film Festival</v>
      </c>
      <c r="JV8" s="43" t="s">
        <v>50</v>
      </c>
      <c r="JW8" s="63" t="str">
        <f>hyperlink("http://www.firstglancefilms.com", "FirstGlance Philadelphia Film Fest")</f>
        <v>FirstGlance Philadelphia Film Fest</v>
      </c>
      <c r="JZ8" s="43" t="s">
        <v>50</v>
      </c>
      <c r="KB8" s="63" t="str">
        <f>hyperlink("https://neworleansfilmsociety.org/", "New Orleans Film Festival")</f>
        <v>New Orleans Film Festival</v>
      </c>
      <c r="KJ8" s="43" t="s">
        <v>50</v>
      </c>
      <c r="KL8" s="63" t="str">
        <f>hyperlink("http://filmfest.scad.edu/", "Savannah Film Festival")</f>
        <v>Savannah Film Festival</v>
      </c>
      <c r="KT8" s="43" t="s">
        <v>50</v>
      </c>
      <c r="KX8" s="45"/>
      <c r="KZ8" s="63" t="str">
        <f>hyperlink("https://filmsociety.org/events/event.cfm?eveID=2", "Cine-World Film Festival")</f>
        <v>Cine-World Film Festival</v>
      </c>
      <c r="LJ8" s="43" t="s">
        <v>50</v>
      </c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7" t="str">
        <f>hyperlink("https://www.snowtownfilmfestival.com/", "Snowtown Film Festival")</f>
        <v>Snowtown Film Festival</v>
      </c>
      <c r="AA9" s="43" t="s">
        <v>50</v>
      </c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7" t="str">
        <f>hyperlink("http://www.flagstaffmountainfilms.org/", "Flagstaff Mountain Film Festival")</f>
        <v>Flagstaff Mountain Film Festival</v>
      </c>
      <c r="AW9" s="43" t="s">
        <v>50</v>
      </c>
      <c r="AX9" s="45"/>
      <c r="AY9" s="45"/>
      <c r="AZ9" s="45"/>
      <c r="BA9" s="45"/>
      <c r="BB9" s="47" t="str">
        <f>hyperlink("http://www.sedonafilmfestival.org/", "Sedona International Film Festival ")</f>
        <v>Sedona International Film Festival </v>
      </c>
      <c r="BK9" s="43" t="s">
        <v>50</v>
      </c>
      <c r="BL9" s="47" t="str">
        <f>hyperlink("http://www.omahafilmfestival.org/", "Omaha Film Festival")</f>
        <v>Omaha Film Festival</v>
      </c>
      <c r="BR9" s="43" t="s">
        <v>50</v>
      </c>
      <c r="BS9" s="45"/>
      <c r="BT9" s="45"/>
      <c r="BU9" s="45"/>
      <c r="BV9" s="47" t="str">
        <f>hyperlink("https://www.wildwoodfilmfestival.com/", "Wildwood Film Festival")</f>
        <v>Wildwood Film Festival</v>
      </c>
      <c r="BW9" s="43" t="s">
        <v>50</v>
      </c>
      <c r="BX9" s="45"/>
      <c r="BY9" s="63" t="str">
        <f>hyperlink("www.fargofilmfestival.com", "Fargo Film Festival ")</f>
        <v>Fargo Film Festival </v>
      </c>
      <c r="CD9" s="43" t="s">
        <v>50</v>
      </c>
      <c r="CE9" s="45"/>
      <c r="CF9" s="63" t="str">
        <f>hyperlink("https://www.aafilmfest.org/", "Ann Arbor Film Festival ")</f>
        <v>Ann Arbor Film Festival </v>
      </c>
      <c r="CL9" s="43" t="s">
        <v>50</v>
      </c>
      <c r="CO9" s="63" t="str">
        <f>hyperlink("http://www.wifilmfest.org/", "Wisconsin Film Festival")</f>
        <v>Wisconsin Film Festival</v>
      </c>
      <c r="CW9" s="43" t="s">
        <v>50</v>
      </c>
      <c r="DD9" s="63" t="str">
        <f>hyperlink("www.floridafilmfestival.com", "Florida Film Festival ")</f>
        <v>Florida Film Festival </v>
      </c>
      <c r="DN9" s="43" t="s">
        <v>50</v>
      </c>
      <c r="DR9" s="63" t="str">
        <f>hyperlink("https://montclairfilm.org/", "Montclair Film Festival")</f>
        <v>Montclair Film Festival</v>
      </c>
      <c r="EB9" s="43" t="s">
        <v>50</v>
      </c>
      <c r="EF9" s="63" t="str">
        <f>hyperlink("http://iffny.com/", "International Filmmaker Festival of New York")</f>
        <v>International Filmmaker Festival of New York</v>
      </c>
      <c r="EK9" s="43" t="s">
        <v>50</v>
      </c>
      <c r="EP9" s="45"/>
      <c r="EQ9" s="45"/>
      <c r="ER9" s="45"/>
      <c r="ES9" s="47" t="str">
        <f>hyperlink("http://www.lvff.com/", "Las Vegas Film Festival")</f>
        <v>Las Vegas Film Festival</v>
      </c>
      <c r="EW9" s="43" t="s">
        <v>50</v>
      </c>
      <c r="EX9" s="45"/>
      <c r="EY9" s="45"/>
      <c r="EZ9" s="47" t="str">
        <f>hyperlink("http://filminvasionla.com/", "Film Invasion L.A.")</f>
        <v>Film Invasion L.A.</v>
      </c>
      <c r="FD9" s="43" t="s">
        <v>50</v>
      </c>
      <c r="FE9" s="45"/>
      <c r="FF9" s="45"/>
      <c r="FG9" s="47" t="str">
        <f>hyperlink("http://bozemanfilmcelebration.com/", "BZN Internatioanl Film Festival")</f>
        <v>BZN Internatioanl Film Festival</v>
      </c>
      <c r="FK9" s="43" t="s">
        <v>50</v>
      </c>
      <c r="FL9" s="45"/>
      <c r="FM9" s="47" t="str">
        <f>hyperlink("https://www.mauifilmfestival.com/", "Maui Film Festival")</f>
        <v>Maui Film Festival</v>
      </c>
      <c r="FR9" s="43" t="s">
        <v>50</v>
      </c>
      <c r="FS9" s="63" t="str">
        <f>hyperlink("http://nantucketfilmfestival.org/", "Nantucket Film Festival")</f>
        <v>Nantucket Film Festival</v>
      </c>
      <c r="FZ9" s="43" t="s">
        <v>50</v>
      </c>
      <c r="GA9" s="45"/>
      <c r="GQ9" s="63" t="str">
        <f>hyperlink("https://www.bwiff.com/", "Blue Whiskey Independent Film Festival")</f>
        <v>Blue Whiskey Independent Film Festival</v>
      </c>
      <c r="GX9" s="43" t="s">
        <v>50</v>
      </c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7" t="str">
        <f>hyperlink("http://www.maconfilmfestival.com/", "Macon Film Festival")</f>
        <v>Macon Film Festival</v>
      </c>
      <c r="HV9" s="43" t="s">
        <v>50</v>
      </c>
      <c r="HW9" s="45"/>
      <c r="HX9" s="45"/>
      <c r="IC9" s="45"/>
      <c r="IE9" s="45"/>
      <c r="IF9" s="63" t="str">
        <f>hyperlink("http://trueindependent.org/", "Seattle True Independent Film Festival")</f>
        <v>Seattle True Independent Film Festival</v>
      </c>
      <c r="IJ9" s="43" t="s">
        <v>50</v>
      </c>
      <c r="IL9" s="45"/>
      <c r="IN9" s="63" t="str">
        <f>hyperlink("http://oilvalleyfilmfestival.weebly.com/", "Oil Valley Film Festival")</f>
        <v>Oil Valley Film Festival</v>
      </c>
      <c r="IQ9" s="43" t="s">
        <v>50</v>
      </c>
      <c r="IR9" s="45"/>
      <c r="IS9" s="45"/>
      <c r="IT9" s="47" t="str">
        <f>hyperlink("https://www.skylineindiefilmfest.org/", "Skyline Indie Film Festival ")</f>
        <v>Skyline Indie Film Festival </v>
      </c>
      <c r="IX9" s="43" t="s">
        <v>50</v>
      </c>
      <c r="IY9" s="45"/>
      <c r="JE9" s="45"/>
      <c r="JF9" s="45"/>
      <c r="JG9" s="63" t="str">
        <f>hyperlink("http://www.calabasasfilmfestival.com/", "Calabasas Film Festival")</f>
        <v>Calabasas Film Festival</v>
      </c>
      <c r="JL9" s="43" t="s">
        <v>50</v>
      </c>
      <c r="JO9" s="63" t="str">
        <f>hyperlink("http://www.alleganyalliedarts.org/qcff/", "Queen City Film Festival")</f>
        <v>Queen City Film Festival</v>
      </c>
      <c r="JS9" s="43" t="s">
        <v>50</v>
      </c>
      <c r="JU9" s="45"/>
      <c r="JV9" s="47" t="str">
        <f>hyperlink("https://www.buffalofilm.org/", "Buffalo International Film Festival")</f>
        <v>Buffalo International Film Festival</v>
      </c>
      <c r="KA9" s="43" t="s">
        <v>50</v>
      </c>
      <c r="KB9" s="45"/>
      <c r="KC9" s="47" t="str">
        <f>hyperlink("http://www.afi.com/afifest/", "AFI Fest")</f>
        <v>AFI Fest</v>
      </c>
      <c r="KK9" s="43" t="s">
        <v>50</v>
      </c>
      <c r="KL9" s="63" t="str">
        <f>hyperlink("http://ellensburgfilmfestival.com/", "Ellensburg Film Festival")</f>
        <v>Ellensburg Film Festival</v>
      </c>
      <c r="KM9" s="43" t="s">
        <v>50</v>
      </c>
      <c r="KT9" s="45"/>
      <c r="KU9" s="45"/>
      <c r="KV9" s="45"/>
      <c r="KW9" s="45"/>
      <c r="KZ9" s="63" t="str">
        <f>hyperlink("https://www.scottsdalefilmfestival.com/", "Scottsdale International Film Festival")</f>
        <v>Scottsdale International Film Festival</v>
      </c>
      <c r="LJ9" s="43" t="s">
        <v>50</v>
      </c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7" t="str">
        <f>hyperlink("http://www.oneotafilmfestival.org/", "Oneota Film Festival")</f>
        <v>Oneota Film Festival</v>
      </c>
      <c r="AW10" s="43" t="s">
        <v>50</v>
      </c>
      <c r="AX10" s="45"/>
      <c r="AY10" s="45"/>
      <c r="AZ10" s="47" t="str">
        <f>hyperlink("http://www.nacogdochesfilmfestival.com", "Nacogdoches Film Festival")</f>
        <v>Nacogdoches Film Festival</v>
      </c>
      <c r="BC10" s="43" t="s">
        <v>50</v>
      </c>
      <c r="BD10" s="47" t="str">
        <f>hyperlink("http://bigmuddyfilm.com/", "Big Muddy Film Festival")</f>
        <v>Big Muddy Film Festival</v>
      </c>
      <c r="BK10" s="43" t="s">
        <v>50</v>
      </c>
      <c r="BL10" s="45"/>
      <c r="BM10" s="47" t="str">
        <f>hyperlink("https://dciff-indie.org/", "DC Independent Film Festival")</f>
        <v>DC Independent Film Festival</v>
      </c>
      <c r="BR10" s="43" t="s">
        <v>50</v>
      </c>
      <c r="BS10" s="45"/>
      <c r="BT10" s="45"/>
      <c r="BU10" s="45"/>
      <c r="BV10" s="45"/>
      <c r="BW10" s="45"/>
      <c r="BX10" s="45"/>
      <c r="BY10" s="45"/>
      <c r="BZ10" s="47" t="str">
        <f>hyperlink("http://www.cinekink.com/", "CineKink NYC")</f>
        <v>CineKink NYC</v>
      </c>
      <c r="CE10" s="43" t="s">
        <v>50</v>
      </c>
      <c r="CF10" s="45"/>
      <c r="CG10" s="45"/>
      <c r="CH10" s="47" t="str">
        <f>hyperlink("https://www.gmffestival.org/ ", "Green Mountain Film Festival")</f>
        <v>Green Mountain Film Festival</v>
      </c>
      <c r="CN10" s="43" t="s">
        <v>50</v>
      </c>
      <c r="CO10" s="45"/>
      <c r="CP10" s="47" t="str">
        <f>hyperlink("http://www.azaleafilmfestival.com", "Azalea Film Festival")</f>
        <v>Azalea Film Festival</v>
      </c>
      <c r="CR10" s="43" t="s">
        <v>50</v>
      </c>
      <c r="CS10" s="47" t="str">
        <f>hyperlink("http://athensfilmfest.org/", "Athens International Film + Video Festival ")</f>
        <v>Athens International Film + Video Festival </v>
      </c>
      <c r="CZ10" s="43" t="s">
        <v>50</v>
      </c>
      <c r="DA10" s="45"/>
      <c r="DB10" s="45"/>
      <c r="DC10" s="45"/>
      <c r="DD10" s="47" t="str">
        <f>hyperlink("https://worldfest.org/", "Worldfest-Houston International Film &amp; Video Festival")</f>
        <v>Worldfest-Houston International Film &amp; Video Festival</v>
      </c>
      <c r="DN10" s="43" t="s">
        <v>50</v>
      </c>
      <c r="DO10" s="45"/>
      <c r="DP10" s="47" t="str">
        <f>hyperlink("https://mdfilmfest.com/", "Maryland Film Festival")</f>
        <v>Maryland Film Festival</v>
      </c>
      <c r="DU10" s="43" t="s">
        <v>50</v>
      </c>
      <c r="DV10" s="45"/>
      <c r="DW10" s="47" t="str">
        <f>hyperlink("http://pifffilms.com/", "Philadelphia Independent Film Festival")</f>
        <v>Philadelphia Independent Film Festival</v>
      </c>
      <c r="EA10" s="43" t="s">
        <v>50</v>
      </c>
      <c r="EB10" s="45"/>
      <c r="EC10" s="45"/>
      <c r="ED10" s="45"/>
      <c r="EE10" s="47" t="str">
        <f>hyperlink("http://harlemfilmfestival.org/", "Harlem International Film Festival")</f>
        <v>Harlem International Film Festival</v>
      </c>
      <c r="EI10" s="43" t="s">
        <v>50</v>
      </c>
      <c r="EJ10" s="45"/>
      <c r="EK10" s="45"/>
      <c r="EL10" s="45"/>
      <c r="EM10" s="45"/>
      <c r="EN10" s="45"/>
      <c r="EO10" s="45"/>
      <c r="EP10" s="45"/>
      <c r="EQ10" s="45"/>
      <c r="ER10" s="45"/>
      <c r="ES10" s="47" t="str">
        <f>hyperlink("http://www.mendocinofilmfestival.org", "Mendocino Film Festival")</f>
        <v>Mendocino Film Festival</v>
      </c>
      <c r="EW10" s="43" t="s">
        <v>50</v>
      </c>
      <c r="EX10" s="45"/>
      <c r="EY10" s="45"/>
      <c r="EZ10" s="47" t="str">
        <f>hyperlink("http://lighthousefilmfestival.org/", "Lighthouse International Film Festival")</f>
        <v>Lighthouse International Film Festival</v>
      </c>
      <c r="FD10" s="43" t="s">
        <v>50</v>
      </c>
      <c r="FE10" s="45"/>
      <c r="FF10" s="45"/>
      <c r="FG10" s="47" t="str">
        <f>hyperlink("www.deadcenterfilm.org", "deadCENTER Film Festival")</f>
        <v>deadCENTER Film Festival</v>
      </c>
      <c r="FK10" s="43" t="s">
        <v>50</v>
      </c>
      <c r="FL10" s="45"/>
      <c r="FM10" s="47" t="str">
        <f>hyperlink("http://www.ptownfilmfest.org/", "Provincetown Film Festival")</f>
        <v>Provincetown Film Festival</v>
      </c>
      <c r="FR10" s="43" t="s">
        <v>50</v>
      </c>
      <c r="FS10" s="45"/>
      <c r="FT10" s="45"/>
      <c r="FU10" s="45"/>
      <c r="FV10" s="47" t="str">
        <f>hyperlink("http://desmoinesartsfestival.org/interrobangfilmfestival/", "Interrobang Film Festival")</f>
        <v>Interrobang Film Festival</v>
      </c>
      <c r="FY10" s="43" t="s">
        <v>50</v>
      </c>
      <c r="FZ10" s="45"/>
      <c r="GA10" s="45"/>
      <c r="GQ10" s="63" t="str">
        <f>hyperlink("https://www.frozenfilmfestival.com/", "San Francisco Frozen Film Festival")</f>
        <v>San Francisco Frozen Film Festival</v>
      </c>
      <c r="GV10" s="43" t="s">
        <v>50</v>
      </c>
      <c r="GW10" s="63" t="str">
        <f>hyperlink("https://www.ciffnv.org/", "Cordillera International Film Festival")</f>
        <v>Cordillera International Film Festival</v>
      </c>
      <c r="HA10" s="43" t="s">
        <v>50</v>
      </c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7" t="str">
        <f>hyperlink("http://www.riversedgefilmfestival.com", "River's Edge International Film Festival ")</f>
        <v>River's Edge International Film Festival </v>
      </c>
      <c r="HV10" s="43" t="s">
        <v>50</v>
      </c>
      <c r="HW10" s="45"/>
      <c r="HX10" s="45"/>
      <c r="IE10" s="45"/>
      <c r="IJ10" s="45"/>
      <c r="IL10" s="45"/>
      <c r="IQ10" s="45"/>
      <c r="IR10" s="45"/>
      <c r="IS10" s="45"/>
      <c r="IT10" s="47" t="str">
        <f>hyperlink("http://www.massiff.org/", "Massachusettes Independent Film Festival, The ")</f>
        <v>Massachusettes Independent Film Festival, The </v>
      </c>
      <c r="IW10" s="43" t="s">
        <v>50</v>
      </c>
      <c r="IX10" s="45"/>
      <c r="IY10" s="45"/>
      <c r="IZ10" s="45"/>
      <c r="JD10" s="45"/>
      <c r="JE10" s="45"/>
      <c r="JF10" s="45"/>
      <c r="JG10" s="47" t="str">
        <f>hyperlink("https://catalinafilm.org/", "Catalina Film Festival")</f>
        <v>Catalina Film Festival</v>
      </c>
      <c r="JL10" s="43" t="s">
        <v>50</v>
      </c>
      <c r="JM10" s="45"/>
      <c r="JN10" s="45"/>
      <c r="JO10" s="47" t="str">
        <f>hyperlink("http://www.siouxcityfilmfest.org/", "Sioux City International Film Festival")</f>
        <v>Sioux City International Film Festival</v>
      </c>
      <c r="JS10" s="43" t="s">
        <v>50</v>
      </c>
      <c r="JU10" s="45"/>
      <c r="JV10" s="45"/>
      <c r="JW10" s="45"/>
      <c r="JX10" s="45"/>
      <c r="JY10" s="45"/>
      <c r="JZ10" s="47" t="str">
        <f>hyperlink("https://portlandfilmfestival.com/", "Portland Film Festival ")</f>
        <v>Portland Film Festival </v>
      </c>
      <c r="KG10" s="43" t="s">
        <v>50</v>
      </c>
      <c r="KH10" s="45"/>
      <c r="KI10" s="47" t="str">
        <f>hyperlink("http://indiememphis.com/", "Indie Memphis Film Festival")</f>
        <v>Indie Memphis Film Festival</v>
      </c>
      <c r="KO10" s="43" t="s">
        <v>50</v>
      </c>
      <c r="KP10" s="45"/>
      <c r="KR10" s="45"/>
      <c r="KW10" s="63" t="str">
        <f>hyperlink("http://goldcoastfilmfestival.org/", "Gold Coast International Film Festival")</f>
        <v>Gold Coast International Film Festival</v>
      </c>
      <c r="LF10" s="43" t="s">
        <v>50</v>
      </c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7" t="str">
        <f>hyperlink("https://www.beaufortfilmfestival.com/", "Beaufort International Film Festival")</f>
        <v>Beaufort International Film Festival</v>
      </c>
      <c r="BD11" s="43" t="s">
        <v>50</v>
      </c>
      <c r="BE11" s="45"/>
      <c r="BG11" s="63" t="str">
        <f>hyperlink("http://magnoliafilmfest.com/", "Magnolia Independent Film Festival")</f>
        <v>Magnolia Independent Film Festival</v>
      </c>
      <c r="BJ11" s="43" t="s">
        <v>50</v>
      </c>
      <c r="BK11" s="45"/>
      <c r="BL11" s="45"/>
      <c r="BM11" s="47" t="str">
        <f>hyperlink("http://www.durangofilmfestival.com/", "Durango Independent Film Festival")</f>
        <v>Durango Independent Film Festival</v>
      </c>
      <c r="BR11" s="43" t="s">
        <v>50</v>
      </c>
      <c r="BS11" s="45"/>
      <c r="BT11" s="45"/>
      <c r="BU11" s="45"/>
      <c r="BV11" s="45"/>
      <c r="BW11" s="45"/>
      <c r="BX11" s="45"/>
      <c r="BY11" s="45"/>
      <c r="BZ11" s="47" t="str">
        <f>hyperlink("http://oxfordfilmfest.com/", "Oxford Film Festival ")</f>
        <v>Oxford Film Festival </v>
      </c>
      <c r="CE11" s="43" t="s">
        <v>50</v>
      </c>
      <c r="CF11" s="45"/>
      <c r="CG11" s="47" t="str">
        <f>hyperlink("http://www.sonomafilmfest.org/", "Sonoma International Film Festival")</f>
        <v>Sonoma International Film Festival</v>
      </c>
      <c r="CL11" s="43" t="s">
        <v>50</v>
      </c>
      <c r="CM11" s="45"/>
      <c r="CN11" s="47" t="str">
        <f>hyperlink("http://www.bev...festival.com/", "Beverly Hills Film Festival")</f>
        <v>Beverly Hills Film Festival</v>
      </c>
      <c r="CS11" s="43" t="s">
        <v>50</v>
      </c>
      <c r="CY11" s="45"/>
      <c r="CZ11" s="45"/>
      <c r="DA11" s="45"/>
      <c r="DB11" s="45"/>
      <c r="DC11" s="45"/>
      <c r="DD11" s="47" t="str">
        <f>hyperlink("http://olympia...ilm-festival/", "Olympia Film Festival")</f>
        <v>Olympia Film Festival</v>
      </c>
      <c r="DM11" s="43" t="s">
        <v>50</v>
      </c>
      <c r="DN11" s="45"/>
      <c r="DO11" s="45"/>
      <c r="DP11" s="47" t="str">
        <f>hyperlink("http://bentonv...festival.com/", "Bentonville Film Festival")</f>
        <v>Bentonville Film Festival</v>
      </c>
      <c r="DT11" s="43" t="s">
        <v>50</v>
      </c>
      <c r="DU11" s="45"/>
      <c r="DV11" s="45"/>
      <c r="DW11" s="45"/>
      <c r="DX11" s="47" t="str">
        <f>hyperlink("http://greenpointfilmfestival.org/", "Greenpoint Film Festival")</f>
        <v>Greenpoint Film Festival</v>
      </c>
      <c r="EB11" s="43" t="s">
        <v>50</v>
      </c>
      <c r="EF11" s="63" t="str">
        <f>hyperlink("http://rainier.film/", "Rainier Independent Film Festival")</f>
        <v>Rainier Independent Film Festival</v>
      </c>
      <c r="EI11" s="43" t="s">
        <v>50</v>
      </c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7" t="str">
        <f>hyperlink("https://lakearrowheadfilmfest.com", "Lake Arrowhead Film Festival")</f>
        <v>Lake Arrowhead Film Festival</v>
      </c>
      <c r="EW11" s="43" t="s">
        <v>50</v>
      </c>
      <c r="EX11" s="45"/>
      <c r="EY11" s="45"/>
      <c r="EZ11" s="47" t="str">
        <f>hyperlink("http://oakclifffilmfestival.com/", "Oak Cliff Hill Film Festival")</f>
        <v>Oak Cliff Hill Film Festival</v>
      </c>
      <c r="FD11" s="43" t="s">
        <v>50</v>
      </c>
      <c r="FE11" s="45"/>
      <c r="FF11" s="45"/>
      <c r="FG11" s="47" t="str">
        <f>hyperlink("https://vbwff.com/", "Vero Beach Wine + Film Festival")</f>
        <v>Vero Beach Wine + Film Festival</v>
      </c>
      <c r="FK11" s="43" t="s">
        <v>50</v>
      </c>
      <c r="FL11" s="45"/>
      <c r="FM11" s="45"/>
      <c r="FN11" s="47" t="str">
        <f>hyperlink("https://covellitefilmfest.org/", "Covellite International Film Festival")</f>
        <v>Covellite International Film Festival</v>
      </c>
      <c r="FR11" s="43" t="s">
        <v>50</v>
      </c>
      <c r="FS11" s="45"/>
      <c r="FT11" s="45"/>
      <c r="FU11" s="45"/>
      <c r="FV11" s="47" t="str">
        <f>hyperlink("http://pghindie.com/Welcome.html", "Pittsburgh Independent Film Festival")</f>
        <v>Pittsburgh Independent Film Festival</v>
      </c>
      <c r="FY11" s="43" t="s">
        <v>50</v>
      </c>
      <c r="FZ11" s="45"/>
      <c r="GA11" s="45"/>
      <c r="GQ11" s="45"/>
      <c r="GR11" s="45"/>
      <c r="GS11" s="45"/>
      <c r="GT11" s="45"/>
      <c r="GU11" s="45"/>
      <c r="GV11" s="47" t="str">
        <f>hyperlink("https://www.indiestreetfilmfestival.org/", "Indie Street Film Festival")</f>
        <v>Indie Street Film Festival</v>
      </c>
      <c r="HA11" s="43" t="s">
        <v>50</v>
      </c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R11" s="63" t="str">
        <f>hyperlink("http://www.riversedgefilmfestival.com/", "River’s Edge International Film Festival")</f>
        <v>River’s Edge International Film Festival</v>
      </c>
      <c r="HV11" s="43" t="s">
        <v>50</v>
      </c>
      <c r="HW11" s="45"/>
      <c r="HX11" s="45"/>
      <c r="IE11" s="45"/>
      <c r="IJ11" s="45"/>
      <c r="IK11" s="45"/>
      <c r="IL11" s="45"/>
      <c r="IQ11" s="45"/>
      <c r="IS11" s="45"/>
      <c r="IT11" s="45"/>
      <c r="IU11" s="47" t="str">
        <f>hyperlink("http://www.coneyislandfilmfestival.com/", "Coney Island Film Festival")</f>
        <v>Coney Island Film Festival</v>
      </c>
      <c r="IX11" s="43" t="s">
        <v>50</v>
      </c>
      <c r="IY11" s="45"/>
      <c r="IZ11" s="45"/>
      <c r="JE11" s="45"/>
      <c r="JG11" s="47" t="str">
        <f>hyperlink("http://www.charlottefilmfestival.org/", "Charlotte Film Festival")</f>
        <v>Charlotte Film Festival</v>
      </c>
      <c r="JL11" s="43" t="s">
        <v>50</v>
      </c>
      <c r="JO11" s="63" t="str">
        <f>hyperlink("https://www.shawnasheaff.org/", "Shawna Shea Film Festival, The ")</f>
        <v>Shawna Shea Film Festival, The </v>
      </c>
      <c r="JR11" s="43" t="s">
        <v>50</v>
      </c>
      <c r="JS11" s="45"/>
      <c r="JU11" s="45"/>
      <c r="JV11" s="47" t="str">
        <f>hyperlink("http://www.bendfilm.org/", "BendFilm Festival")</f>
        <v>BendFilm Festival</v>
      </c>
      <c r="JZ11" s="43" t="s">
        <v>50</v>
      </c>
      <c r="KA11" s="47" t="str">
        <f>hyperlink("https://sdfilmfest.com/", "San Diego International Film Festival")</f>
        <v>San Diego International Film Festival</v>
      </c>
      <c r="KG11" s="43" t="s">
        <v>50</v>
      </c>
      <c r="KH11" s="45"/>
      <c r="KI11" s="47" t="str">
        <f>hyperlink("http://virgini...festival.org/", "Virginia Film Festival")</f>
        <v>Virginia Film Festival</v>
      </c>
      <c r="KN11" s="43" t="s">
        <v>50</v>
      </c>
      <c r="KO11" s="45"/>
      <c r="KQ11" s="45"/>
      <c r="KZ11" s="63" t="str">
        <f>hyperlink("https://www.yofifest.com/", "YoFiFest, The Yonkers Film Festival")</f>
        <v>YoFiFest, The Yonkers Film Festival</v>
      </c>
      <c r="LH11" s="43" t="s">
        <v>50</v>
      </c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Z12" s="63" t="str">
        <f>hyperlink("https://www.blackhillsfilmfestival.org/", "Black Hills Film Festival")</f>
        <v>Black Hills Film Festival</v>
      </c>
      <c r="BF12" s="43" t="s">
        <v>50</v>
      </c>
      <c r="BH12" s="63" t="str">
        <f>hyperlink("http://destinycityfilmfestival.com/", "Destiny City Film Festival")</f>
        <v>Destiny City Film Festival</v>
      </c>
      <c r="BK12" s="43" t="s">
        <v>50</v>
      </c>
      <c r="BL12" s="45"/>
      <c r="BM12" s="47" t="str">
        <f>hyperlink("http://lascrucesfilmfest.com/", "Las Cruces International Film Festival")</f>
        <v>Las Cruces International Film Festival</v>
      </c>
      <c r="BR12" s="43" t="s">
        <v>50</v>
      </c>
      <c r="BS12" s="45"/>
      <c r="BT12" s="45"/>
      <c r="BU12" s="45"/>
      <c r="BV12" s="45"/>
      <c r="BW12" s="45"/>
      <c r="BX12" s="45"/>
      <c r="BY12" s="45"/>
      <c r="BZ12" s="47" t="str">
        <f>hyperlink("https://www.somafilmfestival.com/", "SOMA Film Festival")</f>
        <v>SOMA Film Festival</v>
      </c>
      <c r="CE12" s="43" t="s">
        <v>50</v>
      </c>
      <c r="CF12" s="45"/>
      <c r="CG12" s="47" t="str">
        <f>hyperlink("http://www.gsff.org/", "Garden State Film Festival")</f>
        <v>Garden State Film Festival</v>
      </c>
      <c r="CK12" s="43" t="s">
        <v>50</v>
      </c>
      <c r="CL12" s="45"/>
      <c r="CO12" s="63" t="str">
        <f>hyperlink("www.sleepinggiantfest.com", "Sleeping Giant Fest")</f>
        <v>Sleeping Giant Fest</v>
      </c>
      <c r="CS12" s="43" t="s">
        <v>50</v>
      </c>
      <c r="CZ12" s="45"/>
      <c r="DC12" s="63" t="str">
        <f>hyperlink("https://www.dallasfilm.org", "Dallas International Film Festival")</f>
        <v>Dallas International Film Festival</v>
      </c>
      <c r="DK12" s="43" t="s">
        <v>50</v>
      </c>
      <c r="DL12" s="63" t="str">
        <f>hyperlink("https://www.sacramentofilmfestival.com/", "Sacramento International Film Festival")</f>
        <v>Sacramento International Film Festival</v>
      </c>
      <c r="DU12" s="43" t="s">
        <v>50</v>
      </c>
      <c r="DV12" s="45"/>
      <c r="DW12" s="45"/>
      <c r="DX12" s="47" t="str">
        <f>hyperlink("http://www.hillcountryff.com/", "Hill Country Film Festival")</f>
        <v>Hill Country Film Festival</v>
      </c>
      <c r="EB12" s="43" t="s">
        <v>50</v>
      </c>
      <c r="EG12" s="63" t="str">
        <f>hyperlink("http://www.lareelfilmfest.com", "Los Angeles Reel Film Festival")</f>
        <v>Los Angeles Reel Film Festival</v>
      </c>
      <c r="EI12" s="43" t="s">
        <v>50</v>
      </c>
      <c r="EK12" s="45"/>
      <c r="EL12" s="45"/>
      <c r="EM12" s="45"/>
      <c r="EN12" s="45"/>
      <c r="EO12" s="45"/>
      <c r="EP12" s="45"/>
      <c r="EQ12" s="45"/>
      <c r="ER12" s="45"/>
      <c r="EV12" s="63" t="str">
        <f>hyperlink("http://www.sunsetfilmfestival.com/", "Sunset Film Festival Los Angeles ")</f>
        <v>Sunset Film Festival Los Angeles </v>
      </c>
      <c r="EW12" s="43" t="s">
        <v>50</v>
      </c>
      <c r="FA12" s="45"/>
      <c r="FB12" s="45"/>
      <c r="FC12" s="45"/>
      <c r="FD12" s="45"/>
      <c r="FE12" s="45"/>
      <c r="FF12" s="45"/>
      <c r="FG12" s="47" t="str">
        <f>hyperlink("http://rochesterfilmfest.org/", "Rochester International Film Festival")</f>
        <v>Rochester International Film Festival</v>
      </c>
      <c r="FJ12" s="43" t="s">
        <v>50</v>
      </c>
      <c r="FK12" s="47" t="str">
        <f>hyperlink("http://www.fwindie.com/", "Fort Worth Indie Film Showcase")</f>
        <v>Fort Worth Indie Film Showcase</v>
      </c>
      <c r="FO12" s="43" t="s">
        <v>50</v>
      </c>
      <c r="FP12" s="45"/>
      <c r="FQ12" s="45"/>
      <c r="FR12" s="45"/>
      <c r="FS12" s="45"/>
      <c r="FT12" s="45"/>
      <c r="FU12" s="45"/>
      <c r="FV12" s="47" t="str">
        <f>hyperlink("http://freerangefilm.com/", "Free Range Film Festival")</f>
        <v>Free Range Film Festival</v>
      </c>
      <c r="FX12" s="43" t="s">
        <v>50</v>
      </c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7" t="str">
        <f>hyperlink("http://www.ccartscouncil.org/realtoreel/", "Real to Reel International Film Festival")</f>
        <v>Real to Reel International Film Festival</v>
      </c>
      <c r="GZ12" s="43" t="s">
        <v>50</v>
      </c>
      <c r="HA12" s="45"/>
      <c r="HB12" s="45"/>
      <c r="HC12" s="45"/>
      <c r="HH12" s="45"/>
      <c r="HI12" s="45"/>
      <c r="HK12" s="45"/>
      <c r="HN12" s="45"/>
      <c r="HQ12" s="45"/>
      <c r="HS12" s="63" t="str">
        <f>hyperlink("https://www.monmouthfilmfestival.org/", "Monmouth Film Festival")</f>
        <v>Monmouth Film Festival</v>
      </c>
      <c r="HV12" s="43" t="s">
        <v>50</v>
      </c>
      <c r="HW12" s="45"/>
      <c r="HX12" s="45"/>
      <c r="IE12" s="45"/>
      <c r="IS12" s="45"/>
      <c r="IU12" s="63" t="str">
        <f>hyperlink("http://www.nefilmfestival.com/", "Northeast Film Festival")</f>
        <v>Northeast Film Festival</v>
      </c>
      <c r="IX12" s="43" t="s">
        <v>50</v>
      </c>
      <c r="IY12" s="45"/>
      <c r="IZ12" s="45"/>
      <c r="JF12" s="45"/>
      <c r="JG12" s="63" t="str">
        <f>hyperlink("http://www.footcandlefilmfestival.com/", "Footcandle Film Festival")</f>
        <v>Footcandle Film Festival</v>
      </c>
      <c r="JL12" s="43" t="s">
        <v>50</v>
      </c>
      <c r="JM12" s="45"/>
      <c r="JP12" s="63" t="str">
        <f>hyperlink("https://www.raleighfilmandartfestival.com/", "Raleigh Film &amp; Art Festival")</f>
        <v>Raleigh Film &amp; Art Festival</v>
      </c>
      <c r="JS12" s="43" t="s">
        <v>50</v>
      </c>
      <c r="JV12" s="47" t="str">
        <f>hyperlink("https://www.flywayfilmfestival.org/", "Flyway Film Festival")</f>
        <v>Flyway Film Festival</v>
      </c>
      <c r="JZ12" s="43" t="s">
        <v>50</v>
      </c>
      <c r="KA12" s="47" t="str">
        <f>hyperlink("https://www.santacruzfilmfestival.org/", "Santa Cruz Film Festival")</f>
        <v>Santa Cruz Film Festival</v>
      </c>
      <c r="KG12" s="43" t="s">
        <v>50</v>
      </c>
      <c r="KH12" s="45"/>
      <c r="KI12" s="45"/>
      <c r="KJ12" s="47" t="str">
        <f>hyperlink("https://wwfilmfest.com/", "Washington West International Film Festival")</f>
        <v>Washington West International Film Festival</v>
      </c>
      <c r="KO12" s="43" t="s">
        <v>50</v>
      </c>
      <c r="KP12" s="45"/>
      <c r="LA12" s="63" t="str">
        <f>hyperlink("http://www.stcloudfilmfest.com/", "St. Cloud Film Festival")</f>
        <v>St. Cloud Film Festival</v>
      </c>
      <c r="LI12" s="43" t="s">
        <v>50</v>
      </c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B13" s="63" t="str">
        <f>hyperlink("www.southerncity.org ", "Southern City Film Festival")</f>
        <v>Southern City Film Festival</v>
      </c>
      <c r="BF13" s="43" t="s">
        <v>50</v>
      </c>
      <c r="BG13" s="45"/>
      <c r="BH13" s="45"/>
      <c r="BI13" s="45"/>
      <c r="BJ13" s="45"/>
      <c r="BK13" s="45"/>
      <c r="BL13" s="45"/>
      <c r="BM13" s="45"/>
      <c r="BN13" s="47" t="str">
        <f>hyperlink("http://www.biff1.com/", "Boulder International Film Festival")</f>
        <v>Boulder International Film Festival</v>
      </c>
      <c r="BR13" s="43" t="s">
        <v>50</v>
      </c>
      <c r="BX13" s="45"/>
      <c r="BZ13" s="63" t="str">
        <f>hyperlink("https://sunvalleyfilmfestival.org/", "Sun Valley Film Festival")</f>
        <v>Sun Valley Film Festival</v>
      </c>
      <c r="CE13" s="43" t="s">
        <v>50</v>
      </c>
      <c r="CH13" s="63" t="str">
        <f>hyperlink("http://www.ann...festival.net/", "Annapolis Film Festival")</f>
        <v>Annapolis Film Festival</v>
      </c>
      <c r="CL13" s="43" t="s">
        <v>50</v>
      </c>
      <c r="CM13" s="45"/>
      <c r="CN13" s="45"/>
      <c r="CO13" s="45"/>
      <c r="CP13" s="47" t="str">
        <f>hyperlink("http://www.crifm.org/", "Cedar Rapids Independent Film Festival")</f>
        <v>Cedar Rapids Independent Film Festival</v>
      </c>
      <c r="CR13" s="43" t="s">
        <v>50</v>
      </c>
      <c r="CS13" s="45"/>
      <c r="CT13" s="45"/>
      <c r="DB13" s="63" t="str">
        <f>hyperlink("https://kcfilmfest.org/", "Kansas City Film Fest")</f>
        <v>Kansas City Film Fest</v>
      </c>
      <c r="DG13" s="43" t="s">
        <v>50</v>
      </c>
      <c r="DI13" s="63" t="str">
        <f>hyperlink("http://fmbfilmfest.com/", "Fort Myers Beach International Film Festival")</f>
        <v>Fort Myers Beach International Film Festival</v>
      </c>
      <c r="DQ13" s="43" t="s">
        <v>50</v>
      </c>
      <c r="DR13" s="63" t="str">
        <f>hyperlink("https://www.blackbirdfilmfest.com/", "Blackbird Film Festival")</f>
        <v>Blackbird Film Festival</v>
      </c>
      <c r="DU13" s="43" t="s">
        <v>50</v>
      </c>
      <c r="DV13" s="45"/>
      <c r="DY13" s="63" t="str">
        <f>hyperlink("http://www.longleaffilmfestival.com/", "Longleaf Film Festival")</f>
        <v>Longleaf Film Festival</v>
      </c>
      <c r="EA13" s="43" t="s">
        <v>50</v>
      </c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7" t="str">
        <f>hyperlink("https://filmfreeway.com/malibu", "Malibu International Film Festival")</f>
        <v>Malibu International Film Festival</v>
      </c>
      <c r="FH13" s="43" t="s">
        <v>50</v>
      </c>
      <c r="FI13" s="47" t="str">
        <f>hyperlink("http://www.smokymountainfilmfest.com/", "Smoky Mountains Film Festival")</f>
        <v>Smoky Mountains Film Festival</v>
      </c>
      <c r="FJ13" s="43" t="s">
        <v>50</v>
      </c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U13" s="63" t="str">
        <f>hyperlink("http://monarchfilmfestival.com", "Monarch Film Festival")</f>
        <v>Monarch Film Festival</v>
      </c>
      <c r="IW13" s="43" t="s">
        <v>50</v>
      </c>
      <c r="IX13" s="45"/>
      <c r="IY13" s="45"/>
      <c r="IZ13" s="45"/>
      <c r="JD13" s="45"/>
      <c r="JG13" s="63" t="str">
        <f>hyperlink("https://www.urbanworld.org/", "Urbanworld Film Festival")</f>
        <v>Urbanworld Film Festival</v>
      </c>
      <c r="JL13" s="43" t="s">
        <v>50</v>
      </c>
      <c r="JM13" s="45"/>
      <c r="JP13" s="63" t="str">
        <f>hyperlink("http://www.lakecharlesfilmfestival.com/index.html", "Lake Charles Film &amp; Music Festival")</f>
        <v>Lake Charles Film &amp; Music Festival</v>
      </c>
      <c r="JR13" s="43" t="s">
        <v>50</v>
      </c>
      <c r="JS13" s="45"/>
      <c r="JU13" s="45"/>
      <c r="JV13" s="47" t="str">
        <f>hyperlink("http://hampton...filmfest.org/", "Hamptons International Film Festival")</f>
        <v>Hamptons International Film Festival</v>
      </c>
      <c r="KA13" s="43" t="s">
        <v>50</v>
      </c>
      <c r="KB13" s="47" t="str">
        <f>hyperlink("http://santafeindependentfilmfestival.com/", "Santa Fe Independent Film Festival")</f>
        <v>Santa Fe Independent Film Festival</v>
      </c>
      <c r="KG13" s="43" t="s">
        <v>50</v>
      </c>
      <c r="KH13" s="45"/>
      <c r="KI13" s="47" t="str">
        <f>hyperlink("http://www.niffhouston.org", "NiFF Houston International Film Festival")</f>
        <v>NiFF Houston International Film Festival</v>
      </c>
      <c r="KM13" s="43" t="s">
        <v>50</v>
      </c>
      <c r="KN13" s="45"/>
      <c r="KT13" s="45"/>
      <c r="KV13" s="45"/>
      <c r="KW13" s="45"/>
      <c r="KX13" s="45"/>
      <c r="KY13" s="45"/>
      <c r="KZ13" s="47" t="str">
        <f>hyperlink("http://www.kansasfilm.com/", "Kansas International Film Festival")</f>
        <v>Kansas International Film Festival</v>
      </c>
      <c r="LG13" s="43" t="s">
        <v>50</v>
      </c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A14" s="63" t="str">
        <f>hyperlink("http://www.cinemaattheedge.com/", "Cinema at the Edge Independent Film Festival (CATE)")</f>
        <v>Cinema at the Edge Independent Film Festival (CATE)</v>
      </c>
      <c r="BD14" s="43" t="s">
        <v>50</v>
      </c>
      <c r="BJ14" s="45"/>
      <c r="BK14" s="45"/>
      <c r="BL14" s="45"/>
      <c r="BM14" s="45"/>
      <c r="BN14" s="47" t="str">
        <f>hyperlink("http://www.lindseyfilmfest.com", "George Lindsey UNA Film Festival")</f>
        <v>George Lindsey UNA Film Festival</v>
      </c>
      <c r="BQ14" s="43" t="s">
        <v>50</v>
      </c>
      <c r="BR14" s="45"/>
      <c r="CB14" s="45"/>
      <c r="CC14" s="45"/>
      <c r="CD14" s="45"/>
      <c r="CE14" s="47" t="str">
        <f>hyperlink("http://www.nyciff.com/", "New York City International Film Festival")</f>
        <v>New York City International Film Festival</v>
      </c>
      <c r="CJ14" s="43" t="s">
        <v>50</v>
      </c>
      <c r="CR14" s="63" t="str">
        <f>hyperlink("https://davisfilmfestival.business.site", "Davis Film Festival")</f>
        <v>Davis Film Festival</v>
      </c>
      <c r="CS14" s="43" t="s">
        <v>50</v>
      </c>
      <c r="CT14" s="45"/>
      <c r="CW14" s="45"/>
      <c r="DB14" s="63" t="str">
        <f>hyperlink("https://tallahasseefilmfestival.com/", "Tallahassee Film Festival")</f>
        <v>Tallahassee Film Festival</v>
      </c>
      <c r="DG14" s="43" t="s">
        <v>50</v>
      </c>
      <c r="DI14" s="63" t="str">
        <f>hyperlink("http://iffboston.org/", "Independent Film Festival of Boston")</f>
        <v>Independent Film Festival of Boston</v>
      </c>
      <c r="DQ14" s="43" t="s">
        <v>50</v>
      </c>
      <c r="DR14" s="63" t="str">
        <f>hyperlink("https://filmfreeway.com/WestSoundFilmFestival", "West Sound Film Festival")</f>
        <v>West Sound Film Festival</v>
      </c>
      <c r="DU14" s="43" t="s">
        <v>50</v>
      </c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H14" s="63" t="str">
        <f>hyperlink("http://cbfilmfest.org/", "Crested Butte Film Festival")</f>
        <v>Crested Butte Film Festival</v>
      </c>
      <c r="JL14" s="43" t="s">
        <v>50</v>
      </c>
      <c r="JN14" s="45"/>
      <c r="JS14" s="45"/>
      <c r="JV14" s="63" t="str">
        <f>hyperlink("http://www.orcasfilmfest.com/", "Orcas Island Film Festival ")</f>
        <v>Orcas Island Film Festival </v>
      </c>
      <c r="KA14" s="43" t="s">
        <v>50</v>
      </c>
      <c r="KB14" s="63" t="str">
        <f>hyperlink("http://tallgrassfilmfest.com/", "Tallgrass Film Festival")</f>
        <v>Tallgrass Film Festival</v>
      </c>
      <c r="KG14" s="43" t="s">
        <v>50</v>
      </c>
      <c r="KJ14" s="63" t="str">
        <f>hyperlink("https://www.thefoodfilmfestival.com/", "Food Film Festival, The")</f>
        <v>Food Film Festival, The</v>
      </c>
      <c r="KN14" s="43" t="s">
        <v>50</v>
      </c>
      <c r="KP14" s="45"/>
      <c r="KW14" s="45"/>
      <c r="KZ14" s="63" t="str">
        <f>hyperlink("https://www.studiocityfest.com/", "Studio City Film Festival")</f>
        <v>Studio City Film Festival</v>
      </c>
      <c r="LG14" s="43" t="s">
        <v>50</v>
      </c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7" t="str">
        <f>hyperlink("http://frontrangefilmfest.com/", "Front Range Film Festival")</f>
        <v>Front Range Film Festival</v>
      </c>
      <c r="BC15" s="43" t="s">
        <v>50</v>
      </c>
      <c r="BD15" s="45"/>
      <c r="BK15" s="45"/>
      <c r="BL15" s="45"/>
      <c r="BM15" s="45"/>
      <c r="BN15" s="45"/>
      <c r="BO15" s="47" t="str">
        <f>hyperlink("http://www.reddirtfilm.com/", "Red Dirt Film Festival")</f>
        <v>Red Dirt Film Festival</v>
      </c>
      <c r="BR15" s="43" t="s">
        <v>50</v>
      </c>
      <c r="BS15" s="45"/>
      <c r="BT15" s="45"/>
      <c r="BU15" s="45"/>
      <c r="BV15" s="45"/>
      <c r="BW15" s="45"/>
      <c r="BX15" s="45"/>
      <c r="BY15" s="45"/>
      <c r="BZ15" s="45"/>
      <c r="CA15" s="47" t="str">
        <f>hyperlink("http://tmvff.org/", "Martha's Vinyard Film Festival")</f>
        <v>Martha's Vinyard Film Festival</v>
      </c>
      <c r="CE15" s="43" t="s">
        <v>50</v>
      </c>
      <c r="CH15" s="63" t="str">
        <f>hyperlink("http://indiegrits.org/", "Indie Grits ")</f>
        <v>Indie Grits </v>
      </c>
      <c r="CL15" s="43" t="s">
        <v>50</v>
      </c>
      <c r="CS15" s="45"/>
      <c r="CT15" s="45"/>
      <c r="CY15" s="45"/>
      <c r="DC15" s="63" t="str">
        <f>hyperlink("http://www.bifilmfestival.com/", "Boston International Film Festival")</f>
        <v>Boston International Film Festival</v>
      </c>
      <c r="DI15" s="43" t="s">
        <v>50</v>
      </c>
      <c r="DJ15" s="63" t="str">
        <f>hyperlink("https://newportbeachfilmfest.com/", "Newport Beach Film Festival")</f>
        <v>Newport Beach Film Festival</v>
      </c>
      <c r="DR15" s="43" t="s">
        <v>50</v>
      </c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H15" s="63" t="str">
        <f>hyperlink("https://gigharborfilm.org/", "Gig Harbor Film Festival")</f>
        <v>Gig Harbor Film Festival</v>
      </c>
      <c r="JL15" s="43" t="s">
        <v>50</v>
      </c>
      <c r="JN15" s="45"/>
      <c r="JR15" s="45"/>
      <c r="JV15" s="63" t="str">
        <f>hyperlink("www.montanafilmfestival.org", "Montana Film Festival")</f>
        <v>Montana Film Festival</v>
      </c>
      <c r="JZ15" s="43" t="s">
        <v>50</v>
      </c>
      <c r="KA15" s="63" t="str">
        <f>hyperlink("https://www.senefest.com/", "SENE Film Festival")</f>
        <v>SENE Film Festival</v>
      </c>
      <c r="KF15" s="43" t="s">
        <v>50</v>
      </c>
      <c r="KG15" s="45"/>
      <c r="KJ15" s="63" t="str">
        <f>hyperlink("http://www.indiefestusa.us/", "Indie Fest USA International Film Festival")</f>
        <v>Indie Fest USA International Film Festival</v>
      </c>
      <c r="KN15" s="43" t="s">
        <v>50</v>
      </c>
      <c r="KO15" s="45"/>
      <c r="KP15" s="45"/>
      <c r="KX15" s="63" t="str">
        <f>hyperlink("https://www.lonestarfilmfestival.com/", "Lone Star Film Festival")</f>
        <v>Lone Star Film Festival</v>
      </c>
      <c r="LC15" s="43" t="s">
        <v>50</v>
      </c>
      <c r="LD15" s="45"/>
      <c r="LE15" s="63" t="str">
        <f>hyperlink("https://www.bigapplefilmfestival.com/", "Big Apple Film Festival")</f>
        <v>Big Apple Film Festival</v>
      </c>
      <c r="LJ15" s="43" t="s">
        <v>50</v>
      </c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7" t="str">
        <f>hyperlink("http://southgeorgiafilm.com/", "South Georgia Film Festival")</f>
        <v>South Georgia Film Festival</v>
      </c>
      <c r="BR16" s="43" t="s">
        <v>50</v>
      </c>
      <c r="BS16" s="45"/>
      <c r="BT16" s="45"/>
      <c r="BU16" s="45"/>
      <c r="BV16" s="45"/>
      <c r="BW16" s="45"/>
      <c r="BX16" s="45"/>
      <c r="BY16" s="45"/>
      <c r="BZ16" s="45"/>
      <c r="CA16" s="47" t="str">
        <f>hyperlink("https://www.tcifilmfest.org/", "Treasure Coast International Film Festival")</f>
        <v>Treasure Coast International Film Festival</v>
      </c>
      <c r="CE16" s="43" t="s">
        <v>50</v>
      </c>
      <c r="CF16" s="45"/>
      <c r="CG16" s="45"/>
      <c r="CH16" s="47" t="str">
        <f>hyperlink("http://trentonfilmsociety.org/trenton-film-festival/", "Trenton Film Festival")</f>
        <v>Trenton Film Festival</v>
      </c>
      <c r="CL16" s="43" t="s">
        <v>50</v>
      </c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D16" s="63" t="str">
        <f>hyperlink("http://www.tiburonfilmfestival.com/", "Tiburon International Film Festival")</f>
        <v>Tiburon International Film Festival</v>
      </c>
      <c r="DK16" s="43" t="s">
        <v>50</v>
      </c>
      <c r="DN16" s="45"/>
      <c r="DO16" s="45"/>
      <c r="DP16" s="45"/>
      <c r="DQ16" s="47" t="str">
        <f>hyperlink("http://www.greenwichfilm.org/", "Greenwich International Film Festival")</f>
        <v>Greenwich International Film Festival</v>
      </c>
      <c r="DU16" s="43" t="s">
        <v>50</v>
      </c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H16" s="63" t="str">
        <f>hyperlink("http://hhmfest.com/", "Hell's Half Mile Film &amp; Music Festival")</f>
        <v>Hell's Half Mile Film &amp; Music Festival</v>
      </c>
      <c r="JL16" s="43" t="s">
        <v>50</v>
      </c>
      <c r="JM16" s="45"/>
      <c r="JN16" s="45"/>
      <c r="JS16" s="45"/>
      <c r="JU16" s="45"/>
      <c r="JV16" s="45"/>
      <c r="JW16" s="47" t="str">
        <f>hyperlink("hobnobben.org", "Hobnobben Film Festival")</f>
        <v>Hobnobben Film Festival</v>
      </c>
      <c r="JZ16" s="43" t="s">
        <v>50</v>
      </c>
      <c r="KA16" s="45"/>
      <c r="KB16" s="45"/>
      <c r="KC16" s="47" t="str">
        <f>hyperlink("http://www.adkfilmfestival.org/", "Adirondack Film Festival")</f>
        <v>Adirondack Film Festival</v>
      </c>
      <c r="KG16" s="43" t="s">
        <v>50</v>
      </c>
      <c r="KH16" s="45"/>
      <c r="KI16" s="45"/>
      <c r="KJ16" s="47" t="str">
        <f>hyperlink("https://artisnaples.org/naples-international-film-festival/", "Naples International Film Festival")</f>
        <v>Naples International Film Festival</v>
      </c>
      <c r="KN16" s="43" t="s">
        <v>50</v>
      </c>
      <c r="KP16" s="45"/>
      <c r="KX16" s="63" t="str">
        <f>hyperlink("http://www.bigwaterfilmfestival.org/", "Big Water Film Festival")</f>
        <v>Big Water Film Festival</v>
      </c>
      <c r="LB16" s="43" t="s">
        <v>50</v>
      </c>
      <c r="LC16" s="45"/>
      <c r="LE16" s="63" t="str">
        <f>hyperlink("https://www.cinemanapavalley.org/film/", "Napa Valley Film Festival")</f>
        <v>Napa Valley Film Festival</v>
      </c>
      <c r="LJ16" s="43" t="s">
        <v>50</v>
      </c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7" t="str">
        <f>hyperlink("https://www.irvinefilmfest.com/", "Irvine International Film Festival")</f>
        <v>Irvine International Film Festival</v>
      </c>
      <c r="BQ17" s="43" t="s">
        <v>50</v>
      </c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7" t="str">
        <f>hyperlink("http://www.vailfilmfestival.com/", "Vail Film Festival")</f>
        <v>Vail Film Festival</v>
      </c>
      <c r="CL17" s="43" t="s">
        <v>50</v>
      </c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C17" s="63" t="str">
        <f>hyperlink("https://www.chattfilmfest.org/", "Chattanooga Film Festival")</f>
        <v>Chattanooga Film Festival</v>
      </c>
      <c r="DG17" s="43" t="s">
        <v>50</v>
      </c>
      <c r="DH17" s="63" t="str">
        <f>hyperlink("http://www.barebonesfilmfestival.org/", "Bare Bones International Film &amp; Music Festival")</f>
        <v>Bare Bones International Film &amp; Music Festival</v>
      </c>
      <c r="DN17" s="43" t="s">
        <v>50</v>
      </c>
      <c r="DO17" s="45"/>
      <c r="DP17" s="45"/>
      <c r="DQ17" s="47" t="str">
        <f>hyperlink("http://www.boomtownfestival.com/wordpress", "Boomtown Film &amp; Music Festival")</f>
        <v>Boomtown Film &amp; Music Festival</v>
      </c>
      <c r="DT17" s="43" t="s">
        <v>50</v>
      </c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H17" s="63" t="str">
        <f>hyperlink("http://www.ptfilmfest.com/", "Port Townsend Film Festival")</f>
        <v>Port Townsend Film Festival</v>
      </c>
      <c r="JL17" s="43" t="s">
        <v>50</v>
      </c>
      <c r="JM17" s="45"/>
      <c r="JN17" s="45"/>
      <c r="JS17" s="45"/>
      <c r="JU17" s="45"/>
      <c r="JW17" s="63" t="str">
        <f>hyperlink("http://www.indigomoonfilmfestival.com/", "Indigo Moon Film Festival")</f>
        <v>Indigo Moon Film Festival</v>
      </c>
      <c r="JZ17" s="43" t="s">
        <v>50</v>
      </c>
      <c r="KA17" s="45"/>
      <c r="KC17" s="63" t="str">
        <f>hyperlink("https://www.bushwickfilmfestival.com/", "Bushwick Film Festival")</f>
        <v>Bushwick Film Festival</v>
      </c>
      <c r="KG17" s="43" t="s">
        <v>50</v>
      </c>
      <c r="KJ17" s="63" t="str">
        <f>hyperlink("http://eofilmfest.com/", "Eastern Oregon Film Festival")</f>
        <v>Eastern Oregon Film Festival</v>
      </c>
      <c r="KM17" s="43" t="s">
        <v>50</v>
      </c>
      <c r="KP17" s="45"/>
      <c r="KV17" s="45"/>
      <c r="KW17" s="45"/>
      <c r="KX17" s="63" t="str">
        <f>hyperlink("http://www.redrockfilmfestival.com/", "Red Rock Film Festival - Utah")</f>
        <v>Red Rock Film Festival - Utah</v>
      </c>
      <c r="LB17" s="43" t="s">
        <v>50</v>
      </c>
      <c r="LC17" s="45"/>
      <c r="LE17" s="63" t="str">
        <f>hyperlink("http://wegafilm.com/", "Weyauwega International Film Festival")</f>
        <v>Weyauwega International Film Festival</v>
      </c>
      <c r="LI17" s="43" t="s">
        <v>50</v>
      </c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H18" s="63" t="str">
        <f>hyperlink("http://www.adv...turefilm.org/", "Adventure Film Festival")</f>
        <v>Adventure Film Festival</v>
      </c>
      <c r="CK18" s="43" t="s">
        <v>50</v>
      </c>
      <c r="CL18" s="45"/>
      <c r="CW18" s="45"/>
      <c r="CY18" s="45"/>
      <c r="DC18" s="63" t="str">
        <f>hyperlink("http://www.vtxiff.com/", "Victoria TX Independent Film Festival, The ")</f>
        <v>Victoria TX Independent Film Festival, The </v>
      </c>
      <c r="DG18" s="43" t="s">
        <v>50</v>
      </c>
      <c r="DH18" s="63" t="str">
        <f>hyperlink("https://www.rvafilmfestival.com/", "Richmond International Film Festival")</f>
        <v>Richmond International Film Festival</v>
      </c>
      <c r="DN18" s="43" t="s">
        <v>50</v>
      </c>
      <c r="DQ18" s="63" t="str">
        <f>hyperlink("https://www.riverbendfilmfest.com/", "River Bend Film Festival")</f>
        <v>River Bend Film Festival</v>
      </c>
      <c r="DT18" s="43" t="s">
        <v>50</v>
      </c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H18" s="63" t="str">
        <f>hyperlink("http://www.flatlandfilm.org/", "Flatland Film Festival")</f>
        <v>Flatland Film Festival</v>
      </c>
      <c r="JK18" s="43" t="s">
        <v>50</v>
      </c>
      <c r="JL18" s="45"/>
      <c r="JN18" s="45"/>
      <c r="JS18" s="45"/>
      <c r="JW18" s="63" t="str">
        <f>hyperlink("http://www.trifi.org/", "Tri-Cities International Film Festival")</f>
        <v>Tri-Cities International Film Festival</v>
      </c>
      <c r="JZ18" s="43" t="s">
        <v>50</v>
      </c>
      <c r="KA18" s="45"/>
      <c r="KC18" s="63" t="str">
        <f>hyperlink("https://www.chelseafilm.org/", "Chelsea Film Festival")</f>
        <v>Chelsea Film Festival</v>
      </c>
      <c r="KG18" s="43" t="s">
        <v>50</v>
      </c>
      <c r="KK18" s="45"/>
      <c r="KN18" s="45"/>
      <c r="KP18" s="45"/>
      <c r="KW18" s="45"/>
      <c r="KY18" s="63" t="str">
        <f>hyperlink("https://www.aiffest.org/", "Arlington International Film Festival")</f>
        <v>Arlington International Film Festival</v>
      </c>
      <c r="LC18" s="43" t="s">
        <v>50</v>
      </c>
      <c r="LF18" s="63" t="str">
        <f>hyperlink("https://www.fairhopefilmfestival.org/", "Fairhope Film Festival")</f>
        <v>Fairhope Film Festival</v>
      </c>
      <c r="LJ18" s="43" t="s">
        <v>50</v>
      </c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7" t="str">
        <f>hyperlink("https://www.treefortmusicfest.com/fort/filmfort/", "FilmFort")</f>
        <v>FilmFort</v>
      </c>
      <c r="CK19" s="43" t="s">
        <v>50</v>
      </c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C19" s="63" t="str">
        <f>hyperlink("http://www.ashlandfilm.org/", "Ashland Independent Film Festival")</f>
        <v>Ashland Independent Film Festival</v>
      </c>
      <c r="DH19" s="43" t="s">
        <v>50</v>
      </c>
      <c r="DI19" s="63" t="str">
        <f>hyperlink("http://julienfilmfest.com/", "Julien Dubuque International Film Festival ")</f>
        <v>Julien Dubuque International Film Festival </v>
      </c>
      <c r="DN19" s="43" t="s">
        <v>50</v>
      </c>
      <c r="DQ19" s="63" t="str">
        <f>hyperlink("http://www.twisteralleyfilmfestival.com/", "Twister Alley Film Festival")</f>
        <v>Twister Alley Film Festival</v>
      </c>
      <c r="DT19" s="43" t="s">
        <v>50</v>
      </c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I19" s="63" t="str">
        <f>hyperlink("https://www.revolutionmefilms.com/", "Revolution Me Film Festival")</f>
        <v>Revolution Me Film Festival</v>
      </c>
      <c r="JL19" s="43" t="s">
        <v>50</v>
      </c>
      <c r="JM19" s="45"/>
      <c r="JN19" s="45"/>
      <c r="JR19" s="45"/>
      <c r="JY19" s="45"/>
      <c r="JZ19" s="45"/>
      <c r="KA19" s="45"/>
      <c r="KB19" s="45"/>
      <c r="KC19" s="47" t="str">
        <f>hyperlink("http://www.valleycon.com/filmfest/", "Fargo Fantastic Film Festival")</f>
        <v>Fargo Fantastic Film Festival</v>
      </c>
      <c r="KG19" s="43" t="s">
        <v>50</v>
      </c>
      <c r="KM19" s="45"/>
      <c r="KN19" s="45"/>
      <c r="KO19" s="45"/>
      <c r="KP19" s="45"/>
      <c r="KY19" s="63" t="str">
        <f>hyperlink("http://www.crossroadsfilmfestival.com/", "Crossroads Film Festival")</f>
        <v>Crossroads Film Festival</v>
      </c>
      <c r="LC19" s="43" t="s">
        <v>50</v>
      </c>
      <c r="LD19" s="45"/>
      <c r="LF19" s="47" t="str">
        <f>hyperlink("http://www.riffga.com/", "Rome International Film Festival")</f>
        <v>Rome International Film Festival</v>
      </c>
      <c r="LJ19" s="43" t="s">
        <v>50</v>
      </c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7" t="str">
        <f>hyperlink("http://bigeasyinternationalfilmfestival.com", "Big Easy International Film Festival")</f>
        <v>Big Easy International Film Festival</v>
      </c>
      <c r="CL20" s="43" t="s">
        <v>50</v>
      </c>
      <c r="CM20" s="45"/>
      <c r="CN20" s="45"/>
      <c r="CO20" s="45"/>
      <c r="CP20" s="45"/>
      <c r="CQ20" s="45"/>
      <c r="CR20" s="45"/>
      <c r="CS20" s="45"/>
      <c r="CT20" s="45"/>
      <c r="DB20" s="45"/>
      <c r="DC20" s="47" t="str">
        <f>hyperlink("http://www.tupelofilmfestival.net/", "Tupelo Film Festival")</f>
        <v>Tupelo Film Festival</v>
      </c>
      <c r="DF20" s="43" t="s">
        <v>50</v>
      </c>
      <c r="DG20" s="45"/>
      <c r="DH20" s="47" t="str">
        <f>hyperlink("http://www.myrtlebeachfilmfestival.com/", "Myrtle Beach International Film Festival")</f>
        <v>Myrtle Beach International Film Festival</v>
      </c>
      <c r="DM20" s="43" t="s">
        <v>50</v>
      </c>
      <c r="DN20" s="45"/>
      <c r="DO20" s="45"/>
      <c r="DP20" s="47" t="str">
        <f>hyperlink("https://ridgewoodguildfilmfest.com/", "Ridgewood Guild International Film Festival, The ")</f>
        <v>Ridgewood Guild International Film Festival, The </v>
      </c>
      <c r="DR20" s="43" t="s">
        <v>50</v>
      </c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7" t="str">
        <f>hyperlink("https://www.middleburgfilm.org/", "Middleburg Film Festival")</f>
        <v>Middleburg Film Festival</v>
      </c>
      <c r="KG20" s="43" t="s">
        <v>50</v>
      </c>
      <c r="KN20" s="45"/>
      <c r="KO20" s="45"/>
      <c r="KP20" s="45"/>
      <c r="KV20" s="45"/>
      <c r="KY20" s="63" t="str">
        <f>hyperlink("http://spiffest.org/", "San Pedro International Film Festival")</f>
        <v>San Pedro International Film Festival</v>
      </c>
      <c r="LC20" s="43" t="s">
        <v>50</v>
      </c>
      <c r="LF20" s="47" t="str">
        <f>hyperlink("http://shermanoaksfilmfestival.com/", "Sherman Oaks Film Festival")</f>
        <v>Sherman Oaks Film Festival</v>
      </c>
      <c r="LJ20" s="43" t="s">
        <v>50</v>
      </c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7" t="str">
        <f>hyperlink("https://www.worldwidecinemaframes.com/global-cinema-film-festival", "Global Cinema Film Festival of Boston")</f>
        <v>Global Cinema Film Festival of Boston</v>
      </c>
      <c r="CL21" s="43" t="s">
        <v>50</v>
      </c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7" t="str">
        <f>hyperlink("https://columbusfilmfestival.wordpress.com/", "Columbus International Film &amp; Video Festival")</f>
        <v>Columbus International Film &amp; Video Festival</v>
      </c>
      <c r="DF21" s="43" t="s">
        <v>50</v>
      </c>
      <c r="DG21" s="45"/>
      <c r="DH21" s="45"/>
      <c r="DI21" s="47" t="str">
        <f>hyperlink("http://www.usafilmfestival.com/", "USA Film Festival")</f>
        <v>USA Film Festival</v>
      </c>
      <c r="DN21" s="43" t="s">
        <v>50</v>
      </c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C21" s="63" t="str">
        <f>hyperlink("https://nhfilmfestival.com/", "New Hampshire Film Festival ")</f>
        <v>New Hampshire Film Festival </v>
      </c>
      <c r="KG21" s="43" t="s">
        <v>50</v>
      </c>
      <c r="KN21" s="45"/>
      <c r="KO21" s="45"/>
      <c r="KP21" s="45"/>
      <c r="KY21" s="63" t="str">
        <f>hyperlink("http://www.fayettevillefilmfest.org/", "Fayetteville Film Festival")</f>
        <v>Fayetteville Film Festival</v>
      </c>
      <c r="LB21" s="43" t="s">
        <v>50</v>
      </c>
      <c r="LF21" s="63" t="str">
        <f>hyperlink("http://southernscreen.org/", "Southern Screen Festival")</f>
        <v>Southern Screen Festival</v>
      </c>
      <c r="LJ21" s="43" t="s">
        <v>50</v>
      </c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7" t="str">
        <f>hyperlink("https://www.marylandiff.com/", "Maryland International Film Festival")</f>
        <v>Maryland International Film Festival</v>
      </c>
      <c r="CL22" s="43" t="s">
        <v>50</v>
      </c>
      <c r="CM22" s="45"/>
      <c r="CS22" s="45"/>
      <c r="CT22" s="45"/>
      <c r="CU22" s="45"/>
      <c r="DF22" s="45"/>
      <c r="DK22" s="63" t="str">
        <f>hyperlink("https://www.moniff.org/", "Monadnock International Film Festival")</f>
        <v>Monadnock International Film Festival</v>
      </c>
      <c r="DN22" s="43" t="s">
        <v>50</v>
      </c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C22" s="63" t="str">
        <f>hyperlink("https://www.riffct.org", "Ridgefield Independent Film Festival")</f>
        <v>Ridgefield Independent Film Festival</v>
      </c>
      <c r="KG22" s="43" t="s">
        <v>50</v>
      </c>
      <c r="KH22" s="45"/>
      <c r="KI22" s="45"/>
      <c r="KJ22" s="45"/>
      <c r="KK22" s="45"/>
      <c r="KL22" s="45"/>
      <c r="KM22" s="45"/>
      <c r="KN22" s="45"/>
      <c r="KO22" s="45"/>
      <c r="KY22" s="63" t="str">
        <f>hyperlink("http://louisvillefilmfestival.org/", "Louisville's International Festival of Films")</f>
        <v>Louisville's International Festival of Films</v>
      </c>
      <c r="LB22" s="43" t="s">
        <v>50</v>
      </c>
      <c r="LD22" s="45"/>
      <c r="LF22" s="63" t="str">
        <f>hyperlink("https://www.teaneckfilmfestival.org/", "Teaneck International Film Festival")</f>
        <v>Teaneck International Film Festival</v>
      </c>
      <c r="LJ22" s="43" t="s">
        <v>50</v>
      </c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7" t="str">
        <f>hyperlink("http://theartistsforum.org/", "Artists Forum Festival of the Moving Image, The")</f>
        <v>Artists Forum Festival of the Moving Image, The</v>
      </c>
      <c r="KF23" s="43" t="s">
        <v>50</v>
      </c>
      <c r="KG23" s="47" t="str">
        <f>hyperlink("https://www.greenwichvillagefilmfestival.com/", "Greenwich Village Film Festival")</f>
        <v>Greenwich Village Film Festival</v>
      </c>
      <c r="KJ23" s="43" t="s">
        <v>50</v>
      </c>
      <c r="KN23" s="45"/>
      <c r="KP23" s="45"/>
      <c r="KZ23" s="63" t="str">
        <f>hyperlink("http://goldengateinternationalfilmfestival.com/", "Golden Gate International Film Festival")</f>
        <v>Golden Gate International Film Festival</v>
      </c>
      <c r="LC23" s="43" t="s">
        <v>50</v>
      </c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7" t="str">
        <f>hyperlink("http://ssffwest.com/", "Sunscreen Film Fest West")</f>
        <v>Sunscreen Film Fest West</v>
      </c>
      <c r="KF24" s="43" t="s">
        <v>50</v>
      </c>
      <c r="KG24" s="45"/>
      <c r="KH24" s="45"/>
      <c r="KI24" s="45"/>
      <c r="KJ24" s="45"/>
      <c r="KK24" s="45"/>
      <c r="KL24" s="45"/>
      <c r="KM24" s="45"/>
      <c r="KN24" s="45"/>
      <c r="KO24" s="45"/>
      <c r="KZ24" s="63" t="str">
        <f>hyperlink("http://southeasternfilm.com/", "Southeastern International Film Festival")</f>
        <v>Southeastern International Film Festival</v>
      </c>
      <c r="LC24" s="43" t="s">
        <v>50</v>
      </c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KZ25" s="63" t="str">
        <f>hyperlink("https://www.billythekidfilmfestival.com", "Billy The Kid Film Festival")</f>
        <v>Billy The Kid Film Festival</v>
      </c>
      <c r="LB25" s="43" t="s">
        <v>50</v>
      </c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KZ26" s="63" t="str">
        <f>hyperlink("https://www.twinfallssandwichesfilmfestival.com/", "Twin Falls Sandwiches Film Festival")</f>
        <v>Twin Falls Sandwiches Film Festival</v>
      </c>
      <c r="LB26" s="43" t="s">
        <v>50</v>
      </c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7" t="str">
        <f>hyperlink("http://www.blowupfilmfest.com/", "Blow-Up Arthouse Film Festival")</f>
        <v>Blow-Up Arthouse Film Festival</v>
      </c>
      <c r="LD27" s="43" t="s">
        <v>50</v>
      </c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356">
    <mergeCell ref="CG12:CJ12"/>
    <mergeCell ref="CH13:CK13"/>
    <mergeCell ref="CE14:CI14"/>
    <mergeCell ref="DB14:DF14"/>
    <mergeCell ref="DI14:DP14"/>
    <mergeCell ref="DR14:DT14"/>
    <mergeCell ref="DJ15:DQ15"/>
    <mergeCell ref="DQ16:DT16"/>
    <mergeCell ref="BM12:BQ12"/>
    <mergeCell ref="BN13:BQ13"/>
    <mergeCell ref="BA14:BC14"/>
    <mergeCell ref="BN14:BP14"/>
    <mergeCell ref="BO15:BQ15"/>
    <mergeCell ref="CH15:CK15"/>
    <mergeCell ref="BO16:BQ16"/>
    <mergeCell ref="DQ17:DS17"/>
    <mergeCell ref="DQ18:DS18"/>
    <mergeCell ref="DQ19:DS19"/>
    <mergeCell ref="DP20:DQ20"/>
    <mergeCell ref="DC18:DF18"/>
    <mergeCell ref="DC19:DG19"/>
    <mergeCell ref="DC20:DE20"/>
    <mergeCell ref="DH20:DL20"/>
    <mergeCell ref="DD21:DE21"/>
    <mergeCell ref="DI21:DM21"/>
    <mergeCell ref="DK22:DM22"/>
    <mergeCell ref="CH19:CJ19"/>
    <mergeCell ref="CI20:CK20"/>
    <mergeCell ref="CI21:CK21"/>
    <mergeCell ref="CI22:CK22"/>
    <mergeCell ref="CH16:CK16"/>
    <mergeCell ref="CH17:CK17"/>
    <mergeCell ref="DC17:DF17"/>
    <mergeCell ref="DH17:DM17"/>
    <mergeCell ref="CH18:CJ18"/>
    <mergeCell ref="DH18:DM18"/>
    <mergeCell ref="DI19:DM19"/>
    <mergeCell ref="KC16:KF16"/>
    <mergeCell ref="KC17:KF17"/>
    <mergeCell ref="KC20:KF20"/>
    <mergeCell ref="KC21:KF21"/>
    <mergeCell ref="KC22:KF22"/>
    <mergeCell ref="KC23:KE23"/>
    <mergeCell ref="KG23:KI23"/>
    <mergeCell ref="KD24:KE24"/>
    <mergeCell ref="KB13:KF13"/>
    <mergeCell ref="KB14:KF14"/>
    <mergeCell ref="JH16:JK16"/>
    <mergeCell ref="JW16:JY16"/>
    <mergeCell ref="KJ16:KM16"/>
    <mergeCell ref="JW17:JY17"/>
    <mergeCell ref="KJ17:KL17"/>
    <mergeCell ref="KY21:LA21"/>
    <mergeCell ref="KY22:LA22"/>
    <mergeCell ref="LF22:LI22"/>
    <mergeCell ref="KZ23:LB23"/>
    <mergeCell ref="KZ24:LB24"/>
    <mergeCell ref="KZ25:LA25"/>
    <mergeCell ref="KZ26:LA26"/>
    <mergeCell ref="LB27:LC27"/>
    <mergeCell ref="JI19:JK19"/>
    <mergeCell ref="KC19:KF19"/>
    <mergeCell ref="KY19:LB19"/>
    <mergeCell ref="LF19:LI19"/>
    <mergeCell ref="KY20:LB20"/>
    <mergeCell ref="LF20:LI20"/>
    <mergeCell ref="LF21:LI21"/>
    <mergeCell ref="DL12:DT12"/>
    <mergeCell ref="DX12:EA12"/>
    <mergeCell ref="EG12:EH12"/>
    <mergeCell ref="FG12:FI12"/>
    <mergeCell ref="FK12:FN12"/>
    <mergeCell ref="FV12:FW12"/>
    <mergeCell ref="GV12:GY12"/>
    <mergeCell ref="AZ12:BE12"/>
    <mergeCell ref="BH12:BJ12"/>
    <mergeCell ref="BZ12:CD12"/>
    <mergeCell ref="CO12:CR12"/>
    <mergeCell ref="BB13:BE13"/>
    <mergeCell ref="BZ13:CD13"/>
    <mergeCell ref="CP13:CQ13"/>
    <mergeCell ref="DC12:DJ12"/>
    <mergeCell ref="DB13:DF13"/>
    <mergeCell ref="DI13:DP13"/>
    <mergeCell ref="DR13:DT13"/>
    <mergeCell ref="DY13:DZ13"/>
    <mergeCell ref="FF13:FG13"/>
    <mergeCell ref="IU13:IV13"/>
    <mergeCell ref="CA15:CD15"/>
    <mergeCell ref="CA16:CD16"/>
    <mergeCell ref="DC15:DH15"/>
    <mergeCell ref="DD16:DJ16"/>
    <mergeCell ref="JH17:JK17"/>
    <mergeCell ref="JH18:JJ18"/>
    <mergeCell ref="JW18:JY18"/>
    <mergeCell ref="KC18:KF18"/>
    <mergeCell ref="KX17:LA17"/>
    <mergeCell ref="KY18:LB18"/>
    <mergeCell ref="KZ13:LF13"/>
    <mergeCell ref="KZ14:LF14"/>
    <mergeCell ref="KX15:LB15"/>
    <mergeCell ref="LE15:LI15"/>
    <mergeCell ref="KX16:LA16"/>
    <mergeCell ref="LE16:LI16"/>
    <mergeCell ref="LE17:LH17"/>
    <mergeCell ref="LF18:LI18"/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EF3:HZ3"/>
    <mergeCell ref="IC3:II3"/>
    <mergeCell ref="IN3:IW3"/>
    <mergeCell ref="JA3:JD3"/>
    <mergeCell ref="JH3:JX3"/>
    <mergeCell ref="KC3:KQ3"/>
    <mergeCell ref="KZ3:LP3"/>
    <mergeCell ref="LW3:MK3"/>
    <mergeCell ref="P3:Z3"/>
    <mergeCell ref="AL3:BQ3"/>
    <mergeCell ref="BS3:CA3"/>
    <mergeCell ref="CG3:CR3"/>
    <mergeCell ref="CV3:DQ3"/>
    <mergeCell ref="DS3:DT3"/>
    <mergeCell ref="DW3:EA3"/>
    <mergeCell ref="IO4:IW4"/>
    <mergeCell ref="IY4:JN4"/>
    <mergeCell ref="JP4:JR4"/>
    <mergeCell ref="JU4:JY4"/>
    <mergeCell ref="KB4:KM4"/>
    <mergeCell ref="KX4:LI4"/>
    <mergeCell ref="LL4:LP4"/>
    <mergeCell ref="MB4:MK4"/>
    <mergeCell ref="EE4:EO4"/>
    <mergeCell ref="ER4:EV4"/>
    <mergeCell ref="FA4:GE4"/>
    <mergeCell ref="GJ4:GS4"/>
    <mergeCell ref="GY4:HF4"/>
    <mergeCell ref="HK4:HU4"/>
    <mergeCell ref="HZ4:IH4"/>
    <mergeCell ref="L4:U4"/>
    <mergeCell ref="Y4:BC4"/>
    <mergeCell ref="BG4:BJ4"/>
    <mergeCell ref="BN4:CA4"/>
    <mergeCell ref="CG4:CR4"/>
    <mergeCell ref="CU4:DH4"/>
    <mergeCell ref="DJ4:DX4"/>
    <mergeCell ref="CW5:CX5"/>
    <mergeCell ref="DB5:DM5"/>
    <mergeCell ref="DQ5:EA5"/>
    <mergeCell ref="EE5:FC5"/>
    <mergeCell ref="FG5:FQ5"/>
    <mergeCell ref="FS5:FZ5"/>
    <mergeCell ref="GQ5:GZ5"/>
    <mergeCell ref="JV5:KF5"/>
    <mergeCell ref="KI5:KS5"/>
    <mergeCell ref="KY5:LI5"/>
    <mergeCell ref="LM5:LP5"/>
    <mergeCell ref="MI5:MJ5"/>
    <mergeCell ref="HB5:HG5"/>
    <mergeCell ref="HL5:HU5"/>
    <mergeCell ref="HY5:IB5"/>
    <mergeCell ref="IH5:IP5"/>
    <mergeCell ref="IR5:IW5"/>
    <mergeCell ref="JC5:JJ5"/>
    <mergeCell ref="JN5:JR5"/>
    <mergeCell ref="Q5:U5"/>
    <mergeCell ref="Y5:AA5"/>
    <mergeCell ref="AE5:AS5"/>
    <mergeCell ref="AZ5:BI5"/>
    <mergeCell ref="BL5:BW5"/>
    <mergeCell ref="CA5:CK5"/>
    <mergeCell ref="CN5:CU5"/>
    <mergeCell ref="CH6:CR6"/>
    <mergeCell ref="DB6:DM6"/>
    <mergeCell ref="DQ6:EA6"/>
    <mergeCell ref="EI6:EO6"/>
    <mergeCell ref="ET6:FC6"/>
    <mergeCell ref="FG6:FN6"/>
    <mergeCell ref="FQ6:FX6"/>
    <mergeCell ref="JH6:JO6"/>
    <mergeCell ref="JV6:KF6"/>
    <mergeCell ref="KJ6:KT6"/>
    <mergeCell ref="KY6:LI6"/>
    <mergeCell ref="LO6:LP6"/>
    <mergeCell ref="GP6:GX6"/>
    <mergeCell ref="HB6:HG6"/>
    <mergeCell ref="HL6:HU6"/>
    <mergeCell ref="HZ6:IB6"/>
    <mergeCell ref="IG6:IN6"/>
    <mergeCell ref="IS6:IW6"/>
    <mergeCell ref="JA6:JD6"/>
    <mergeCell ref="HZ7:IA7"/>
    <mergeCell ref="IG7:IM7"/>
    <mergeCell ref="IS7:IV7"/>
    <mergeCell ref="JB7:JD7"/>
    <mergeCell ref="JI7:JO7"/>
    <mergeCell ref="JV7:KC7"/>
    <mergeCell ref="KJ7:KQ7"/>
    <mergeCell ref="HR7:HU7"/>
    <mergeCell ref="HR8:HU8"/>
    <mergeCell ref="IF8:II8"/>
    <mergeCell ref="IN8:IQ8"/>
    <mergeCell ref="IS8:IV8"/>
    <mergeCell ref="JE8:JJ8"/>
    <mergeCell ref="JO8:JU8"/>
    <mergeCell ref="AK6:AO6"/>
    <mergeCell ref="AM7:AP7"/>
    <mergeCell ref="Y8:AE8"/>
    <mergeCell ref="AR8:AV8"/>
    <mergeCell ref="R6:U6"/>
    <mergeCell ref="X6:AH6"/>
    <mergeCell ref="AR6:BD6"/>
    <mergeCell ref="BG6:BJ6"/>
    <mergeCell ref="BO6:BW6"/>
    <mergeCell ref="BY6:CD6"/>
    <mergeCell ref="W7:AD7"/>
    <mergeCell ref="BU7:CC7"/>
    <mergeCell ref="CH7:CR7"/>
    <mergeCell ref="CV7:DE7"/>
    <mergeCell ref="DJ7:DT7"/>
    <mergeCell ref="EA7:EH7"/>
    <mergeCell ref="EK7:EO7"/>
    <mergeCell ref="ES7:EV7"/>
    <mergeCell ref="KY7:LI7"/>
    <mergeCell ref="LP7:LQ7"/>
    <mergeCell ref="AS7:BB7"/>
    <mergeCell ref="BH7:BO7"/>
    <mergeCell ref="BA8:BJ8"/>
    <mergeCell ref="BQ8:BW8"/>
    <mergeCell ref="BY8:CD8"/>
    <mergeCell ref="CI8:CR8"/>
    <mergeCell ref="CX8:DE8"/>
    <mergeCell ref="FA7:FI7"/>
    <mergeCell ref="FL7:FP7"/>
    <mergeCell ref="FR7:FX7"/>
    <mergeCell ref="GQ7:GY7"/>
    <mergeCell ref="HC7:HG7"/>
    <mergeCell ref="HI7:HN7"/>
    <mergeCell ref="GT8:GZ8"/>
    <mergeCell ref="JW8:JY8"/>
    <mergeCell ref="KB8:KI8"/>
    <mergeCell ref="KL8:KS8"/>
    <mergeCell ref="KZ8:LI8"/>
    <mergeCell ref="FR8:FX8"/>
    <mergeCell ref="GJ8:GP8"/>
    <mergeCell ref="DJ8:DT8"/>
    <mergeCell ref="EA8:EH8"/>
    <mergeCell ref="EN8:EQ8"/>
    <mergeCell ref="ES8:EU8"/>
    <mergeCell ref="EW8:FC8"/>
    <mergeCell ref="FG8:FK8"/>
    <mergeCell ref="FN8:FP8"/>
    <mergeCell ref="DD9:DM9"/>
    <mergeCell ref="DR9:EA9"/>
    <mergeCell ref="EF9:EJ9"/>
    <mergeCell ref="ES9:EV9"/>
    <mergeCell ref="EZ9:FC9"/>
    <mergeCell ref="FG9:FJ9"/>
    <mergeCell ref="FM9:FQ9"/>
    <mergeCell ref="JO9:JR9"/>
    <mergeCell ref="JV9:JZ9"/>
    <mergeCell ref="KC9:KJ9"/>
    <mergeCell ref="KZ9:LI9"/>
    <mergeCell ref="FS9:FY9"/>
    <mergeCell ref="GQ9:GW9"/>
    <mergeCell ref="HR9:HU9"/>
    <mergeCell ref="IF9:II9"/>
    <mergeCell ref="IN9:IP9"/>
    <mergeCell ref="IT9:IW9"/>
    <mergeCell ref="JG9:JK9"/>
    <mergeCell ref="Y9:Z9"/>
    <mergeCell ref="AS9:AV9"/>
    <mergeCell ref="BB9:BJ9"/>
    <mergeCell ref="BL9:BQ9"/>
    <mergeCell ref="BY9:CC9"/>
    <mergeCell ref="CF9:CK9"/>
    <mergeCell ref="CO9:CV9"/>
    <mergeCell ref="JG10:JK10"/>
    <mergeCell ref="JO10:JR10"/>
    <mergeCell ref="JZ10:KF10"/>
    <mergeCell ref="KI10:KN10"/>
    <mergeCell ref="KW10:LE10"/>
    <mergeCell ref="FG10:FJ10"/>
    <mergeCell ref="FM10:FQ10"/>
    <mergeCell ref="FV10:FX10"/>
    <mergeCell ref="GQ10:GU10"/>
    <mergeCell ref="GW10:GZ10"/>
    <mergeCell ref="HR10:HU10"/>
    <mergeCell ref="IT10:IV10"/>
    <mergeCell ref="CS10:CY10"/>
    <mergeCell ref="DD10:DM10"/>
    <mergeCell ref="DP10:DT10"/>
    <mergeCell ref="DW10:DZ10"/>
    <mergeCell ref="EE10:EH10"/>
    <mergeCell ref="ES10:EV10"/>
    <mergeCell ref="EZ10:FC10"/>
    <mergeCell ref="AS10:AV10"/>
    <mergeCell ref="AZ10:BB10"/>
    <mergeCell ref="BD10:BJ10"/>
    <mergeCell ref="BM10:BQ10"/>
    <mergeCell ref="BZ10:CD10"/>
    <mergeCell ref="CH10:CM10"/>
    <mergeCell ref="CP10:CQ10"/>
    <mergeCell ref="DP11:DS11"/>
    <mergeCell ref="DX11:EA11"/>
    <mergeCell ref="EF11:EH11"/>
    <mergeCell ref="ET11:EV11"/>
    <mergeCell ref="EZ11:FC11"/>
    <mergeCell ref="FG11:FJ11"/>
    <mergeCell ref="FN11:FQ11"/>
    <mergeCell ref="KA11:KF11"/>
    <mergeCell ref="KI11:KM11"/>
    <mergeCell ref="KZ11:LG11"/>
    <mergeCell ref="FV11:FX11"/>
    <mergeCell ref="GV11:GZ11"/>
    <mergeCell ref="HR11:HU11"/>
    <mergeCell ref="IU11:IW11"/>
    <mergeCell ref="JG11:JK11"/>
    <mergeCell ref="JO11:JQ11"/>
    <mergeCell ref="JV11:JY11"/>
    <mergeCell ref="AX11:BC11"/>
    <mergeCell ref="BG11:BI11"/>
    <mergeCell ref="BM11:BQ11"/>
    <mergeCell ref="BZ11:CD11"/>
    <mergeCell ref="CG11:CK11"/>
    <mergeCell ref="CN11:CR11"/>
    <mergeCell ref="DD11:DL11"/>
    <mergeCell ref="HS12:HU12"/>
    <mergeCell ref="IU12:IW12"/>
    <mergeCell ref="JG12:JK12"/>
    <mergeCell ref="JP12:JR12"/>
    <mergeCell ref="JV12:JY12"/>
    <mergeCell ref="KA12:KF12"/>
    <mergeCell ref="KJ12:KN12"/>
    <mergeCell ref="LA12:LH12"/>
    <mergeCell ref="JV14:JZ14"/>
    <mergeCell ref="JV15:JY15"/>
    <mergeCell ref="KJ14:KM14"/>
    <mergeCell ref="KJ15:KM15"/>
    <mergeCell ref="JG13:JK13"/>
    <mergeCell ref="JP13:JQ13"/>
    <mergeCell ref="JV13:JZ13"/>
    <mergeCell ref="KI13:KL13"/>
    <mergeCell ref="JH14:JK14"/>
    <mergeCell ref="JH15:JK15"/>
    <mergeCell ref="KA15:KE15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198" t="str">
        <f>hyperlink("https://www.frff.org/", "Frozen River Film Festival")</f>
        <v>Frozen River Film Festival</v>
      </c>
      <c r="AP3" s="43" t="s">
        <v>50</v>
      </c>
      <c r="AQ3" s="45"/>
      <c r="AR3" s="45"/>
      <c r="AS3" s="45"/>
      <c r="AT3" s="198" t="str">
        <f>hyperlink("http://www.big...filmfest.org/", "Big Sky Documentary Film Festival")</f>
        <v>Big Sky Documentary Film Festival</v>
      </c>
      <c r="BD3" s="43" t="s">
        <v>50</v>
      </c>
      <c r="BE3" s="45"/>
      <c r="BF3" s="45"/>
      <c r="BG3" s="45"/>
      <c r="BH3" s="45"/>
      <c r="BI3" s="45"/>
      <c r="BJ3" s="45"/>
      <c r="BK3" s="45"/>
      <c r="BL3" s="45"/>
      <c r="BN3" s="139" t="str">
        <f>hyperlink("http://www.truefalse.org/", "True/False Film Festival ")</f>
        <v>True/False Film Festival </v>
      </c>
      <c r="BR3" s="43" t="s">
        <v>50</v>
      </c>
      <c r="CB3" s="139" t="str">
        <f>hyperlink("https://salemfilmfest.com/2019/", "Salem Film Fest")</f>
        <v>Salem Film Fest</v>
      </c>
      <c r="CL3" s="43" t="s">
        <v>50</v>
      </c>
      <c r="CO3" s="139" t="str">
        <f>hyperlink("https://www.fullframefest.org/", "Full Frame Documentary Film Festival")</f>
        <v>Full Frame Documentary Film Festival</v>
      </c>
      <c r="CS3" s="43" t="s">
        <v>50</v>
      </c>
      <c r="CZ3" s="45"/>
      <c r="DA3" s="45"/>
      <c r="DB3" s="45"/>
      <c r="DC3" s="45"/>
      <c r="DD3" s="45"/>
      <c r="DE3" s="45"/>
      <c r="DF3" s="45"/>
      <c r="DG3" s="45"/>
      <c r="DH3" s="45"/>
      <c r="DI3" s="198" t="str">
        <f>hyperlink("https://freepfilmfestival.com/", "Freep Film Festival")</f>
        <v>Freep Film Festival</v>
      </c>
      <c r="DN3" s="43" t="s">
        <v>50</v>
      </c>
      <c r="DO3" s="45"/>
      <c r="DP3" s="45"/>
      <c r="DQ3" s="198" t="str">
        <f>hyperlink("https://www.doclands.com/", "Doclands Documentary Film Festival")</f>
        <v>Doclands Documentary Film Festival</v>
      </c>
      <c r="DU3" s="43" t="s">
        <v>50</v>
      </c>
      <c r="DV3" s="45"/>
      <c r="DW3" s="45"/>
      <c r="DX3" s="45"/>
      <c r="DY3" s="45"/>
      <c r="DZ3" s="45"/>
      <c r="EA3" s="45"/>
      <c r="EB3" s="45"/>
      <c r="EC3" s="45"/>
      <c r="ED3" s="45"/>
      <c r="EM3" s="139" t="str">
        <f>hyperlink("https://www.mountainfilm.org/", "Mountainfilm")</f>
        <v>Mountainfilm</v>
      </c>
      <c r="EQ3" s="43" t="s">
        <v>50</v>
      </c>
      <c r="EZ3" s="139" t="str">
        <f>hyperlink("http://sfindie.com/", "San Francisco Documentary Festival")</f>
        <v>San Francisco Documentary Festival</v>
      </c>
      <c r="FO3" s="43" t="s">
        <v>50</v>
      </c>
      <c r="IA3" s="45"/>
      <c r="IB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198" t="str">
        <f>hyperlink("http://docuwestfest.com/", "DocuWest Documentary Film Festival")</f>
        <v>DocuWest Documentary Film Festival</v>
      </c>
      <c r="JE3" s="43" t="s">
        <v>50</v>
      </c>
      <c r="JF3" s="45"/>
      <c r="JN3" s="45"/>
      <c r="JO3" s="139" t="str">
        <f>hyperlink("https://pointsnorthinstitute.org/ciff/", "Camden International Film Festival")</f>
        <v>Camden International Film Festival</v>
      </c>
      <c r="JS3" s="43" t="s">
        <v>50</v>
      </c>
      <c r="JU3" s="139" t="str">
        <f>hyperlink("https://www.chagrinfilmfest.org/", "Chagrin Documentary Film Festival")</f>
        <v>Chagrin Documentary Film Festival</v>
      </c>
      <c r="JZ3" s="43" t="s">
        <v>50</v>
      </c>
      <c r="KC3" s="139" t="str">
        <f>hyperlink("http://www.unaff.org/", "United Nations Association Film Festival (UNAFF)")</f>
        <v>United Nations Association Film Festival (UNAFF)</v>
      </c>
      <c r="KN3" s="43" t="s">
        <v>50</v>
      </c>
      <c r="KT3" s="45"/>
      <c r="KU3" s="45"/>
      <c r="KV3" s="198" t="str">
        <f>hyperlink("https://docutah.com/", "DOCUTAH International Documentary Film Festival")</f>
        <v>DOCUTAH International Documentary Film Festival</v>
      </c>
      <c r="LB3" s="43" t="s">
        <v>50</v>
      </c>
      <c r="LE3" s="139" t="str">
        <f>hyperlink("http://www.docnyc.net/", "Doc NYC")</f>
        <v>Doc NYC</v>
      </c>
      <c r="LN3" s="43" t="s">
        <v>50</v>
      </c>
      <c r="LQ3" s="45"/>
      <c r="LR3" s="45"/>
      <c r="LS3" s="45"/>
      <c r="MA3" s="139" t="str">
        <f>hyperlink("https://www.hamptonsdocfest.com/", "Hamptons Doc Fest")</f>
        <v>Hamptons Doc Fest</v>
      </c>
      <c r="MF3" s="43" t="s">
        <v>50</v>
      </c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198" t="str">
        <f>hyperlink("https://bhrff.webs.com", "Bellingham Human Rights Film Festival")</f>
        <v>Bellingham Human Rights Film Festival</v>
      </c>
      <c r="BJ4" s="43" t="s">
        <v>50</v>
      </c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198" t="str">
        <f>hyperlink("http://nycsdff.com/", "NYC Short Documentary Film Festival")</f>
        <v>NYC Short Documentary Film Festival</v>
      </c>
      <c r="CE4" s="43" t="s">
        <v>50</v>
      </c>
      <c r="CF4" s="45"/>
      <c r="CG4" s="45"/>
      <c r="CH4" s="45"/>
      <c r="CI4" s="198" t="str">
        <f>hyperlink("https://www.americandocumentaryfilmfestival.com/", "American Documentary and Animation Film Festival")</f>
        <v>American Documentary and Animation Film Festival</v>
      </c>
      <c r="CN4" s="43" t="s">
        <v>50</v>
      </c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198" t="str">
        <f>hyperlink("https://icdocs.wordpress.com/", "Iowa City International Documentary Film Festival")</f>
        <v>Iowa City International Documentary Film Festival</v>
      </c>
      <c r="DT4" s="43" t="s">
        <v>50</v>
      </c>
      <c r="DU4" s="45"/>
      <c r="DV4" s="45"/>
      <c r="DW4" s="45"/>
      <c r="EW4" s="45"/>
      <c r="EX4" s="198" t="str">
        <f>hyperlink("http://www.nhdocs.com/", "NHdocs: The New Haven Documentary Film Festival")</f>
        <v>NHdocs: The New Haven Documentary Film Festival</v>
      </c>
      <c r="FD4" s="43" t="s">
        <v>50</v>
      </c>
      <c r="FE4" s="45"/>
      <c r="FF4" s="45"/>
      <c r="FG4" s="45"/>
      <c r="FH4" s="45"/>
      <c r="FI4" s="45"/>
      <c r="FJ4" s="45"/>
      <c r="FK4" s="45"/>
      <c r="FL4" s="45"/>
      <c r="FM4" s="198" t="str">
        <f>hyperlink("http://www.afi.com/afidocs/", "AFI Docs")</f>
        <v>AFI Docs</v>
      </c>
      <c r="FR4" s="43" t="s">
        <v>50</v>
      </c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B4" s="139" t="str">
        <f>hyperlink("https://www.nbptdocufest.org", "Newburyport Documentary Film Festival")</f>
        <v>Newburyport Documentary Film Festival</v>
      </c>
      <c r="JE4" s="43" t="s">
        <v>50</v>
      </c>
      <c r="JW4" s="139" t="str">
        <f>hyperlink("https://www.hsdfi.org/", "Hot Springs Documentary Film Festival")</f>
        <v>Hot Springs Documentary Film Festival</v>
      </c>
      <c r="KF4" s="43" t="s">
        <v>50</v>
      </c>
      <c r="KI4" s="139" t="str">
        <f>hyperlink("https://www.docla.org/", "DOC LA - Los Angeles Documentary Film Festival")</f>
        <v>DOC LA - Los Angeles Documentary Film Festival</v>
      </c>
      <c r="KN4" s="43" t="s">
        <v>50</v>
      </c>
      <c r="KY4" s="139" t="str">
        <f>hyperlink("http://www.docufest.com/", "Atlanta DocuFest")</f>
        <v>Atlanta DocuFest</v>
      </c>
      <c r="LB4" s="43" t="s">
        <v>50</v>
      </c>
      <c r="LC4" s="45"/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CB5" s="45"/>
      <c r="CC5" s="45"/>
      <c r="CD5" s="45"/>
      <c r="CE5" s="45"/>
      <c r="CF5" s="45"/>
      <c r="CG5" s="45"/>
      <c r="CH5" s="198" t="str">
        <f>hyperlink("https://sebastopolfilmfestival.org/", "Sebastopol Documentary Film Festival")</f>
        <v>Sebastopol Documentary Film Festival</v>
      </c>
      <c r="CL5" s="43" t="s">
        <v>50</v>
      </c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EP5" s="45"/>
      <c r="FN5" s="139" t="str">
        <f>hyperlink("http://www.docsunbackfilmfest.com/", "Doc Sunback Film Festival")</f>
        <v>Doc Sunback Film Festival</v>
      </c>
      <c r="FR5" s="43" t="s">
        <v>50</v>
      </c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O5" s="45"/>
      <c r="JS5" s="45"/>
      <c r="JT5" s="45"/>
      <c r="KA5" s="45"/>
      <c r="KK5" s="139" t="str">
        <f>hyperlink("https://www.fhff.org/", "Friday Harbor Film Festival")</f>
        <v>Friday Harbor Film Festival</v>
      </c>
      <c r="KN5" s="43" t="s">
        <v>50</v>
      </c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198" t="str">
        <f>hyperlink("https://www.bethesda.org/bethesda/bethesda-film-fest", "Bethesda Film Festival")</f>
        <v>Bethesda Film Festival</v>
      </c>
      <c r="CK6" s="43" t="s">
        <v>50</v>
      </c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42"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LE3:LM3"/>
    <mergeCell ref="MA3:ME3"/>
    <mergeCell ref="EM3:EP3"/>
    <mergeCell ref="EZ3:FN3"/>
    <mergeCell ref="JA3:JD3"/>
    <mergeCell ref="JO3:JR3"/>
    <mergeCell ref="JU3:JY3"/>
    <mergeCell ref="KC3:KM3"/>
    <mergeCell ref="KV3:LA3"/>
    <mergeCell ref="CB3:CK3"/>
    <mergeCell ref="CI4:CM4"/>
    <mergeCell ref="CH5:CK5"/>
    <mergeCell ref="CI6:CJ6"/>
    <mergeCell ref="AK3:AO3"/>
    <mergeCell ref="AT3:BC3"/>
    <mergeCell ref="BN3:BQ3"/>
    <mergeCell ref="CO3:CR3"/>
    <mergeCell ref="DI3:DM3"/>
    <mergeCell ref="DQ3:DT3"/>
    <mergeCell ref="AZ4:BI4"/>
    <mergeCell ref="KI4:KM4"/>
    <mergeCell ref="KK5:KM5"/>
    <mergeCell ref="DQ4:DS4"/>
    <mergeCell ref="EX4:FC4"/>
    <mergeCell ref="FM4:FQ4"/>
    <mergeCell ref="JB4:JD4"/>
    <mergeCell ref="JW4:KE4"/>
    <mergeCell ref="KY4:LA4"/>
    <mergeCell ref="FN5:FQ5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E3" s="76" t="str">
        <f>hyperlink("http://www.lowkeyarts.org", "Arkansas Shorts")</f>
        <v>Arkansas Shorts</v>
      </c>
      <c r="F3" s="43" t="s">
        <v>50</v>
      </c>
      <c r="G3" s="45"/>
      <c r="L3" s="76" t="str">
        <f>hyperlink("https://www.hollywoodsff.org/", "Hollywood Short Film Festival")</f>
        <v>Hollywood Short Film Festival</v>
      </c>
      <c r="M3" s="43" t="s">
        <v>50</v>
      </c>
      <c r="R3" s="76" t="str">
        <f>hyperlink("http://www.deltasofcharlotte.org", "Legacy of Black Women Film Showcase")</f>
        <v>Legacy of Black Women Film Showcase</v>
      </c>
      <c r="U3" s="43" t="s">
        <v>50</v>
      </c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9" t="str">
        <f>hyperlink("http://dakotafilmfestival.org/", "Dakota Film Festival")</f>
        <v>Dakota Film Festival</v>
      </c>
      <c r="AK3" s="43" t="s">
        <v>50</v>
      </c>
      <c r="AL3" s="45"/>
      <c r="AM3" s="49" t="str">
        <f>hyperlink("https://tallyshorts.com/", "Tally Shorts Film Festival")</f>
        <v>Tally Shorts Film Festival</v>
      </c>
      <c r="AO3" s="43" t="s">
        <v>50</v>
      </c>
      <c r="AP3" s="45"/>
      <c r="AQ3" s="45"/>
      <c r="AR3" s="45"/>
      <c r="AS3" s="49" t="str">
        <f>hyperlink("http://damshortfilm.org/", "Dam Short Film Festival")</f>
        <v>Dam Short Film Festival</v>
      </c>
      <c r="AW3" s="43" t="s">
        <v>50</v>
      </c>
      <c r="AX3" s="45"/>
      <c r="AY3" s="45"/>
      <c r="AZ3" s="45"/>
      <c r="BA3" s="49" t="str">
        <f>hyperlink("https://longwoodlaff.wixsite.com/laff", "Longwood Animation Film Festival")</f>
        <v>Longwood Animation Film Festival</v>
      </c>
      <c r="BI3" s="43" t="s">
        <v>50</v>
      </c>
      <c r="BJ3" s="45"/>
      <c r="BK3" s="45"/>
      <c r="BL3" s="45"/>
      <c r="BN3" s="76" t="str">
        <f>hyperlink("https://genders.nmsu.edu/film-festival/", "Feminist Border Arts Film Festival")</f>
        <v>Feminist Border Arts Film Festival</v>
      </c>
      <c r="BP3" s="43" t="s">
        <v>50</v>
      </c>
      <c r="BV3" s="76" t="str">
        <f>hyperlink("https://www.lasff.com/", "Los Angeles Short Film Festival")</f>
        <v>Los Angeles Short Film Festival</v>
      </c>
      <c r="BX3" s="43" t="s">
        <v>50</v>
      </c>
      <c r="CC3" s="76" t="str">
        <f>hyperlink("http://www.albanyfilmfest.org/", "Albany Film Fest")</f>
        <v>Albany Film Fest</v>
      </c>
      <c r="CL3" s="43" t="s">
        <v>50</v>
      </c>
      <c r="CN3" s="76" t="str">
        <f>hyperlink("http://www.italianfilmfests.org", "Italian Film Festival USA")</f>
        <v>Italian Film Festival USA</v>
      </c>
      <c r="DR3" s="43" t="s">
        <v>50</v>
      </c>
      <c r="DS3" s="49" t="str">
        <f>hyperlink("http://hangontoyourshortsfilmfestival.com/", "Hang On To Your Shorts! Film Festival")</f>
        <v>Hang On To Your Shorts! Film Festival</v>
      </c>
      <c r="DU3" s="43" t="s">
        <v>50</v>
      </c>
      <c r="DV3" s="45"/>
      <c r="DW3" s="45"/>
      <c r="DX3" s="45"/>
      <c r="DY3" s="45"/>
      <c r="DZ3" s="45"/>
      <c r="EA3" s="45"/>
      <c r="EB3" s="45"/>
      <c r="EC3" s="45"/>
      <c r="ED3" s="49" t="str">
        <f>hyperlink("https://www.heritagefilmfestival.org/", "Heritage Film Festival")</f>
        <v>Heritage Film Festival</v>
      </c>
      <c r="EH3" s="43" t="s">
        <v>50</v>
      </c>
      <c r="EM3" s="76" t="str">
        <f>hyperlink("http://www.miscon.org/filmfestival/", "MisCon International Short Film Festival")</f>
        <v>MisCon International Short Film Festival</v>
      </c>
      <c r="EQ3" s="43" t="s">
        <v>50</v>
      </c>
      <c r="ET3" s="76" t="str">
        <f>hyperlink("http://nyshortsfest.com/ny/content.asp?PageID=1", "New York Shorts International Film Festival")</f>
        <v>New York Shorts International Film Festival</v>
      </c>
      <c r="FA3" s="43" t="s">
        <v>50</v>
      </c>
      <c r="FB3" s="76" t="str">
        <f>hyperlink("http://www.asifa-south.com", "ASIFA-South Animation Conference and Festival")</f>
        <v>ASIFA-South Animation Conference and Festival</v>
      </c>
      <c r="FD3" s="43" t="s">
        <v>50</v>
      </c>
      <c r="FF3" s="76" t="str">
        <f>hyperlink("http://duotheater.org/film.php", "NYC Downtown Short Film Festival")</f>
        <v>NYC Downtown Short Film Festival</v>
      </c>
      <c r="FJ3" s="43" t="s">
        <v>50</v>
      </c>
      <c r="FL3" s="76" t="str">
        <f>hyperlink("https://www.psfilmfest.org/", "Palm Springs International ShortFest ")</f>
        <v>Palm Springs International ShortFest </v>
      </c>
      <c r="FS3" s="43" t="s">
        <v>50</v>
      </c>
      <c r="FU3" s="76" t="str">
        <f>hyperlink("https://uaf.org/", "Fear No Film")</f>
        <v>Fear No Film</v>
      </c>
      <c r="FY3" s="43" t="s">
        <v>50</v>
      </c>
      <c r="GO3" s="76" t="str">
        <f>hyperlink("http://lashortsfest.com/content.asp?PageID=2", "LA Shorts International Film Festival")</f>
        <v>LA Shorts International Film Festival</v>
      </c>
      <c r="GX3" s="43" t="s">
        <v>50</v>
      </c>
      <c r="HK3" s="76" t="str">
        <f>hyperlink("http://www.welikeemshort.com/", "We Like 'em Short - Animation + Comedy Film Festival")</f>
        <v>We Like 'em Short - Animation + Comedy Film Festival</v>
      </c>
      <c r="HO3" s="43" t="s">
        <v>50</v>
      </c>
      <c r="HR3" s="76" t="str">
        <f>hyperlink("https://sanssoucifest.org", "Sans Souci Festival of Dance Cinema")</f>
        <v>Sans Souci Festival of Dance Cinema</v>
      </c>
      <c r="LY3" s="43" t="s">
        <v>50</v>
      </c>
      <c r="MH3" s="76" t="str">
        <f>hyperlink("http://www.nihilists.net/film.html ", "Nihilist International Film Festival, The")</f>
        <v>Nihilist International Film Festival, The</v>
      </c>
      <c r="MQ3" s="43" t="s">
        <v>50</v>
      </c>
      <c r="NB3" s="74"/>
    </row>
    <row r="4">
      <c r="A4" s="75" t="s">
        <v>48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9" t="str">
        <f>hyperlink("http://animatedarizona.wixsite.com/aaff", "Animated Arizona Film Festival")</f>
        <v>Animated Arizona Film Festival</v>
      </c>
      <c r="T4" s="43" t="s">
        <v>50</v>
      </c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9" t="str">
        <f>hyperlink("https://www.blackmariafilmfestival.org/page.php?content=content-ourcollection-2019 ", "Thomas Edison Black Maria Film Festival")</f>
        <v>Thomas Edison Black Maria Film Festival</v>
      </c>
      <c r="AO4" s="43" t="s">
        <v>50</v>
      </c>
      <c r="AP4" s="45"/>
      <c r="AQ4" s="45"/>
      <c r="AR4" s="45"/>
      <c r="AS4" s="49" t="str">
        <f>hyperlink("http://www.loveyourshorts.com/", "Love Your Shorts Film Festival")</f>
        <v>Love Your Shorts Film Festival</v>
      </c>
      <c r="AW4" s="43" t="s">
        <v>50</v>
      </c>
      <c r="AX4" s="45"/>
      <c r="AY4" s="45"/>
      <c r="AZ4" s="45"/>
      <c r="BA4" s="49" t="str">
        <f>hyperlink("http://mcminnvillefilmfest.org/", "McMinnville Short Film Festival")</f>
        <v>McMinnville Short Film Festival</v>
      </c>
      <c r="BD4" s="43" t="s">
        <v>50</v>
      </c>
      <c r="BE4" s="45"/>
      <c r="BF4" s="49" t="str">
        <f>hyperlink("http://shortsweetfilmfest.com/", "Short. Sweet. Film Fest. ")</f>
        <v>Short. Sweet. Film Fest. </v>
      </c>
      <c r="BK4" s="43" t="s">
        <v>50</v>
      </c>
      <c r="BL4" s="45"/>
      <c r="BM4" s="45"/>
      <c r="BN4" s="45"/>
      <c r="BO4" s="49" t="str">
        <f>hyperlink("http://colonyfilmfestival.com/", "Colony Short Film Festival")</f>
        <v>Colony Short Film Festival</v>
      </c>
      <c r="BQ4" s="43" t="s">
        <v>50</v>
      </c>
      <c r="BR4" s="45"/>
      <c r="BS4" s="45"/>
      <c r="BT4" s="45"/>
      <c r="BU4" s="45"/>
      <c r="BV4" s="45"/>
      <c r="BW4" s="45"/>
      <c r="BX4" s="45"/>
      <c r="BY4" s="45"/>
      <c r="BZ4" s="49" t="str">
        <f>hyperlink("https://www.underexposedfilmfestivalyc.org/", "Underexposed Film Festival yc")</f>
        <v>Underexposed Film Festival yc</v>
      </c>
      <c r="CD4" s="43" t="s">
        <v>50</v>
      </c>
      <c r="CE4" s="45"/>
      <c r="CF4" s="45"/>
      <c r="CG4" s="45"/>
      <c r="CH4" s="45"/>
      <c r="CI4" s="49" t="str">
        <f>hyperlink("https://www.bethesda.org/bethesda/bethesda-film-fest", "Bethesda Film Festival")</f>
        <v>Bethesda Film Festival</v>
      </c>
      <c r="CK4" s="43" t="s">
        <v>50</v>
      </c>
      <c r="CL4" s="45"/>
      <c r="CM4" s="45"/>
      <c r="CN4" s="49" t="str">
        <f>hyperlink("http://www.showmejusticefilmfestival.com/", "Show Me Justice Film Festival")</f>
        <v>Show Me Justice Film Festival</v>
      </c>
      <c r="CO4" s="43" t="s">
        <v>50</v>
      </c>
      <c r="CP4" s="49" t="str">
        <f>hyperlink("https://actfilmfest.colostate.edu", "ACT Human Rights Film Festival")</f>
        <v>ACT Human Rights Film Festival</v>
      </c>
      <c r="CY4" s="43" t="s">
        <v>50</v>
      </c>
      <c r="CZ4" s="45"/>
      <c r="DA4" s="45"/>
      <c r="DB4" s="45"/>
      <c r="DC4" s="49" t="str">
        <f>hyperlink("http://www.cascadiafilmfest.org/", "CASCADIA International Women's Film Festival")</f>
        <v>CASCADIA International Women's Film Festival</v>
      </c>
      <c r="DG4" s="43" t="s">
        <v>50</v>
      </c>
      <c r="DH4" s="45"/>
      <c r="DI4" s="45"/>
      <c r="DJ4" s="45"/>
      <c r="DK4" s="49" t="str">
        <f>hyperlink("http://hsufilmfestival.com/", "Humboldt International Film Festival")</f>
        <v>Humboldt International Film Festival</v>
      </c>
      <c r="DP4" s="43" t="s">
        <v>50</v>
      </c>
      <c r="DQ4" s="49" t="str">
        <f>hyperlink("https://icdocs.wordpress.com/", "Iowa City International Documentary Film Festival")</f>
        <v>Iowa City International Documentary Film Festival</v>
      </c>
      <c r="DT4" s="43" t="s">
        <v>50</v>
      </c>
      <c r="DU4" s="45"/>
      <c r="DV4" s="45"/>
      <c r="DW4" s="45"/>
      <c r="EF4" s="76" t="str">
        <f>hyperlink("https://info.filmfestivalcircuit.com/portland-comedy-film-festival", "Portland Comedy Film Festival")</f>
        <v>Portland Comedy Film Festival</v>
      </c>
      <c r="EI4" s="43" t="s">
        <v>50</v>
      </c>
      <c r="EM4" s="76" t="str">
        <f>hyperlink("https://www.comicpalooza.com/", "Comicpalooza")</f>
        <v>Comicpalooza</v>
      </c>
      <c r="EP4" s="43" t="s">
        <v>50</v>
      </c>
      <c r="ET4" s="76" t="str">
        <f>hyperlink("http://www.concarolinas.org/events/concarolinas-short-film-festival/", "ConCarolinas Short Film Festival")</f>
        <v>ConCarolinas Short Film Festival</v>
      </c>
      <c r="EW4" s="43" t="s">
        <v>50</v>
      </c>
      <c r="EX4" s="45"/>
      <c r="EY4" s="49" t="str">
        <f>hyperlink("https://www.literallyshort.com/", "Literally Short Film Festival")</f>
        <v>Literally Short Film Festival</v>
      </c>
      <c r="FD4" s="43" t="s">
        <v>50</v>
      </c>
      <c r="FE4" s="45"/>
      <c r="FF4" s="45"/>
      <c r="FG4" s="45"/>
      <c r="FH4" s="45"/>
      <c r="FI4" s="49" t="str">
        <f>hyperlink("http://www.bostonshortfilmfestival.com/", "Boston Short Film Festival")</f>
        <v>Boston Short Film Festival</v>
      </c>
      <c r="FN4" s="43" t="s">
        <v>50</v>
      </c>
      <c r="FO4" s="45"/>
      <c r="FP4" s="45"/>
      <c r="FQ4" s="45"/>
      <c r="FR4" s="45"/>
      <c r="FS4" s="45"/>
      <c r="FT4" s="45"/>
      <c r="FU4" s="49" t="str">
        <f>hyperlink("http://new.snakealleyfestivaloffilm.com/", "Snake Alley Festival of Film")</f>
        <v>Snake Alley Festival of Film</v>
      </c>
      <c r="FY4" s="43" t="s">
        <v>50</v>
      </c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9" t="str">
        <f>hyperlink("http://www.atlantashortsfest.com/", "Atlanta Shortsfest")</f>
        <v>Atlanta Shortsfest</v>
      </c>
      <c r="GS4" s="43" t="s">
        <v>50</v>
      </c>
      <c r="GT4" s="45"/>
      <c r="GU4" s="49" t="str">
        <f>hyperlink("http://heartlandfilm.org/indyshorts ", "Indy Shorts International Film Festival")</f>
        <v>Indy Shorts International Film Festival</v>
      </c>
      <c r="HA4" s="43" t="s">
        <v>50</v>
      </c>
      <c r="HB4" s="45"/>
      <c r="HC4" s="45"/>
      <c r="HD4" s="45"/>
      <c r="HE4" s="45"/>
      <c r="HF4" s="45"/>
      <c r="HG4" s="45"/>
      <c r="HH4" s="45"/>
      <c r="HI4" s="45"/>
      <c r="HR4" s="76" t="str">
        <f>hyperlink("http://www.hollyshorts.com/", "HollyShorts ")</f>
        <v>HollyShorts </v>
      </c>
      <c r="IB4" s="43" t="s">
        <v>50</v>
      </c>
      <c r="IC4" s="45"/>
      <c r="ID4" s="45"/>
      <c r="IE4" s="45"/>
      <c r="IF4" s="45"/>
      <c r="IG4" s="49" t="str">
        <f>hyperlink("https://globalimpactdc.org/", "Global Impact Film Festival")</f>
        <v>Global Impact Film Festival</v>
      </c>
      <c r="IJ4" s="43" t="s">
        <v>50</v>
      </c>
      <c r="IT4" s="76" t="str">
        <f>hyperlink("https://dcshorts.com/", "DC Shorts Film Festival")</f>
        <v>DC Shorts Film Festival</v>
      </c>
      <c r="JD4" s="43" t="s">
        <v>50</v>
      </c>
      <c r="JE4" s="45"/>
      <c r="JI4" s="76" t="str">
        <f>hyperlink("https://sfindie.com", "San Francisco Independent Short Film Festival")</f>
        <v>San Francisco Independent Short Film Festival</v>
      </c>
      <c r="JL4" s="43" t="s">
        <v>50</v>
      </c>
      <c r="JO4" s="76" t="str">
        <f>hyperlink("https://www.txdisabilities.org/news-events/film-festival/filmfestival-2018/about6", "Cinema Touching Disability")</f>
        <v>Cinema Touching Disability</v>
      </c>
      <c r="KT4" s="43" t="s">
        <v>50</v>
      </c>
      <c r="KZ4" s="49" t="str">
        <f>hyperlink("http://24fpsfest.com", "24fps International Short Film Festival")</f>
        <v>24fps International Short Film Festival</v>
      </c>
      <c r="LB4" s="43" t="s">
        <v>50</v>
      </c>
      <c r="LC4" s="49" t="str">
        <f>hyperlink("http://www.miamishortfilmfestival.com/", "Miami Short Film Festival")</f>
        <v>Miami Short Film Festival</v>
      </c>
      <c r="LI4" s="43" t="s">
        <v>50</v>
      </c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9" t="str">
        <f>hyperlink("https://duluthplayhouse.org/", "Short Shorts Film Festival")</f>
        <v>Short Shorts Film Festival</v>
      </c>
      <c r="T5" s="43" t="s">
        <v>50</v>
      </c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9" t="str">
        <f>hyperlink("https://info.filmfestivalcircuit.com/oregon-short-film-festival", "Oregon Short Film Festival")</f>
        <v>Oregon Short Film Festival</v>
      </c>
      <c r="AW5" s="43" t="s">
        <v>50</v>
      </c>
      <c r="AX5" s="45"/>
      <c r="AY5" s="45"/>
      <c r="AZ5" s="45"/>
      <c r="BA5" s="45"/>
      <c r="BB5" s="45"/>
      <c r="BC5" s="45"/>
      <c r="BD5" s="45"/>
      <c r="BE5" s="45"/>
      <c r="BF5" s="49" t="str">
        <f>hyperlink("https://www.onescreen.org/", "One Screen Short Film Festival")</f>
        <v>One Screen Short Film Festival</v>
      </c>
      <c r="BG5" s="43" t="s">
        <v>50</v>
      </c>
      <c r="BH5" s="49" t="str">
        <f>hyperlink("https://pensacon.com/events/short-film-festival/", "Pensacon Short Film Festival")</f>
        <v>Pensacon Short Film Festival</v>
      </c>
      <c r="BK5" s="43" t="s">
        <v>50</v>
      </c>
      <c r="BO5" s="76" t="str">
        <f>hyperlink("https://www.spenational.org/spe-media-festival ", "SPE Media Festival")</f>
        <v>SPE Media Festival</v>
      </c>
      <c r="BQ5" s="43" t="s">
        <v>50</v>
      </c>
      <c r="CB5" s="49" t="str">
        <f>hyperlink("http://www.taosshortz.com/2016/", "Taos Shortz Film Fest ")</f>
        <v>Taos Shortz Film Fest </v>
      </c>
      <c r="CE5" s="43" t="s">
        <v>50</v>
      </c>
      <c r="CF5" s="45"/>
      <c r="CG5" s="45"/>
      <c r="CH5" s="45"/>
      <c r="CI5" s="49" t="str">
        <f>hyperlink("http://speechlessfilmfestival.com/", "Speechless Film Festival")</f>
        <v>Speechless Film Festival</v>
      </c>
      <c r="CK5" s="43" t="s">
        <v>50</v>
      </c>
      <c r="CL5" s="45"/>
      <c r="CM5" s="49" t="str">
        <f>hyperlink("http://www.aspenfilm.org/", "Aspen Shortsfest")</f>
        <v>Aspen Shortsfest</v>
      </c>
      <c r="CS5" s="43" t="s">
        <v>50</v>
      </c>
      <c r="CT5" s="45"/>
      <c r="CU5" s="45"/>
      <c r="CV5" s="45"/>
      <c r="CW5" s="45"/>
      <c r="CX5" s="45"/>
      <c r="CY5" s="45"/>
      <c r="CZ5" s="45"/>
      <c r="DA5" s="49" t="str">
        <f>hyperlink("http://realitybytes.niu.edu/", "Reality Bytes Independent Student Film Festival")</f>
        <v>Reality Bytes Independent Student Film Festival</v>
      </c>
      <c r="DD5" s="43" t="s">
        <v>50</v>
      </c>
      <c r="DE5" s="49" t="str">
        <f>hyperlink("http://gadaboutfilmfest.com/", "Gadabout Film Festival")</f>
        <v>Gadabout Film Festival</v>
      </c>
      <c r="DF5" s="43" t="s">
        <v>50</v>
      </c>
      <c r="DG5" s="45"/>
      <c r="DH5" s="45"/>
      <c r="DI5" s="45"/>
      <c r="DJ5" s="49" t="str">
        <f>hyperlink("http://www.hollywoodcomedyshortsfilmfest.com/", "Hollywood Comedy Shorts")</f>
        <v>Hollywood Comedy Shorts</v>
      </c>
      <c r="DN5" s="43" t="s">
        <v>50</v>
      </c>
      <c r="DO5" s="45"/>
      <c r="DP5" s="45"/>
      <c r="DQ5" s="45"/>
      <c r="DR5" s="49" t="str">
        <f>hyperlink("http://petalumafilmalliance.org/", "Film Fest Petaluma")</f>
        <v>Film Fest Petaluma</v>
      </c>
      <c r="DT5" s="43" t="s">
        <v>50</v>
      </c>
      <c r="DU5" s="45"/>
      <c r="DV5" s="45"/>
      <c r="EF5" s="76" t="str">
        <f>hyperlink("http://www.aurorapictureshow.org/pages/home.asp", "Extremely Short Film Festival")</f>
        <v>Extremely Short Film Festival</v>
      </c>
      <c r="EH5" s="43" t="s">
        <v>50</v>
      </c>
      <c r="EL5" s="76" t="str">
        <f>hyperlink("http://arteinstitute.org/nypsff/", "NY Portuguese Short Film Festival")</f>
        <v>NY Portuguese Short Film Festival</v>
      </c>
      <c r="EN5" s="43" t="s">
        <v>50</v>
      </c>
      <c r="EO5" s="76" t="str">
        <f>hyperlink("https://www.balticon.org/wp53/", "Balticon Short Film Festival")</f>
        <v>Balticon Short Film Festival</v>
      </c>
      <c r="EP5" s="43" t="s">
        <v>50</v>
      </c>
      <c r="EU5" s="76" t="str">
        <f>hyperlink("http://www.kidsfilmfest.org/", "KidsFilmFest")</f>
        <v>KidsFilmFest</v>
      </c>
      <c r="EV5" s="43" t="s">
        <v>50</v>
      </c>
      <c r="EZ5" s="76" t="str">
        <f>hyperlink("https://www.phlaff.org/", "Philadelphia Latino Film Festival")</f>
        <v>Philadelphia Latino Film Festival</v>
      </c>
      <c r="FD5" s="43" t="s">
        <v>50</v>
      </c>
      <c r="FH5" s="76" t="str">
        <f>hyperlink("http://lancastershortfilmfest.com/", "Lancaster International Short Film Festival")</f>
        <v>Lancaster International Short Film Festival</v>
      </c>
      <c r="FJ5" s="43" t="s">
        <v>50</v>
      </c>
      <c r="FX5" s="76" t="str">
        <f>hyperlink("https://myhero.com/films", "My HERO International Short Film Festival")</f>
        <v>My HERO International Short Film Festival</v>
      </c>
      <c r="GB5" s="43" t="s">
        <v>50</v>
      </c>
      <c r="GF5" s="45"/>
      <c r="GG5" s="45"/>
      <c r="GL5" s="45"/>
      <c r="GM5" s="45"/>
      <c r="GN5" s="45"/>
      <c r="GR5" s="76" t="str">
        <f>hyperlink("https://filmonefest.org/", "Film One Fest")</f>
        <v>Film One Fest</v>
      </c>
      <c r="GS5" s="43" t="s">
        <v>50</v>
      </c>
      <c r="GX5" s="76" t="str">
        <f>hyperlink("http://www.montgomeryfilmfestival.com/", "Montgomery Film Festival")</f>
        <v>Montgomery Film Festival</v>
      </c>
      <c r="GZ5" s="43" t="s">
        <v>50</v>
      </c>
      <c r="HH5" s="45"/>
      <c r="HI5" s="45"/>
      <c r="HJ5" s="45"/>
      <c r="HV5" s="45"/>
      <c r="HW5" s="45"/>
      <c r="HZ5" s="76" t="str">
        <f>hyperlink("http://saluteyourshortsfest.com", "Salute Your Shorts")</f>
        <v>Salute Your Shorts</v>
      </c>
      <c r="IC5" s="43" t="s">
        <v>50</v>
      </c>
      <c r="ID5" s="45"/>
      <c r="IE5" s="45"/>
      <c r="IF5" s="45"/>
      <c r="IG5" s="45"/>
      <c r="IH5" s="45"/>
      <c r="II5" s="45"/>
      <c r="IJ5" s="45"/>
      <c r="IU5" s="76" t="str">
        <f>hyperlink("http://www.milwaukeeindependentfilmsociety.org/", "Milwaukee Short Film Festival")</f>
        <v>Milwaukee Short Film Festival</v>
      </c>
      <c r="IW5" s="43" t="s">
        <v>50</v>
      </c>
      <c r="JB5" s="76" t="str">
        <f>hyperlink("https://www.prindiefest.com", "Princeton Independent Film Festival")</f>
        <v>Princeton Independent Film Festival</v>
      </c>
      <c r="JE5" s="43" t="s">
        <v>50</v>
      </c>
      <c r="JH5" s="76" t="str">
        <f>hyperlink("http://www.msfilmfest.com/", "Manhattan Short Film Festival")</f>
        <v>Manhattan Short Film Festival</v>
      </c>
      <c r="JS5" s="43" t="s">
        <v>50</v>
      </c>
      <c r="JT5" s="45"/>
      <c r="JW5" s="76" t="str">
        <f>hyperlink("http://www.alfilmfest.com/", "Apocalypse Later International Fantastic Film Festival")</f>
        <v>Apocalypse Later International Fantastic Film Festival</v>
      </c>
      <c r="JZ5" s="43" t="s">
        <v>50</v>
      </c>
      <c r="KA5" s="45"/>
      <c r="KC5" s="76" t="str">
        <f>hyperlink("https://www.crownheightsfilmfestival.com/", "Crown Heights Film Festival")</f>
        <v>Crown Heights Film Festival</v>
      </c>
      <c r="KF5" s="43" t="s">
        <v>50</v>
      </c>
      <c r="KJ5" s="76" t="str">
        <f>hyperlink("https://www.sjsff.com/", "San Jose International Short Film Festival")</f>
        <v>San Jose International Short Film Festival</v>
      </c>
      <c r="KN5" s="43" t="s">
        <v>50</v>
      </c>
      <c r="KR5" s="45"/>
      <c r="KS5" s="45"/>
      <c r="KT5" s="45"/>
      <c r="LA5" s="76" t="str">
        <f>hyperlink("http://copashortsfilmfest.org", "Copa Short Film Fest")</f>
        <v>Copa Short Film Fest</v>
      </c>
      <c r="LC5" s="43" t="s">
        <v>50</v>
      </c>
      <c r="LE5" s="76" t="str">
        <f>hyperlink("https://filmpittsburgh.org", "Pittsburgh Shorts Film Festival")</f>
        <v>Pittsburgh Shorts Film Festival</v>
      </c>
      <c r="LJ5" s="43" t="s">
        <v>50</v>
      </c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9" t="str">
        <f>hyperlink("https://wimberleylibrary.org/", "Wimberley Film Festival")</f>
        <v>Wimberley Film Festival</v>
      </c>
      <c r="T6" s="43" t="s">
        <v>50</v>
      </c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9" t="str">
        <f>hyperlink("http://www.cometosisterbay.com/festivals-and-events/door-county-short-film-fest/", "Door County Short Film Festival")</f>
        <v>Door County Short Film Festival</v>
      </c>
      <c r="AV6" s="43" t="s">
        <v>50</v>
      </c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9" t="str">
        <f>hyperlink("http://www.brightsidetavernfilmfestival.com/", "Brightside Film Festival, The ")</f>
        <v>Brightside Film Festival, The </v>
      </c>
      <c r="BK6" s="43" t="s">
        <v>50</v>
      </c>
      <c r="BL6" s="45"/>
      <c r="BM6" s="45"/>
      <c r="BN6" s="45"/>
      <c r="BO6" s="45"/>
      <c r="BP6" s="49" t="str">
        <f>hyperlink("https://www.lttv.org/les-bois-film-festival/", "Les Bois Film Festival")</f>
        <v>Les Bois Film Festival</v>
      </c>
      <c r="BQ6" s="43" t="s">
        <v>50</v>
      </c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9" t="str">
        <f>hyperlink("http://www.detourdance.com/tdff/", "Tiny Dance Film Festival")</f>
        <v>Tiny Dance Film Festival</v>
      </c>
      <c r="CD6" s="43" t="s">
        <v>50</v>
      </c>
      <c r="CE6" s="45"/>
      <c r="CF6" s="45"/>
      <c r="CG6" s="45"/>
      <c r="CH6" s="45"/>
      <c r="CI6" s="45"/>
      <c r="CJ6" s="49" t="str">
        <f>hyperlink("http://www.postalleyfilmfestival.com/", "Post Alley Film Festival")</f>
        <v>Post Alley Film Festival</v>
      </c>
      <c r="CK6" s="43" t="s">
        <v>50</v>
      </c>
      <c r="CL6" s="45"/>
      <c r="CM6" s="45"/>
      <c r="CN6" s="45"/>
      <c r="CO6" s="49" t="str">
        <f>hyperlink("http://www.mediafilmfestival.org/", "Media Film Festival")</f>
        <v>Media Film Festival</v>
      </c>
      <c r="CR6" s="43" t="s">
        <v>50</v>
      </c>
      <c r="CS6" s="45"/>
      <c r="CT6" s="45"/>
      <c r="CU6" s="45"/>
      <c r="CV6" s="45"/>
      <c r="CW6" s="45"/>
      <c r="CX6" s="45"/>
      <c r="CY6" s="45"/>
      <c r="CZ6" s="45"/>
      <c r="DA6" s="49" t="str">
        <f>hyperlink("http://ssuindiefilmfest.weebly.com/", "SSU Indie Film Festival")</f>
        <v>SSU Indie Film Festival</v>
      </c>
      <c r="DD6" s="43" t="s">
        <v>50</v>
      </c>
      <c r="DE6" s="45"/>
      <c r="DF6" s="49" t="str">
        <f>hyperlink("https://info.filmfestivalcircuit.com/austin-comedy-short-film-festival", "Austin Comedy Short Film Festival")</f>
        <v>Austin Comedy Short Film Festival</v>
      </c>
      <c r="DG6" s="43" t="s">
        <v>50</v>
      </c>
      <c r="DH6" s="45"/>
      <c r="DI6" s="45"/>
      <c r="DJ6" s="45"/>
      <c r="DK6" s="49" t="str">
        <f>hyperlink("https://5pointfilm.org/", "5Point Adventure Film Festival")</f>
        <v>5Point Adventure Film Festival</v>
      </c>
      <c r="DN6" s="43" t="s">
        <v>50</v>
      </c>
      <c r="DO6" s="45"/>
      <c r="DP6" s="45"/>
      <c r="DQ6" s="45"/>
      <c r="DR6" s="49" t="str">
        <f>hyperlink("http://www.trinityfilmfestival.org/", "Trinity Film Festival")</f>
        <v>Trinity Film Festival</v>
      </c>
      <c r="DT6" s="43" t="s">
        <v>50</v>
      </c>
      <c r="EE6" s="45"/>
      <c r="EF6" s="45"/>
      <c r="EG6" s="45"/>
      <c r="EH6" s="49" t="str">
        <f>hyperlink("https://namimiami.org/", "Reel Minds: Miami Mental Health Film Festival")</f>
        <v>Reel Minds: Miami Mental Health Film Festival</v>
      </c>
      <c r="EI6" s="43" t="s">
        <v>50</v>
      </c>
      <c r="EJ6" s="45"/>
      <c r="EK6" s="45"/>
      <c r="EL6" s="45"/>
      <c r="EM6" s="45"/>
      <c r="EN6" s="49" t="str">
        <f>hyperlink("https://wrrc.ucdavis.edu/programs/community/davis-feminist-film-festival", "Davis Feminist Film Festival")</f>
        <v>Davis Feminist Film Festival</v>
      </c>
      <c r="EO6" s="43" t="s">
        <v>50</v>
      </c>
      <c r="EP6" s="45"/>
      <c r="EQ6" s="45"/>
      <c r="ER6" s="45"/>
      <c r="ES6" s="45"/>
      <c r="ET6" s="45"/>
      <c r="EU6" s="45"/>
      <c r="EV6" s="45"/>
      <c r="EW6" s="45"/>
      <c r="FY6" s="76" t="str">
        <f>hyperlink("http://www.etheriafilmnight.com/", "Etheria Film Night ")</f>
        <v>Etheria Film Night </v>
      </c>
      <c r="FZ6" s="43" t="s">
        <v>50</v>
      </c>
      <c r="GF6" s="45"/>
      <c r="GH6" s="45"/>
      <c r="GM6" s="45"/>
      <c r="GR6" s="76" t="str">
        <f>hyperlink("https://www.sachorrorfilmfest.com/", "Love Horror Short Film Festival")</f>
        <v>Love Horror Short Film Festival</v>
      </c>
      <c r="GS6" s="43" t="s">
        <v>50</v>
      </c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HZ6" s="76" t="str">
        <f>hyperlink("https://www.facebook.com/TopekaSlashandBash", "Slash &amp; Bash Horror/Sci-Fi Film Festival")</f>
        <v>Slash &amp; Bash Horror/Sci-Fi Film Festival</v>
      </c>
      <c r="IB6" s="43" t="s">
        <v>50</v>
      </c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I6" s="76" t="str">
        <f>hyperlink("http://www.nysiff.com/", "New York State International Film Festival")</f>
        <v>New York State International Film Festival</v>
      </c>
      <c r="JK6" s="43" t="s">
        <v>50</v>
      </c>
      <c r="JQ6" s="76" t="str">
        <f>hyperlink("Http://www.animationnights.com", "Animation Nights New York ")</f>
        <v>Animation Nights New York </v>
      </c>
      <c r="JS6" s="43" t="s">
        <v>50</v>
      </c>
      <c r="JT6" s="45"/>
      <c r="JU6" s="45"/>
      <c r="JV6" s="45"/>
      <c r="JW6" s="45"/>
      <c r="JX6" s="45"/>
      <c r="JY6" s="45"/>
      <c r="JZ6" s="45"/>
      <c r="KE6" s="76" t="str">
        <f>hyperlink("https://www.sickchickflicksfilmfestival.com/", "Sick Chick Flicks Film Festival")</f>
        <v>Sick Chick Flicks Film Festival</v>
      </c>
      <c r="KG6" s="43" t="s">
        <v>50</v>
      </c>
      <c r="KJ6" s="76" t="str">
        <f>hyperlink("http://www.melbournefilmfest.com", "Melbourne Independent Filmmakers Festival, The")</f>
        <v>Melbourne Independent Filmmakers Festival, The</v>
      </c>
      <c r="KM6" s="43" t="s">
        <v>50</v>
      </c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9" t="str">
        <f>hyperlink("http://pictoclik.com/", "Pictoclik Film Festival")</f>
        <v>Pictoclik Film Festival</v>
      </c>
      <c r="LB6" s="43" t="s">
        <v>50</v>
      </c>
      <c r="LC6" s="45"/>
      <c r="LD6" s="45"/>
      <c r="LE6" s="45"/>
      <c r="LF6" s="45"/>
      <c r="LG6" s="49" t="str">
        <f>hyperlink("http://www.projectchicago.com/", "Chicago International REEL Shorts Film Festival")</f>
        <v>Chicago International REEL Shorts Film Festival</v>
      </c>
      <c r="LI6" s="43" t="s">
        <v>50</v>
      </c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9" t="str">
        <f>hyperlink("https://etheridgeproductions.com/", "15 Minutes of Fame Indie Film Festival")</f>
        <v>15 Minutes of Fame Indie Film Festival</v>
      </c>
      <c r="BJ7" s="43" t="s">
        <v>50</v>
      </c>
      <c r="BK7" s="45"/>
      <c r="BL7" s="45"/>
      <c r="BM7" s="45"/>
      <c r="BN7" s="45"/>
      <c r="BO7" s="45"/>
      <c r="BP7" s="49" t="str">
        <f>hyperlink("https://www.sundialfilmfestival.com/", "Sundial Film Festival")</f>
        <v>Sundial Film Festival</v>
      </c>
      <c r="BQ7" s="43" t="s">
        <v>50</v>
      </c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9" t="str">
        <f>hyperlink("https://www.sierracanyonschool.org/page/arts/scs-film-festival", "Sierra Canyon Film Festival")</f>
        <v>Sierra Canyon Film Festival</v>
      </c>
      <c r="CC7" s="43" t="s">
        <v>50</v>
      </c>
      <c r="CD7" s="49" t="str">
        <f>hyperlink("http://nycscff.com/", "New York City Short Comedy Film Festival")</f>
        <v>New York City Short Comedy Film Festival</v>
      </c>
      <c r="CE7" s="43" t="s">
        <v>50</v>
      </c>
      <c r="CF7" s="45"/>
      <c r="CG7" s="45"/>
      <c r="CH7" s="45"/>
      <c r="CI7" s="45"/>
      <c r="CJ7" s="49" t="str">
        <f>hyperlink("https://www.mopop.org/sffsff ", "Science Fiction and Fantasy Short Film Festival")</f>
        <v>Science Fiction and Fantasy Short Film Festival</v>
      </c>
      <c r="CK7" s="43" t="s">
        <v>50</v>
      </c>
      <c r="CL7" s="45"/>
      <c r="CM7" s="45"/>
      <c r="CN7" s="49" t="str">
        <f>hyperlink("http://www.bherc.org", "Sistas Are Doing It For Themselves")</f>
        <v>Sistas Are Doing It For Themselves</v>
      </c>
      <c r="CO7" s="43" t="s">
        <v>50</v>
      </c>
      <c r="CP7" s="49" t="str">
        <f>hyperlink("http://www.cleanshorts.org/", "Clean Shorts Film Festival")</f>
        <v>Clean Shorts Film Festival</v>
      </c>
      <c r="CR7" s="43" t="s">
        <v>50</v>
      </c>
      <c r="CS7" s="45"/>
      <c r="CT7" s="45"/>
      <c r="CU7" s="45"/>
      <c r="CV7" s="45"/>
      <c r="CW7" s="45"/>
      <c r="CX7" s="45"/>
      <c r="CY7" s="45"/>
      <c r="DF7" s="76" t="str">
        <f>hyperlink("http://rockabyemedia.com/soul-4-reel", "Soul 4 Reel Film Festival, The ")</f>
        <v>Soul 4 Reel Film Festival, The </v>
      </c>
      <c r="DG7" s="43" t="s">
        <v>50</v>
      </c>
      <c r="DK7" s="76" t="str">
        <f>hyperlink("https://westchesterfilmfestival.com/", "West Chester International Short Film Festival")</f>
        <v>West Chester International Short Film Festival</v>
      </c>
      <c r="DN7" s="43" t="s">
        <v>50</v>
      </c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R7" s="76" t="str">
        <f>hyperlink("https://sayitloudfilmfestival.com/", "Say It Loud Film Festival")</f>
        <v>Say It Loud Film Festival</v>
      </c>
      <c r="GS7" s="43" t="s">
        <v>50</v>
      </c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9" t="str">
        <f>hyperlink("https://nebulacreatives.com/shortcut-100-2018/", "Shortcut100")</f>
        <v>Shortcut100</v>
      </c>
      <c r="JK7" s="43" t="s">
        <v>50</v>
      </c>
      <c r="JL7" s="45"/>
      <c r="JM7" s="45"/>
      <c r="JN7" s="45"/>
      <c r="JZ7" s="45"/>
      <c r="KJ7" s="76" t="str">
        <f>hyperlink("http://www.sfshorts.org/", "SF Shorts: San Francisco International Festival of Short Films")</f>
        <v>SF Shorts: San Francisco International Festival of Short Films</v>
      </c>
      <c r="KM7" s="43" t="s">
        <v>50</v>
      </c>
      <c r="KN7" s="45"/>
      <c r="KO7" s="45"/>
      <c r="KP7" s="45"/>
      <c r="LH7" s="76" t="str">
        <f>hyperlink("http://100-seconds.org", "International Exhibition of Super Short Films")</f>
        <v>International Exhibition of Super Short Films</v>
      </c>
      <c r="LI7" s="43" t="s">
        <v>50</v>
      </c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9" t="str">
        <f>hyperlink("http://nycsdff.com/", "NYC Short Documentary Film Festival")</f>
        <v>NYC Short Documentary Film Festival</v>
      </c>
      <c r="CE8" s="43" t="s">
        <v>50</v>
      </c>
      <c r="CF8" s="45"/>
      <c r="CG8" s="45"/>
      <c r="CH8" s="45"/>
      <c r="CI8" s="45"/>
      <c r="CJ8" s="49" t="str">
        <f>hyperlink("https://www.acmusic.org/productions/sound-of-silent-film-festival-2019/", "Sound of Silent Film Festival")</f>
        <v>Sound of Silent Film Festival</v>
      </c>
      <c r="CK8" s="43" t="s">
        <v>50</v>
      </c>
      <c r="CL8" s="45"/>
      <c r="CO8" s="45"/>
      <c r="CP8" s="76" t="str">
        <f>hyperlink("http://www.difestofanim.com/", "Detroit International Festival of Animation")</f>
        <v>Detroit International Festival of Animation</v>
      </c>
      <c r="CR8" s="43" t="s">
        <v>50</v>
      </c>
      <c r="DD8" s="45"/>
      <c r="DF8" s="45"/>
      <c r="DG8" s="45"/>
      <c r="DH8" s="45"/>
      <c r="DM8" s="76" t="str">
        <f>hyperlink("https://www.earthportfilm.org/", "Earth Port Film Festival")</f>
        <v>Earth Port Film Festival</v>
      </c>
      <c r="DN8" s="43" t="s">
        <v>50</v>
      </c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J8" s="76" t="str">
        <f>hyperlink("http://www.sunnysideshorts.com", "Sunnyside Shorts International Film Festival")</f>
        <v>Sunnyside Shorts International Film Festival</v>
      </c>
      <c r="JK8" s="43" t="s">
        <v>50</v>
      </c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100">
    <mergeCell ref="JI4:JK4"/>
    <mergeCell ref="JO4:KS4"/>
    <mergeCell ref="FI4:FM4"/>
    <mergeCell ref="FU4:FX4"/>
    <mergeCell ref="GP4:GR4"/>
    <mergeCell ref="GU4:GZ4"/>
    <mergeCell ref="HR4:IA4"/>
    <mergeCell ref="IG4:II4"/>
    <mergeCell ref="IT4:JC4"/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FF3:FI3"/>
    <mergeCell ref="FL3:FR3"/>
    <mergeCell ref="FU3:FX3"/>
    <mergeCell ref="GO3:GW3"/>
    <mergeCell ref="HK3:HN3"/>
    <mergeCell ref="HR3:LX3"/>
    <mergeCell ref="MH3:MP3"/>
    <mergeCell ref="CC3:CK3"/>
    <mergeCell ref="CN3:DQ3"/>
    <mergeCell ref="DS3:DT3"/>
    <mergeCell ref="ED3:EG3"/>
    <mergeCell ref="EM3:EP3"/>
    <mergeCell ref="ET3:EZ3"/>
    <mergeCell ref="FB3:FC3"/>
    <mergeCell ref="R3:T3"/>
    <mergeCell ref="AH3:AJ3"/>
    <mergeCell ref="AM3:AN3"/>
    <mergeCell ref="AS3:AV3"/>
    <mergeCell ref="BA3:BH3"/>
    <mergeCell ref="BN3:BO3"/>
    <mergeCell ref="BV3:BW3"/>
    <mergeCell ref="KZ4:LA4"/>
    <mergeCell ref="LC4:LH4"/>
    <mergeCell ref="DC4:DF4"/>
    <mergeCell ref="DK4:DO4"/>
    <mergeCell ref="DQ4:DS4"/>
    <mergeCell ref="EF4:EH4"/>
    <mergeCell ref="EM4:EO4"/>
    <mergeCell ref="ET4:EV4"/>
    <mergeCell ref="EY4:FC4"/>
    <mergeCell ref="JH5:JR5"/>
    <mergeCell ref="JI6:JJ6"/>
    <mergeCell ref="JQ6:JR6"/>
    <mergeCell ref="FX5:GA5"/>
    <mergeCell ref="GX5:GY5"/>
    <mergeCell ref="HZ5:IB5"/>
    <mergeCell ref="IU5:IV5"/>
    <mergeCell ref="JB5:JD5"/>
    <mergeCell ref="JW5:JY5"/>
    <mergeCell ref="HZ6:IA6"/>
    <mergeCell ref="BF4:BJ4"/>
    <mergeCell ref="BH5:BJ5"/>
    <mergeCell ref="AT6:AU6"/>
    <mergeCell ref="BI6:BJ6"/>
    <mergeCell ref="BZ4:CC4"/>
    <mergeCell ref="CB5:CD5"/>
    <mergeCell ref="CB6:CC6"/>
    <mergeCell ref="AS4:AV4"/>
    <mergeCell ref="BA4:BC4"/>
    <mergeCell ref="BO4:BP4"/>
    <mergeCell ref="CI4:CJ4"/>
    <mergeCell ref="CP4:CX4"/>
    <mergeCell ref="AT5:AV5"/>
    <mergeCell ref="BO5:BP5"/>
    <mergeCell ref="DA5:DC5"/>
    <mergeCell ref="DJ5:DM5"/>
    <mergeCell ref="DR5:DS5"/>
    <mergeCell ref="EF5:EG5"/>
    <mergeCell ref="EL5:EM5"/>
    <mergeCell ref="EZ5:FC5"/>
    <mergeCell ref="FH5:FI5"/>
    <mergeCell ref="KC5:KE5"/>
    <mergeCell ref="KJ5:KM5"/>
    <mergeCell ref="LA5:LB5"/>
    <mergeCell ref="LE5:LI5"/>
    <mergeCell ref="KE6:KF6"/>
    <mergeCell ref="KJ6:KL6"/>
    <mergeCell ref="LG6:LH6"/>
    <mergeCell ref="KJ7:KL7"/>
    <mergeCell ref="CP7:CQ7"/>
    <mergeCell ref="CP8:CQ8"/>
    <mergeCell ref="CI5:CJ5"/>
    <mergeCell ref="CM5:CR5"/>
    <mergeCell ref="CO6:CQ6"/>
    <mergeCell ref="DA6:DC6"/>
    <mergeCell ref="DK6:DM6"/>
    <mergeCell ref="DR6:DS6"/>
    <mergeCell ref="DK7:DM7"/>
  </mergeCell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14"/>
    <col customWidth="1" min="2" max="366" width="1.86"/>
  </cols>
  <sheetData>
    <row r="1" ht="24.75" customHeight="1">
      <c r="A1" s="12" t="s">
        <v>13</v>
      </c>
      <c r="B1" s="14" t="s">
        <v>15</v>
      </c>
      <c r="AG1" s="16" t="s">
        <v>17</v>
      </c>
      <c r="BI1" s="14" t="s">
        <v>20</v>
      </c>
      <c r="CN1" s="16" t="s">
        <v>21</v>
      </c>
      <c r="DR1" s="14" t="s">
        <v>22</v>
      </c>
      <c r="EW1" s="18" t="s">
        <v>23</v>
      </c>
      <c r="GA1" s="25" t="s">
        <v>25</v>
      </c>
      <c r="HF1" s="18" t="s">
        <v>31</v>
      </c>
      <c r="IK1" s="25" t="s">
        <v>32</v>
      </c>
      <c r="JO1" s="18" t="s">
        <v>33</v>
      </c>
      <c r="KT1" s="25" t="s">
        <v>34</v>
      </c>
      <c r="LX1" s="18" t="s">
        <v>35</v>
      </c>
    </row>
    <row r="2"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>
        <v>21.0</v>
      </c>
      <c r="W2" s="27">
        <v>22.0</v>
      </c>
      <c r="X2" s="27">
        <v>23.0</v>
      </c>
      <c r="Y2" s="27">
        <v>24.0</v>
      </c>
      <c r="Z2" s="27">
        <v>25.0</v>
      </c>
      <c r="AA2" s="27">
        <v>26.0</v>
      </c>
      <c r="AB2" s="27">
        <v>27.0</v>
      </c>
      <c r="AC2" s="27">
        <v>28.0</v>
      </c>
      <c r="AD2" s="27">
        <v>29.0</v>
      </c>
      <c r="AE2" s="27">
        <v>30.0</v>
      </c>
      <c r="AF2" s="27">
        <v>31.0</v>
      </c>
      <c r="AG2" s="27">
        <v>1.0</v>
      </c>
      <c r="AH2" s="27">
        <v>2.0</v>
      </c>
      <c r="AI2" s="27">
        <v>3.0</v>
      </c>
      <c r="AJ2" s="27">
        <v>4.0</v>
      </c>
      <c r="AK2" s="27">
        <v>5.0</v>
      </c>
      <c r="AL2" s="27">
        <v>6.0</v>
      </c>
      <c r="AM2" s="27">
        <v>7.0</v>
      </c>
      <c r="AN2" s="27">
        <v>8.0</v>
      </c>
      <c r="AO2" s="27">
        <v>9.0</v>
      </c>
      <c r="AP2" s="27">
        <v>10.0</v>
      </c>
      <c r="AQ2" s="27">
        <v>11.0</v>
      </c>
      <c r="AR2" s="27">
        <v>12.0</v>
      </c>
      <c r="AS2" s="27">
        <v>13.0</v>
      </c>
      <c r="AT2" s="27">
        <v>14.0</v>
      </c>
      <c r="AU2" s="27">
        <v>15.0</v>
      </c>
      <c r="AV2" s="27">
        <v>16.0</v>
      </c>
      <c r="AW2" s="27">
        <v>17.0</v>
      </c>
      <c r="AX2" s="27">
        <v>18.0</v>
      </c>
      <c r="AY2" s="27">
        <v>19.0</v>
      </c>
      <c r="AZ2" s="27">
        <v>20.0</v>
      </c>
      <c r="BA2" s="27">
        <v>21.0</v>
      </c>
      <c r="BB2" s="27">
        <v>22.0</v>
      </c>
      <c r="BC2" s="27">
        <v>23.0</v>
      </c>
      <c r="BD2" s="27">
        <v>24.0</v>
      </c>
      <c r="BE2" s="27">
        <v>25.0</v>
      </c>
      <c r="BF2" s="27">
        <v>26.0</v>
      </c>
      <c r="BG2" s="27">
        <v>27.0</v>
      </c>
      <c r="BH2" s="27">
        <v>28.0</v>
      </c>
      <c r="BI2" s="27">
        <v>1.0</v>
      </c>
      <c r="BJ2" s="27">
        <v>2.0</v>
      </c>
      <c r="BK2" s="27">
        <v>3.0</v>
      </c>
      <c r="BL2" s="27">
        <v>4.0</v>
      </c>
      <c r="BM2" s="27">
        <v>5.0</v>
      </c>
      <c r="BN2" s="27">
        <v>6.0</v>
      </c>
      <c r="BO2" s="27">
        <v>7.0</v>
      </c>
      <c r="BP2" s="27">
        <v>8.0</v>
      </c>
      <c r="BQ2" s="27">
        <v>9.0</v>
      </c>
      <c r="BR2" s="27">
        <v>10.0</v>
      </c>
      <c r="BS2" s="27">
        <v>11.0</v>
      </c>
      <c r="BT2" s="27">
        <v>12.0</v>
      </c>
      <c r="BU2" s="27">
        <v>13.0</v>
      </c>
      <c r="BV2" s="27">
        <v>14.0</v>
      </c>
      <c r="BW2" s="27">
        <v>15.0</v>
      </c>
      <c r="BX2" s="27">
        <v>16.0</v>
      </c>
      <c r="BY2" s="27">
        <v>17.0</v>
      </c>
      <c r="BZ2" s="27">
        <v>18.0</v>
      </c>
      <c r="CA2" s="27">
        <v>19.0</v>
      </c>
      <c r="CB2" s="27">
        <v>20.0</v>
      </c>
      <c r="CC2" s="27">
        <v>21.0</v>
      </c>
      <c r="CD2" s="27">
        <v>22.0</v>
      </c>
      <c r="CE2" s="27">
        <v>23.0</v>
      </c>
      <c r="CF2" s="27">
        <v>24.0</v>
      </c>
      <c r="CG2" s="27">
        <v>25.0</v>
      </c>
      <c r="CH2" s="27">
        <v>26.0</v>
      </c>
      <c r="CI2" s="27">
        <v>27.0</v>
      </c>
      <c r="CJ2" s="27">
        <v>28.0</v>
      </c>
      <c r="CK2" s="27">
        <v>29.0</v>
      </c>
      <c r="CL2" s="27">
        <v>30.0</v>
      </c>
      <c r="CM2" s="27">
        <v>31.0</v>
      </c>
      <c r="CN2" s="27">
        <v>1.0</v>
      </c>
      <c r="CO2" s="27">
        <v>2.0</v>
      </c>
      <c r="CP2" s="27">
        <v>3.0</v>
      </c>
      <c r="CQ2" s="27">
        <v>4.0</v>
      </c>
      <c r="CR2" s="27">
        <v>5.0</v>
      </c>
      <c r="CS2" s="27">
        <v>6.0</v>
      </c>
      <c r="CT2" s="27">
        <v>7.0</v>
      </c>
      <c r="CU2" s="27">
        <v>8.0</v>
      </c>
      <c r="CV2" s="27">
        <v>9.0</v>
      </c>
      <c r="CW2" s="27">
        <v>10.0</v>
      </c>
      <c r="CX2" s="27">
        <v>11.0</v>
      </c>
      <c r="CY2" s="27">
        <v>12.0</v>
      </c>
      <c r="CZ2" s="27">
        <v>13.0</v>
      </c>
      <c r="DA2" s="27">
        <v>14.0</v>
      </c>
      <c r="DB2" s="27">
        <v>15.0</v>
      </c>
      <c r="DC2" s="27">
        <v>16.0</v>
      </c>
      <c r="DD2" s="27">
        <v>17.0</v>
      </c>
      <c r="DE2" s="27">
        <v>18.0</v>
      </c>
      <c r="DF2" s="27">
        <v>19.0</v>
      </c>
      <c r="DG2" s="27">
        <v>20.0</v>
      </c>
      <c r="DH2" s="27">
        <v>21.0</v>
      </c>
      <c r="DI2" s="27">
        <v>22.0</v>
      </c>
      <c r="DJ2" s="27">
        <v>23.0</v>
      </c>
      <c r="DK2" s="27">
        <v>24.0</v>
      </c>
      <c r="DL2" s="27">
        <v>25.0</v>
      </c>
      <c r="DM2" s="27">
        <v>26.0</v>
      </c>
      <c r="DN2" s="27">
        <v>27.0</v>
      </c>
      <c r="DO2" s="27">
        <v>28.0</v>
      </c>
      <c r="DP2" s="27">
        <v>29.0</v>
      </c>
      <c r="DQ2" s="27">
        <v>30.0</v>
      </c>
      <c r="DR2" s="27">
        <v>1.0</v>
      </c>
      <c r="DS2" s="27">
        <v>2.0</v>
      </c>
      <c r="DT2" s="27">
        <v>3.0</v>
      </c>
      <c r="DU2" s="27">
        <v>4.0</v>
      </c>
      <c r="DV2" s="27">
        <v>5.0</v>
      </c>
      <c r="DW2" s="27">
        <v>6.0</v>
      </c>
      <c r="DX2" s="27">
        <v>7.0</v>
      </c>
      <c r="DY2" s="27">
        <v>8.0</v>
      </c>
      <c r="DZ2" s="27">
        <v>9.0</v>
      </c>
      <c r="EA2" s="27">
        <v>10.0</v>
      </c>
      <c r="EB2" s="27">
        <v>11.0</v>
      </c>
      <c r="EC2" s="27">
        <v>12.0</v>
      </c>
      <c r="ED2" s="27">
        <v>13.0</v>
      </c>
      <c r="EE2" s="27">
        <v>14.0</v>
      </c>
      <c r="EF2" s="27">
        <v>15.0</v>
      </c>
      <c r="EG2" s="27">
        <v>16.0</v>
      </c>
      <c r="EH2" s="27">
        <v>17.0</v>
      </c>
      <c r="EI2" s="27">
        <v>18.0</v>
      </c>
      <c r="EJ2" s="27">
        <v>19.0</v>
      </c>
      <c r="EK2" s="27">
        <v>20.0</v>
      </c>
      <c r="EL2" s="27">
        <v>21.0</v>
      </c>
      <c r="EM2" s="27">
        <v>22.0</v>
      </c>
      <c r="EN2" s="27">
        <v>23.0</v>
      </c>
      <c r="EO2" s="27">
        <v>24.0</v>
      </c>
      <c r="EP2" s="27">
        <v>25.0</v>
      </c>
      <c r="EQ2" s="27">
        <v>26.0</v>
      </c>
      <c r="ER2" s="27">
        <v>27.0</v>
      </c>
      <c r="ES2" s="27">
        <v>28.0</v>
      </c>
      <c r="ET2" s="27">
        <v>29.0</v>
      </c>
      <c r="EU2" s="27">
        <v>30.0</v>
      </c>
      <c r="EV2" s="27">
        <v>31.0</v>
      </c>
      <c r="EW2" s="27">
        <v>1.0</v>
      </c>
      <c r="EX2" s="27">
        <v>2.0</v>
      </c>
      <c r="EY2" s="27">
        <v>3.0</v>
      </c>
      <c r="EZ2" s="27">
        <v>4.0</v>
      </c>
      <c r="FA2" s="27">
        <v>5.0</v>
      </c>
      <c r="FB2" s="27">
        <v>6.0</v>
      </c>
      <c r="FC2" s="27">
        <v>7.0</v>
      </c>
      <c r="FD2" s="27">
        <v>8.0</v>
      </c>
      <c r="FE2" s="27">
        <v>9.0</v>
      </c>
      <c r="FF2" s="27">
        <v>10.0</v>
      </c>
      <c r="FG2" s="27">
        <v>11.0</v>
      </c>
      <c r="FH2" s="27">
        <v>12.0</v>
      </c>
      <c r="FI2" s="27">
        <v>13.0</v>
      </c>
      <c r="FJ2" s="27">
        <v>14.0</v>
      </c>
      <c r="FK2" s="27">
        <v>15.0</v>
      </c>
      <c r="FL2" s="27">
        <v>16.0</v>
      </c>
      <c r="FM2" s="27">
        <v>17.0</v>
      </c>
      <c r="FN2" s="27">
        <v>18.0</v>
      </c>
      <c r="FO2" s="27">
        <v>19.0</v>
      </c>
      <c r="FP2" s="27">
        <v>20.0</v>
      </c>
      <c r="FQ2" s="27">
        <v>21.0</v>
      </c>
      <c r="FR2" s="27">
        <v>22.0</v>
      </c>
      <c r="FS2" s="27">
        <v>23.0</v>
      </c>
      <c r="FT2" s="27">
        <v>24.0</v>
      </c>
      <c r="FU2" s="27">
        <v>25.0</v>
      </c>
      <c r="FV2" s="27">
        <v>26.0</v>
      </c>
      <c r="FW2" s="27">
        <v>27.0</v>
      </c>
      <c r="FX2" s="27">
        <v>28.0</v>
      </c>
      <c r="FY2" s="27">
        <v>29.0</v>
      </c>
      <c r="FZ2" s="27">
        <v>30.0</v>
      </c>
      <c r="GA2" s="27">
        <v>1.0</v>
      </c>
      <c r="GB2" s="27">
        <v>2.0</v>
      </c>
      <c r="GC2" s="27">
        <v>3.0</v>
      </c>
      <c r="GD2" s="27">
        <v>4.0</v>
      </c>
      <c r="GE2" s="27">
        <v>5.0</v>
      </c>
      <c r="GF2" s="27">
        <v>6.0</v>
      </c>
      <c r="GG2" s="27">
        <v>7.0</v>
      </c>
      <c r="GH2" s="27">
        <v>8.0</v>
      </c>
      <c r="GI2" s="27">
        <v>9.0</v>
      </c>
      <c r="GJ2" s="27">
        <v>10.0</v>
      </c>
      <c r="GK2" s="27">
        <v>11.0</v>
      </c>
      <c r="GL2" s="27">
        <v>12.0</v>
      </c>
      <c r="GM2" s="27">
        <v>13.0</v>
      </c>
      <c r="GN2" s="27">
        <v>14.0</v>
      </c>
      <c r="GO2" s="27">
        <v>15.0</v>
      </c>
      <c r="GP2" s="27">
        <v>16.0</v>
      </c>
      <c r="GQ2" s="27">
        <v>17.0</v>
      </c>
      <c r="GR2" s="27">
        <v>18.0</v>
      </c>
      <c r="GS2" s="27">
        <v>19.0</v>
      </c>
      <c r="GT2" s="27">
        <v>20.0</v>
      </c>
      <c r="GU2" s="27">
        <v>21.0</v>
      </c>
      <c r="GV2" s="27">
        <v>22.0</v>
      </c>
      <c r="GW2" s="27">
        <v>23.0</v>
      </c>
      <c r="GX2" s="27">
        <v>24.0</v>
      </c>
      <c r="GY2" s="27">
        <v>25.0</v>
      </c>
      <c r="GZ2" s="27">
        <v>26.0</v>
      </c>
      <c r="HA2" s="27">
        <v>27.0</v>
      </c>
      <c r="HB2" s="27">
        <v>28.0</v>
      </c>
      <c r="HC2" s="27">
        <v>29.0</v>
      </c>
      <c r="HD2" s="27">
        <v>30.0</v>
      </c>
      <c r="HE2" s="27">
        <v>31.0</v>
      </c>
      <c r="HF2" s="27">
        <v>1.0</v>
      </c>
      <c r="HG2" s="27">
        <v>2.0</v>
      </c>
      <c r="HH2" s="27">
        <v>3.0</v>
      </c>
      <c r="HI2" s="27">
        <v>4.0</v>
      </c>
      <c r="HJ2" s="27">
        <v>5.0</v>
      </c>
      <c r="HK2" s="27">
        <v>6.0</v>
      </c>
      <c r="HL2" s="27">
        <v>7.0</v>
      </c>
      <c r="HM2" s="27">
        <v>8.0</v>
      </c>
      <c r="HN2" s="27">
        <v>9.0</v>
      </c>
      <c r="HO2" s="27">
        <v>10.0</v>
      </c>
      <c r="HP2" s="27">
        <v>11.0</v>
      </c>
      <c r="HQ2" s="27">
        <v>12.0</v>
      </c>
      <c r="HR2" s="27">
        <v>13.0</v>
      </c>
      <c r="HS2" s="27">
        <v>14.0</v>
      </c>
      <c r="HT2" s="27">
        <v>15.0</v>
      </c>
      <c r="HU2" s="27">
        <v>16.0</v>
      </c>
      <c r="HV2" s="27">
        <v>17.0</v>
      </c>
      <c r="HW2" s="27">
        <v>18.0</v>
      </c>
      <c r="HX2" s="27">
        <v>19.0</v>
      </c>
      <c r="HY2" s="27">
        <v>20.0</v>
      </c>
      <c r="HZ2" s="27">
        <v>21.0</v>
      </c>
      <c r="IA2" s="27">
        <v>22.0</v>
      </c>
      <c r="IB2" s="27">
        <v>23.0</v>
      </c>
      <c r="IC2" s="27">
        <v>24.0</v>
      </c>
      <c r="ID2" s="27">
        <v>25.0</v>
      </c>
      <c r="IE2" s="27">
        <v>26.0</v>
      </c>
      <c r="IF2" s="27">
        <v>27.0</v>
      </c>
      <c r="IG2" s="27">
        <v>28.0</v>
      </c>
      <c r="IH2" s="27">
        <v>29.0</v>
      </c>
      <c r="II2" s="27">
        <v>30.0</v>
      </c>
      <c r="IJ2" s="27">
        <v>31.0</v>
      </c>
      <c r="IK2" s="27">
        <v>1.0</v>
      </c>
      <c r="IL2" s="27">
        <v>2.0</v>
      </c>
      <c r="IM2" s="27">
        <v>3.0</v>
      </c>
      <c r="IN2" s="27">
        <v>4.0</v>
      </c>
      <c r="IO2" s="27">
        <v>5.0</v>
      </c>
      <c r="IP2" s="27">
        <v>6.0</v>
      </c>
      <c r="IQ2" s="27">
        <v>7.0</v>
      </c>
      <c r="IR2" s="27">
        <v>8.0</v>
      </c>
      <c r="IS2" s="27">
        <v>9.0</v>
      </c>
      <c r="IT2" s="27">
        <v>10.0</v>
      </c>
      <c r="IU2" s="27">
        <v>11.0</v>
      </c>
      <c r="IV2" s="27">
        <v>12.0</v>
      </c>
      <c r="IW2" s="27">
        <v>13.0</v>
      </c>
      <c r="IX2" s="27">
        <v>14.0</v>
      </c>
      <c r="IY2" s="27">
        <v>15.0</v>
      </c>
      <c r="IZ2" s="27">
        <v>16.0</v>
      </c>
      <c r="JA2" s="27">
        <v>17.0</v>
      </c>
      <c r="JB2" s="27">
        <v>18.0</v>
      </c>
      <c r="JC2" s="27">
        <v>19.0</v>
      </c>
      <c r="JD2" s="27">
        <v>20.0</v>
      </c>
      <c r="JE2" s="27">
        <v>21.0</v>
      </c>
      <c r="JF2" s="27">
        <v>22.0</v>
      </c>
      <c r="JG2" s="27">
        <v>23.0</v>
      </c>
      <c r="JH2" s="27">
        <v>24.0</v>
      </c>
      <c r="JI2" s="27">
        <v>25.0</v>
      </c>
      <c r="JJ2" s="27">
        <v>26.0</v>
      </c>
      <c r="JK2" s="27">
        <v>27.0</v>
      </c>
      <c r="JL2" s="27">
        <v>28.0</v>
      </c>
      <c r="JM2" s="27">
        <v>29.0</v>
      </c>
      <c r="JN2" s="27">
        <v>30.0</v>
      </c>
      <c r="JO2" s="27">
        <v>1.0</v>
      </c>
      <c r="JP2" s="27">
        <v>2.0</v>
      </c>
      <c r="JQ2" s="27">
        <v>3.0</v>
      </c>
      <c r="JR2" s="27">
        <v>4.0</v>
      </c>
      <c r="JS2" s="27">
        <v>5.0</v>
      </c>
      <c r="JT2" s="27">
        <v>6.0</v>
      </c>
      <c r="JU2" s="27">
        <v>7.0</v>
      </c>
      <c r="JV2" s="27">
        <v>8.0</v>
      </c>
      <c r="JW2" s="27">
        <v>9.0</v>
      </c>
      <c r="JX2" s="27">
        <v>10.0</v>
      </c>
      <c r="JY2" s="27">
        <v>11.0</v>
      </c>
      <c r="JZ2" s="27">
        <v>12.0</v>
      </c>
      <c r="KA2" s="27">
        <v>13.0</v>
      </c>
      <c r="KB2" s="27">
        <v>14.0</v>
      </c>
      <c r="KC2" s="27">
        <v>15.0</v>
      </c>
      <c r="KD2" s="27">
        <v>16.0</v>
      </c>
      <c r="KE2" s="27">
        <v>17.0</v>
      </c>
      <c r="KF2" s="27">
        <v>18.0</v>
      </c>
      <c r="KG2" s="27">
        <v>19.0</v>
      </c>
      <c r="KH2" s="27">
        <v>20.0</v>
      </c>
      <c r="KI2" s="27">
        <v>21.0</v>
      </c>
      <c r="KJ2" s="27">
        <v>22.0</v>
      </c>
      <c r="KK2" s="27">
        <v>23.0</v>
      </c>
      <c r="KL2" s="27">
        <v>24.0</v>
      </c>
      <c r="KM2" s="27">
        <v>25.0</v>
      </c>
      <c r="KN2" s="27">
        <v>26.0</v>
      </c>
      <c r="KO2" s="27">
        <v>27.0</v>
      </c>
      <c r="KP2" s="27">
        <v>28.0</v>
      </c>
      <c r="KQ2" s="27">
        <v>29.0</v>
      </c>
      <c r="KR2" s="27">
        <v>30.0</v>
      </c>
      <c r="KS2" s="27">
        <v>31.0</v>
      </c>
      <c r="KT2" s="27">
        <v>1.0</v>
      </c>
      <c r="KU2" s="27">
        <v>2.0</v>
      </c>
      <c r="KV2" s="27">
        <v>3.0</v>
      </c>
      <c r="KW2" s="27">
        <v>4.0</v>
      </c>
      <c r="KX2" s="27">
        <v>5.0</v>
      </c>
      <c r="KY2" s="27">
        <v>6.0</v>
      </c>
      <c r="KZ2" s="27">
        <v>7.0</v>
      </c>
      <c r="LA2" s="27">
        <v>8.0</v>
      </c>
      <c r="LB2" s="27">
        <v>9.0</v>
      </c>
      <c r="LC2" s="27">
        <v>10.0</v>
      </c>
      <c r="LD2" s="27">
        <v>11.0</v>
      </c>
      <c r="LE2" s="27">
        <v>12.0</v>
      </c>
      <c r="LF2" s="27">
        <v>13.0</v>
      </c>
      <c r="LG2" s="27">
        <v>14.0</v>
      </c>
      <c r="LH2" s="27">
        <v>15.0</v>
      </c>
      <c r="LI2" s="27">
        <v>16.0</v>
      </c>
      <c r="LJ2" s="27">
        <v>17.0</v>
      </c>
      <c r="LK2" s="27">
        <v>18.0</v>
      </c>
      <c r="LL2" s="27">
        <v>19.0</v>
      </c>
      <c r="LM2" s="27">
        <v>20.0</v>
      </c>
      <c r="LN2" s="27">
        <v>21.0</v>
      </c>
      <c r="LO2" s="27">
        <v>22.0</v>
      </c>
      <c r="LP2" s="27">
        <v>23.0</v>
      </c>
      <c r="LQ2" s="27">
        <v>24.0</v>
      </c>
      <c r="LR2" s="27">
        <v>25.0</v>
      </c>
      <c r="LS2" s="27">
        <v>26.0</v>
      </c>
      <c r="LT2" s="27">
        <v>27.0</v>
      </c>
      <c r="LU2" s="27">
        <v>28.0</v>
      </c>
      <c r="LV2" s="27">
        <v>29.0</v>
      </c>
      <c r="LW2" s="27">
        <v>30.0</v>
      </c>
      <c r="LX2" s="27">
        <v>1.0</v>
      </c>
      <c r="LY2" s="27">
        <v>2.0</v>
      </c>
      <c r="LZ2" s="27">
        <v>3.0</v>
      </c>
      <c r="MA2" s="27">
        <v>4.0</v>
      </c>
      <c r="MB2" s="27">
        <v>5.0</v>
      </c>
      <c r="MC2" s="27">
        <v>6.0</v>
      </c>
      <c r="MD2" s="27">
        <v>7.0</v>
      </c>
      <c r="ME2" s="27">
        <v>8.0</v>
      </c>
      <c r="MF2" s="27">
        <v>9.0</v>
      </c>
      <c r="MG2" s="27">
        <v>10.0</v>
      </c>
      <c r="MH2" s="27">
        <v>11.0</v>
      </c>
      <c r="MI2" s="27">
        <v>12.0</v>
      </c>
      <c r="MJ2" s="27">
        <v>13.0</v>
      </c>
      <c r="MK2" s="27">
        <v>14.0</v>
      </c>
      <c r="ML2" s="27">
        <v>15.0</v>
      </c>
      <c r="MM2" s="27">
        <v>16.0</v>
      </c>
      <c r="MN2" s="27">
        <v>17.0</v>
      </c>
      <c r="MO2" s="27">
        <v>18.0</v>
      </c>
      <c r="MP2" s="27">
        <v>19.0</v>
      </c>
      <c r="MQ2" s="27">
        <v>20.0</v>
      </c>
      <c r="MR2" s="27">
        <v>21.0</v>
      </c>
      <c r="MS2" s="27">
        <v>22.0</v>
      </c>
      <c r="MT2" s="27">
        <v>23.0</v>
      </c>
      <c r="MU2" s="27">
        <v>24.0</v>
      </c>
      <c r="MV2" s="27">
        <v>25.0</v>
      </c>
      <c r="MW2" s="27">
        <v>26.0</v>
      </c>
      <c r="MX2" s="27">
        <v>27.0</v>
      </c>
      <c r="MY2" s="27">
        <v>28.0</v>
      </c>
      <c r="MZ2" s="27">
        <v>29.0</v>
      </c>
      <c r="NA2" s="27">
        <v>30.0</v>
      </c>
      <c r="NB2" s="27">
        <v>31.0</v>
      </c>
    </row>
    <row r="3">
      <c r="A3" s="36" t="s">
        <v>43</v>
      </c>
      <c r="G3" s="45"/>
      <c r="K3" s="205" t="str">
        <f>hyperlink("https://www.covenfilmfest.com", "Coven Film Festival")</f>
        <v>Coven Film Festival</v>
      </c>
      <c r="N3" s="43" t="s">
        <v>50</v>
      </c>
      <c r="R3" s="205" t="str">
        <f>hyperlink("http://www.deltasofcharlotte.org", "Legacy of Black Women Film Showcase")</f>
        <v>Legacy of Black Women Film Showcase</v>
      </c>
      <c r="U3" s="43" t="s">
        <v>50</v>
      </c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94" t="str">
        <f>hyperlink("https://athenafilmfestival.com/", "Athena Film Festival ")</f>
        <v>Athena Film Festival </v>
      </c>
      <c r="BK3" s="43" t="s">
        <v>50</v>
      </c>
      <c r="BL3" s="45"/>
      <c r="BO3" s="205" t="str">
        <f>hyperlink("http://www.throughwomenseyes.com/", "Through Women's Eyes Film Festival")</f>
        <v>Through Women's Eyes Film Festival</v>
      </c>
      <c r="BR3" s="43" t="s">
        <v>50</v>
      </c>
      <c r="CB3" s="205" t="str">
        <f>hyperlink("http://womensfilmfestival.org", "Women's Film Festival")</f>
        <v>Women's Film Festival</v>
      </c>
      <c r="CL3" s="43" t="s">
        <v>50</v>
      </c>
      <c r="CN3" s="205" t="str">
        <f>hyperlink("http://www.bherc.org", "Sistas Are Doing It For Themselves")</f>
        <v>Sistas Are Doing It For Themselves</v>
      </c>
      <c r="CO3" s="43" t="s">
        <v>50</v>
      </c>
      <c r="CW3" s="205" t="str">
        <f>hyperlink("https://everettfilmfestival.org", "Everett Film Festival")</f>
        <v>Everett Film Festival</v>
      </c>
      <c r="CY3" s="43" t="s">
        <v>50</v>
      </c>
      <c r="CZ3" s="45"/>
      <c r="DA3" s="45"/>
      <c r="DB3" s="94" t="str">
        <f>hyperlink("https://www.sfc.edu/academics/undergraduate/communicationarts/womensfilmfest", "St. Francis College's Women's Film Festival ")</f>
        <v>St. Francis College's Women's Film Festival </v>
      </c>
      <c r="DF3" s="43" t="s">
        <v>50</v>
      </c>
      <c r="DG3" s="45"/>
      <c r="DH3" s="45"/>
      <c r="DI3" s="94" t="str">
        <f>hyperlink("http://www.artemisfilmfestival.com/", "Artemis Women in Action Film Festival ")</f>
        <v>Artemis Women in Action Film Festival </v>
      </c>
      <c r="DM3" s="43" t="s">
        <v>50</v>
      </c>
      <c r="DN3" s="45"/>
      <c r="DO3" s="45"/>
      <c r="DP3" s="45"/>
      <c r="DQ3" s="45"/>
      <c r="DR3" s="45"/>
      <c r="DS3" s="94" t="str">
        <f>hyperlink("http://www.brooklynartscouncil.org/forum/4994 ", "Women of African Descent Film Festival")</f>
        <v>Women of African Descent Film Festival</v>
      </c>
      <c r="DT3" s="43" t="s">
        <v>50</v>
      </c>
      <c r="DU3" s="45"/>
      <c r="DV3" s="45"/>
      <c r="DW3" s="45"/>
      <c r="DX3" s="45"/>
      <c r="DY3" s="45"/>
      <c r="DZ3" s="45"/>
      <c r="EA3" s="45"/>
      <c r="EB3" s="45"/>
      <c r="EC3" s="45"/>
      <c r="ED3" s="45"/>
      <c r="FY3" s="205" t="str">
        <f>hyperlink("http://www.etheriafilmnight.com/", "Etheria Film Night ")</f>
        <v>Etheria Film Night </v>
      </c>
      <c r="FZ3" s="43" t="s">
        <v>50</v>
      </c>
      <c r="IA3" s="45"/>
      <c r="IB3" s="45"/>
      <c r="IM3" s="205" t="str">
        <f>hyperlink("https://www.broadhumorfilmfest.com/", "Broad Humor Film Festival, The ")</f>
        <v>Broad Humor Film Festival, The </v>
      </c>
      <c r="IQ3" s="43" t="s">
        <v>50</v>
      </c>
      <c r="IR3" s="94" t="str">
        <f>hyperlink("https://www.wifdallas.org", "Topaz Film Festival by Women in Film Dallas")</f>
        <v>Topaz Film Festival by Women in Film Dallas</v>
      </c>
      <c r="IX3" s="43" t="s">
        <v>50</v>
      </c>
      <c r="IY3" s="45"/>
      <c r="IZ3" s="45"/>
      <c r="JA3" s="45"/>
      <c r="JB3" s="45"/>
      <c r="JC3" s="45"/>
      <c r="JD3" s="45"/>
      <c r="JE3" s="45"/>
      <c r="JF3" s="45"/>
      <c r="JG3" s="205" t="str">
        <f>hyperlink("http://www.ladyfilmmakers.com/", "Lady Filmmakers Festival")</f>
        <v>Lady Filmmakers Festival</v>
      </c>
      <c r="JL3" s="43" t="s">
        <v>50</v>
      </c>
      <c r="JN3" s="45"/>
      <c r="KC3" s="205" t="str">
        <f>hyperlink("http://www.lafemme.org/", "La Femme Film Festival")</f>
        <v>La Femme Film Festival</v>
      </c>
      <c r="KG3" s="43" t="s">
        <v>50</v>
      </c>
      <c r="KL3" s="205" t="str">
        <f>hyperlink("http://reelsisters.com/", "Reel Sisters of the Diaspora Film Festival &amp; Lecture Series")</f>
        <v>Reel Sisters of the Diaspora Film Festival &amp; Lecture Series</v>
      </c>
      <c r="KN3" s="43" t="s">
        <v>50</v>
      </c>
      <c r="KT3" s="45"/>
      <c r="KU3" s="45"/>
      <c r="KV3" s="45"/>
      <c r="KW3" s="45"/>
      <c r="LQ3" s="45"/>
      <c r="LR3" s="45"/>
      <c r="LS3" s="45"/>
      <c r="ML3" s="45"/>
      <c r="MM3" s="45"/>
      <c r="NB3" s="74"/>
    </row>
    <row r="4">
      <c r="A4" s="75" t="s">
        <v>48</v>
      </c>
      <c r="F4" s="45"/>
      <c r="G4" s="45"/>
      <c r="H4" s="45"/>
      <c r="I4" s="45"/>
      <c r="J4" s="45"/>
      <c r="K4" s="94" t="str">
        <f>hyperlink("http://www.lawomensfest.com/", "Los Angeles Women's International Film Festival")</f>
        <v>Los Angeles Women's International Film Festival</v>
      </c>
      <c r="N4" s="43" t="s">
        <v>50</v>
      </c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94" t="str">
        <f>hyperlink("https://thewomensfilmfestival.org/", "Women's Film Festival, The ")</f>
        <v>Women's Film Festival, The </v>
      </c>
      <c r="CL4" s="43" t="s">
        <v>50</v>
      </c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94" t="str">
        <f>hyperlink("http://www.cascadiafilmfest.org/", "CASCADIA International Women's Film Festival")</f>
        <v>CASCADIA International Women's Film Festival</v>
      </c>
      <c r="DG4" s="43" t="s">
        <v>50</v>
      </c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X4" s="45"/>
      <c r="JE4" s="45"/>
      <c r="JI4" s="205" t="str">
        <f>hyperlink("https://www.imaginethisprods.com/", "Imagine This Women's International Film Festival")</f>
        <v>Imagine This Women's International Film Festival</v>
      </c>
      <c r="JL4" s="43" t="s">
        <v>50</v>
      </c>
      <c r="JY4" s="45"/>
      <c r="KE4" s="205" t="str">
        <f>hyperlink("https://www.sickchickflicksfilmfestival.com/", "Sick Chick Flicks Film Festival")</f>
        <v>Sick Chick Flicks Film Festival</v>
      </c>
      <c r="KG4" s="43" t="s">
        <v>50</v>
      </c>
      <c r="KZ4" s="45"/>
      <c r="LC4" s="45"/>
      <c r="LQ4" s="45"/>
      <c r="LR4" s="45"/>
      <c r="LX4" s="45"/>
      <c r="LY4" s="45"/>
      <c r="MK4" s="45"/>
      <c r="ML4" s="45"/>
      <c r="NB4" s="90"/>
    </row>
    <row r="5">
      <c r="A5" s="92" t="s">
        <v>51</v>
      </c>
      <c r="C5" s="45"/>
      <c r="D5" s="45"/>
      <c r="E5" s="45"/>
      <c r="F5" s="45"/>
      <c r="G5" s="45"/>
      <c r="H5" s="45"/>
      <c r="I5" s="45"/>
      <c r="J5" s="45"/>
      <c r="K5" s="45"/>
      <c r="L5" s="94" t="str">
        <f>hyperlink("https://andshesdopetoo.com/pages/lady-wild-film-fest", "Lady Wild Film Fest")</f>
        <v>Lady Wild Film Fest</v>
      </c>
      <c r="M5" s="43" t="s">
        <v>50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CA5" s="205" t="str">
        <f>hyperlink("https://www.nwffest.com/", "Nevada Women's Film Festival")</f>
        <v>Nevada Women's Film Festival</v>
      </c>
      <c r="CE5" s="43" t="s">
        <v>50</v>
      </c>
      <c r="CF5" s="45"/>
      <c r="CG5" s="45"/>
      <c r="CH5" s="45"/>
      <c r="CI5" s="45"/>
      <c r="CJ5" s="94" t="str">
        <f>hyperlink("http://www.postalleyfilmfestival.com/", "Post Alley Film Festival")</f>
        <v>Post Alley Film Festival</v>
      </c>
      <c r="CK5" s="43" t="s">
        <v>50</v>
      </c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94" t="str">
        <f>hyperlink("http://www.clexacon.com", "ClexaCon Film Festival")</f>
        <v>ClexaCon Film Festival</v>
      </c>
      <c r="DG5" s="43" t="s">
        <v>50</v>
      </c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EP5" s="45"/>
      <c r="FY5" s="45"/>
      <c r="FZ5" s="45"/>
      <c r="GA5" s="45"/>
      <c r="GF5" s="45"/>
      <c r="GG5" s="45"/>
      <c r="GL5" s="45"/>
      <c r="GM5" s="45"/>
      <c r="GN5" s="45"/>
      <c r="HH5" s="45"/>
      <c r="HI5" s="45"/>
      <c r="HJ5" s="45"/>
      <c r="HV5" s="45"/>
      <c r="HW5" s="45"/>
      <c r="IB5" s="45"/>
      <c r="IC5" s="45"/>
      <c r="ID5" s="45"/>
      <c r="IE5" s="45"/>
      <c r="IF5" s="45"/>
      <c r="IG5" s="45"/>
      <c r="IH5" s="45"/>
      <c r="II5" s="45"/>
      <c r="IJ5" s="45"/>
      <c r="IW5" s="45"/>
      <c r="JJ5" s="205" t="str">
        <f>hyperlink("https://www.lesfemmesinternational.org/", "Les Femmes Underground International Film Festival")</f>
        <v>Les Femmes Underground International Film Festival</v>
      </c>
      <c r="JK5" s="43" t="s">
        <v>50</v>
      </c>
      <c r="JO5" s="45"/>
      <c r="JS5" s="45"/>
      <c r="JT5" s="45"/>
      <c r="KA5" s="45"/>
      <c r="KR5" s="45"/>
      <c r="KS5" s="45"/>
      <c r="KT5" s="45"/>
      <c r="LJ5" s="45"/>
      <c r="LK5" s="45"/>
      <c r="LQ5" s="45"/>
      <c r="LR5" s="45"/>
      <c r="ML5" s="45"/>
      <c r="NB5" s="90"/>
    </row>
    <row r="6">
      <c r="A6" s="116" t="s">
        <v>52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GF6" s="45"/>
      <c r="GH6" s="45"/>
      <c r="GM6" s="45"/>
      <c r="HA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IC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S6" s="45"/>
      <c r="JT6" s="45"/>
      <c r="JU6" s="45"/>
      <c r="JV6" s="45"/>
      <c r="JW6" s="45"/>
      <c r="JX6" s="45"/>
      <c r="JY6" s="45"/>
      <c r="JZ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Q6" s="45"/>
      <c r="LR6" s="45"/>
      <c r="MF6" s="45"/>
      <c r="MQ6" s="45"/>
      <c r="NB6" s="90"/>
    </row>
    <row r="7">
      <c r="A7" s="140" t="s">
        <v>108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GA7" s="45"/>
      <c r="GH7" s="45"/>
      <c r="GT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M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Z7" s="45"/>
      <c r="KN7" s="45"/>
      <c r="KO7" s="45"/>
      <c r="KP7" s="45"/>
      <c r="LJ7" s="45"/>
      <c r="LM7" s="45"/>
      <c r="LQ7" s="45"/>
      <c r="ME7" s="45"/>
      <c r="ML7" s="45"/>
      <c r="NB7" s="90"/>
    </row>
    <row r="8">
      <c r="A8" s="164" t="s">
        <v>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O8" s="45"/>
      <c r="DD8" s="45"/>
      <c r="DF8" s="45"/>
      <c r="DG8" s="45"/>
      <c r="DH8" s="45"/>
      <c r="DU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HA8" s="45"/>
      <c r="HH8" s="45"/>
      <c r="HI8" s="45"/>
      <c r="HT8" s="45"/>
      <c r="HU8" s="45"/>
      <c r="HV8" s="45"/>
      <c r="HX8" s="45"/>
      <c r="IC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E8" s="45"/>
      <c r="JF8" s="45"/>
      <c r="JP8" s="45"/>
      <c r="JQ8" s="45"/>
      <c r="JR8" s="45"/>
      <c r="JS8" s="45"/>
      <c r="JT8" s="45"/>
      <c r="KG8" s="45"/>
      <c r="KH8" s="45"/>
      <c r="KR8" s="45"/>
      <c r="KX8" s="45"/>
      <c r="LJ8" s="45"/>
      <c r="LK8" s="45"/>
      <c r="LL8" s="45"/>
      <c r="LQ8" s="45"/>
      <c r="ME8" s="45"/>
      <c r="NB8" s="90"/>
    </row>
    <row r="9">
      <c r="A9" s="191" t="s">
        <v>55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CE9" s="45"/>
      <c r="CS9" s="45"/>
      <c r="DI9" s="45"/>
      <c r="DY9" s="45"/>
      <c r="EA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Y9" s="45"/>
      <c r="FZ9" s="45"/>
      <c r="GA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IC9" s="45"/>
      <c r="IE9" s="45"/>
      <c r="IJ9" s="45"/>
      <c r="IL9" s="45"/>
      <c r="IR9" s="45"/>
      <c r="IS9" s="45"/>
      <c r="IT9" s="45"/>
      <c r="IU9" s="45"/>
      <c r="IV9" s="45"/>
      <c r="IW9" s="45"/>
      <c r="IX9" s="45"/>
      <c r="IY9" s="45"/>
      <c r="JE9" s="45"/>
      <c r="JF9" s="45"/>
      <c r="JP9" s="45"/>
      <c r="JR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I9" s="45"/>
      <c r="KT9" s="45"/>
      <c r="KU9" s="45"/>
      <c r="KV9" s="45"/>
      <c r="KW9" s="45"/>
      <c r="LJ9" s="45"/>
      <c r="LK9" s="45"/>
      <c r="LR9" s="45"/>
      <c r="MC9" s="45"/>
    </row>
    <row r="10">
      <c r="A10" s="215" t="s">
        <v>227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Y10" s="45"/>
      <c r="HA10" s="45"/>
      <c r="HC10" s="45"/>
      <c r="HD10" s="45"/>
      <c r="HE10" s="45"/>
      <c r="HF10" s="45"/>
      <c r="HG10" s="45"/>
      <c r="HH10" s="45"/>
      <c r="HJ10" s="45"/>
      <c r="HK10" s="45"/>
      <c r="HL10" s="45"/>
      <c r="HM10" s="45"/>
      <c r="HN10" s="45"/>
      <c r="HO10" s="45"/>
      <c r="HQ10" s="45"/>
      <c r="HR10" s="45"/>
      <c r="HS10" s="45"/>
      <c r="HT10" s="45"/>
      <c r="HU10" s="45"/>
      <c r="HV10" s="45"/>
      <c r="HW10" s="45"/>
      <c r="HX10" s="45"/>
      <c r="IE10" s="45"/>
      <c r="IJ10" s="45"/>
      <c r="IL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R10" s="45"/>
      <c r="LF10" s="45"/>
      <c r="LI10" s="45"/>
      <c r="LK10" s="45"/>
      <c r="NB10" s="90"/>
    </row>
    <row r="11">
      <c r="A11" s="225" t="s">
        <v>306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Q11" s="45"/>
      <c r="HV11" s="45"/>
      <c r="HW11" s="45"/>
      <c r="HX11" s="45"/>
      <c r="IE11" s="45"/>
      <c r="IJ11" s="45"/>
      <c r="IK11" s="45"/>
      <c r="IL11" s="45"/>
      <c r="IQ11" s="45"/>
      <c r="IS11" s="45"/>
      <c r="IT11" s="45"/>
      <c r="IU11" s="45"/>
      <c r="IV11" s="45"/>
      <c r="IW11" s="45"/>
      <c r="IX11" s="45"/>
      <c r="IY11" s="45"/>
      <c r="IZ11" s="45"/>
      <c r="JE11" s="45"/>
      <c r="JG11" s="45"/>
      <c r="JH11" s="45"/>
      <c r="JI11" s="45"/>
      <c r="JJ11" s="45"/>
      <c r="JK11" s="45"/>
      <c r="JL11" s="45"/>
      <c r="JS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Q11" s="45"/>
      <c r="LB11" s="45"/>
      <c r="LC11" s="45"/>
      <c r="LD11" s="45"/>
      <c r="LN11" s="45"/>
      <c r="NB11" s="90"/>
    </row>
    <row r="12">
      <c r="A12" s="240" t="s">
        <v>352</v>
      </c>
      <c r="L12" s="45"/>
      <c r="M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Z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I12" s="45"/>
      <c r="EK12" s="45"/>
      <c r="EL12" s="45"/>
      <c r="EM12" s="45"/>
      <c r="EN12" s="45"/>
      <c r="EO12" s="45"/>
      <c r="EP12" s="45"/>
      <c r="EQ12" s="45"/>
      <c r="ER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H12" s="45"/>
      <c r="HI12" s="45"/>
      <c r="HK12" s="45"/>
      <c r="HN12" s="45"/>
      <c r="HQ12" s="45"/>
      <c r="HV12" s="45"/>
      <c r="HW12" s="45"/>
      <c r="HX12" s="45"/>
      <c r="IE12" s="45"/>
      <c r="IS12" s="45"/>
      <c r="IX12" s="45"/>
      <c r="IY12" s="45"/>
      <c r="IZ12" s="45"/>
      <c r="JF12" s="45"/>
      <c r="JL12" s="45"/>
      <c r="JM12" s="45"/>
      <c r="JV12" s="45"/>
      <c r="JZ12" s="45"/>
      <c r="KA12" s="45"/>
      <c r="KB12" s="45"/>
      <c r="KC12" s="45"/>
      <c r="KD12" s="45"/>
      <c r="KE12" s="45"/>
      <c r="KF12" s="45"/>
      <c r="KG12" s="45"/>
      <c r="KH12" s="45"/>
      <c r="KI12" s="45"/>
      <c r="KJ12" s="45"/>
      <c r="KK12" s="45"/>
      <c r="KL12" s="45"/>
      <c r="KM12" s="45"/>
      <c r="KN12" s="45"/>
      <c r="KP12" s="45"/>
      <c r="LG12" s="45"/>
      <c r="LJ12" s="45"/>
      <c r="LK12" s="45"/>
      <c r="NB12" s="90"/>
    </row>
    <row r="13">
      <c r="A13" s="249" t="s">
        <v>390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X13" s="45"/>
      <c r="CL13" s="45"/>
      <c r="CM13" s="45"/>
      <c r="CN13" s="45"/>
      <c r="CO13" s="45"/>
      <c r="CP13" s="45"/>
      <c r="CQ13" s="45"/>
      <c r="CR13" s="45"/>
      <c r="CS13" s="45"/>
      <c r="CT13" s="45"/>
      <c r="DF13" s="45"/>
      <c r="DG13" s="45"/>
      <c r="DU13" s="45"/>
      <c r="DV13" s="45"/>
      <c r="EI13" s="45"/>
      <c r="EJ13" s="45"/>
      <c r="EK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C13" s="45"/>
      <c r="HH13" s="45"/>
      <c r="HI13" s="45"/>
      <c r="HQ13" s="45"/>
      <c r="HV13" s="45"/>
      <c r="HW13" s="45"/>
      <c r="HY13" s="45"/>
      <c r="IE13" s="45"/>
      <c r="IS13" s="45"/>
      <c r="IX13" s="45"/>
      <c r="IY13" s="45"/>
      <c r="IZ13" s="45"/>
      <c r="JD13" s="45"/>
      <c r="JL13" s="45"/>
      <c r="JM13" s="45"/>
      <c r="JS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T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NB13" s="90"/>
    </row>
    <row r="14">
      <c r="A14" s="257" t="s">
        <v>477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BJ14" s="45"/>
      <c r="BK14" s="45"/>
      <c r="BL14" s="45"/>
      <c r="BM14" s="45"/>
      <c r="BN14" s="45"/>
      <c r="BO14" s="45"/>
      <c r="BP14" s="45"/>
      <c r="BQ14" s="45"/>
      <c r="BR14" s="45"/>
      <c r="CB14" s="45"/>
      <c r="CC14" s="45"/>
      <c r="CD14" s="45"/>
      <c r="CE14" s="45"/>
      <c r="CS14" s="45"/>
      <c r="CT14" s="45"/>
      <c r="CW14" s="45"/>
      <c r="DF14" s="45"/>
      <c r="DU14" s="45"/>
      <c r="EI14" s="45"/>
      <c r="EK14" s="45"/>
      <c r="EL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GA14" s="45"/>
      <c r="GM14" s="45"/>
      <c r="GN14" s="45"/>
      <c r="GX14" s="45"/>
      <c r="GY14" s="45"/>
      <c r="GZ14" s="45"/>
      <c r="HA14" s="45"/>
      <c r="HC14" s="45"/>
      <c r="HF14" s="45"/>
      <c r="HQ14" s="45"/>
      <c r="HV14" s="45"/>
      <c r="HW14" s="45"/>
      <c r="HY14" s="45"/>
      <c r="IE14" s="45"/>
      <c r="IR14" s="45"/>
      <c r="IW14" s="45"/>
      <c r="IX14" s="45"/>
      <c r="IZ14" s="45"/>
      <c r="JE14" s="45"/>
      <c r="JL14" s="45"/>
      <c r="JN14" s="45"/>
      <c r="JS14" s="45"/>
      <c r="KF14" s="45"/>
      <c r="KG14" s="45"/>
      <c r="KN14" s="45"/>
      <c r="KP14" s="45"/>
      <c r="KW14" s="45"/>
      <c r="LC14" s="45"/>
      <c r="LD14" s="45"/>
      <c r="LJ14" s="45"/>
      <c r="LK14" s="45"/>
      <c r="NB14" s="90"/>
    </row>
    <row r="15">
      <c r="A15" s="272" t="s">
        <v>523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S15" s="45"/>
      <c r="CT15" s="45"/>
      <c r="CY15" s="45"/>
      <c r="DG15" s="45"/>
      <c r="DV15" s="45"/>
      <c r="EA15" s="45"/>
      <c r="EB15" s="45"/>
      <c r="EC15" s="45"/>
      <c r="ED15" s="45"/>
      <c r="EE15" s="45"/>
      <c r="EF15" s="45"/>
      <c r="EG15" s="45"/>
      <c r="EH15" s="45"/>
      <c r="EI15" s="45"/>
      <c r="EK15" s="45"/>
      <c r="EQ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Q15" s="45"/>
      <c r="GS15" s="45"/>
      <c r="GU15" s="45"/>
      <c r="GV15" s="45"/>
      <c r="GW15" s="45"/>
      <c r="GX15" s="45"/>
      <c r="GY15" s="45"/>
      <c r="GZ15" s="45"/>
      <c r="HA15" s="45"/>
      <c r="HC15" s="45"/>
      <c r="HV15" s="45"/>
      <c r="IE15" s="45"/>
      <c r="IR15" s="45"/>
      <c r="IX15" s="45"/>
      <c r="IZ15" s="45"/>
      <c r="JE15" s="45"/>
      <c r="JL15" s="45"/>
      <c r="JN15" s="45"/>
      <c r="JR15" s="45"/>
      <c r="KD15" s="45"/>
      <c r="KG15" s="45"/>
      <c r="KO15" s="45"/>
      <c r="KP15" s="45"/>
      <c r="LB15" s="45"/>
      <c r="LC15" s="45"/>
      <c r="LD15" s="45"/>
      <c r="LJ15" s="45"/>
      <c r="LK15" s="45"/>
      <c r="NB15" s="90"/>
    </row>
    <row r="16">
      <c r="A16" s="281" t="s">
        <v>586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W16" s="45"/>
      <c r="CY16" s="45"/>
      <c r="DB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R16" s="45"/>
      <c r="EW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V16" s="45"/>
      <c r="HA16" s="45"/>
      <c r="HC16" s="45"/>
      <c r="HV16" s="45"/>
      <c r="HW16" s="45"/>
      <c r="IE16" s="45"/>
      <c r="IQ16" s="45"/>
      <c r="IR16" s="45"/>
      <c r="IX16" s="45"/>
      <c r="IZ16" s="45"/>
      <c r="JE16" s="45"/>
      <c r="JL16" s="45"/>
      <c r="JM16" s="45"/>
      <c r="JN16" s="45"/>
      <c r="JS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  <c r="KE16" s="45"/>
      <c r="KF16" s="45"/>
      <c r="KG16" s="45"/>
      <c r="KH16" s="45"/>
      <c r="KI16" s="45"/>
      <c r="KJ16" s="45"/>
      <c r="KN16" s="45"/>
      <c r="KP16" s="45"/>
      <c r="LB16" s="45"/>
      <c r="LC16" s="45"/>
      <c r="LJ16" s="45"/>
      <c r="LK16" s="45"/>
      <c r="NB16" s="90"/>
    </row>
    <row r="17">
      <c r="A17" s="291" t="s">
        <v>64</v>
      </c>
      <c r="T17" s="45"/>
      <c r="U17" s="45"/>
      <c r="AB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P17" s="45"/>
      <c r="EQ17" s="45"/>
      <c r="ER17" s="45"/>
      <c r="EW17" s="45"/>
      <c r="EY17" s="45"/>
      <c r="EZ17" s="45"/>
      <c r="FA17" s="45"/>
      <c r="FB17" s="45"/>
      <c r="FC17" s="45"/>
      <c r="FD17" s="45"/>
      <c r="FE17" s="45"/>
      <c r="FH17" s="45"/>
      <c r="FN17" s="45"/>
      <c r="FR17" s="45"/>
      <c r="FS17" s="45"/>
      <c r="FU17" s="45"/>
      <c r="FV17" s="45"/>
      <c r="FW17" s="45"/>
      <c r="FX17" s="45"/>
      <c r="FY17" s="45"/>
      <c r="FZ17" s="45"/>
      <c r="GA17" s="45"/>
      <c r="GU17" s="45"/>
      <c r="HA17" s="45"/>
      <c r="HB17" s="45"/>
      <c r="HC17" s="45"/>
      <c r="HV17" s="45"/>
      <c r="IE17" s="45"/>
      <c r="IW17" s="45"/>
      <c r="IY17" s="45"/>
      <c r="IZ17" s="45"/>
      <c r="JE17" s="45"/>
      <c r="JL17" s="45"/>
      <c r="JM17" s="45"/>
      <c r="JN17" s="45"/>
      <c r="JS17" s="45"/>
      <c r="JU17" s="45"/>
      <c r="KA17" s="45"/>
      <c r="KK17" s="45"/>
      <c r="KP17" s="45"/>
      <c r="KV17" s="45"/>
      <c r="KW17" s="45"/>
      <c r="LC17" s="45"/>
      <c r="LJ17" s="45"/>
      <c r="NB17" s="90"/>
    </row>
    <row r="18">
      <c r="A18" s="304" t="s">
        <v>65</v>
      </c>
      <c r="T18" s="45"/>
      <c r="U18" s="45"/>
      <c r="AB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X18" s="45"/>
      <c r="BY18" s="45"/>
      <c r="CL18" s="45"/>
      <c r="CW18" s="45"/>
      <c r="CY18" s="45"/>
      <c r="DG18" s="45"/>
      <c r="DU18" s="45"/>
      <c r="EB18" s="45"/>
      <c r="EC18" s="45"/>
      <c r="ED18" s="45"/>
      <c r="EI18" s="45"/>
      <c r="EJ18" s="45"/>
      <c r="EK18" s="45"/>
      <c r="EP18" s="45"/>
      <c r="ER18" s="45"/>
      <c r="EW18" s="45"/>
      <c r="FD18" s="45"/>
      <c r="FE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S18" s="45"/>
      <c r="GU18" s="45"/>
      <c r="GZ18" s="45"/>
      <c r="HC18" s="45"/>
      <c r="HV18" s="45"/>
      <c r="ID18" s="45"/>
      <c r="IE18" s="45"/>
      <c r="IW18" s="45"/>
      <c r="JD18" s="45"/>
      <c r="JG18" s="45"/>
      <c r="JL18" s="45"/>
      <c r="JN18" s="45"/>
      <c r="JS18" s="45"/>
      <c r="KA18" s="45"/>
      <c r="KK18" s="45"/>
      <c r="KN18" s="45"/>
      <c r="KP18" s="45"/>
      <c r="KW18" s="45"/>
      <c r="LC18" s="45"/>
      <c r="LJ18" s="45"/>
      <c r="LK18" s="45"/>
      <c r="NB18" s="90"/>
    </row>
    <row r="19">
      <c r="A19" s="317" t="s">
        <v>66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P19" s="45"/>
      <c r="AQ19" s="45"/>
      <c r="BD19" s="45"/>
      <c r="BE19" s="45"/>
      <c r="BF19" s="45"/>
      <c r="BG19" s="45"/>
      <c r="BH19" s="45"/>
      <c r="BI19" s="45"/>
      <c r="BJ19" s="45"/>
      <c r="BK19" s="45"/>
      <c r="BL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M19" s="45"/>
      <c r="DX19" s="45"/>
      <c r="DY19" s="45"/>
      <c r="DZ19" s="45"/>
      <c r="EA19" s="45"/>
      <c r="EB19" s="45"/>
      <c r="EC19" s="45"/>
      <c r="ED19" s="45"/>
      <c r="EI19" s="45"/>
      <c r="EJ19" s="45"/>
      <c r="EK19" s="45"/>
      <c r="EP19" s="45"/>
      <c r="EV19" s="45"/>
      <c r="EX19" s="45"/>
      <c r="EY19" s="45"/>
      <c r="EZ19" s="45"/>
      <c r="FA19" s="45"/>
      <c r="FB19" s="45"/>
      <c r="FC19" s="45"/>
      <c r="FD19" s="45"/>
      <c r="FE19" s="45"/>
      <c r="FF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GB19" s="45"/>
      <c r="GS19" s="45"/>
      <c r="GZ19" s="45"/>
      <c r="HC19" s="45"/>
      <c r="HU19" s="45"/>
      <c r="IE19" s="45"/>
      <c r="JF19" s="45"/>
      <c r="JG19" s="45"/>
      <c r="JL19" s="45"/>
      <c r="JM19" s="45"/>
      <c r="JN19" s="45"/>
      <c r="JR19" s="45"/>
      <c r="JY19" s="45"/>
      <c r="JZ19" s="45"/>
      <c r="KA19" s="45"/>
      <c r="KB19" s="45"/>
      <c r="KC19" s="45"/>
      <c r="KD19" s="45"/>
      <c r="KE19" s="45"/>
      <c r="KF19" s="45"/>
      <c r="KG19" s="45"/>
      <c r="KM19" s="45"/>
      <c r="KN19" s="45"/>
      <c r="KO19" s="45"/>
      <c r="KP19" s="45"/>
      <c r="LC19" s="45"/>
      <c r="LD19" s="45"/>
      <c r="LF19" s="45"/>
      <c r="LG19" s="45"/>
      <c r="LH19" s="45"/>
      <c r="LI19" s="45"/>
      <c r="LJ19" s="45"/>
      <c r="LK19" s="45"/>
      <c r="NB19" s="90"/>
    </row>
    <row r="20">
      <c r="A20" s="329" t="s">
        <v>69</v>
      </c>
      <c r="Y20" s="45"/>
      <c r="Z20" s="45"/>
      <c r="AQ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R20" s="45"/>
      <c r="BS20" s="45"/>
      <c r="BX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W20" s="45"/>
      <c r="DX20" s="45"/>
      <c r="DY20" s="45"/>
      <c r="DZ20" s="45"/>
      <c r="EA20" s="45"/>
      <c r="EB20" s="45"/>
      <c r="EC20" s="45"/>
      <c r="EI20" s="45"/>
      <c r="EK20" s="45"/>
      <c r="EN20" s="45"/>
      <c r="EP20" s="45"/>
      <c r="EQ20" s="45"/>
      <c r="EW20" s="45"/>
      <c r="EX20" s="45"/>
      <c r="FD20" s="45"/>
      <c r="FK20" s="45"/>
      <c r="FL20" s="45"/>
      <c r="FM20" s="45"/>
      <c r="FN20" s="45"/>
      <c r="FO20" s="45"/>
      <c r="FP20" s="45"/>
      <c r="FQ20" s="45"/>
      <c r="FR20" s="45"/>
      <c r="FT20" s="45"/>
      <c r="FY20" s="45"/>
      <c r="GS20" s="45"/>
      <c r="GZ20" s="45"/>
      <c r="HB20" s="45"/>
      <c r="HC20" s="45"/>
      <c r="HV20" s="45"/>
      <c r="ID20" s="45"/>
      <c r="IE20" s="45"/>
      <c r="JG20" s="45"/>
      <c r="JL20" s="45"/>
      <c r="JN20" s="45"/>
      <c r="KA20" s="45"/>
      <c r="KB20" s="45"/>
      <c r="KC20" s="45"/>
      <c r="KD20" s="45"/>
      <c r="KE20" s="45"/>
      <c r="KF20" s="45"/>
      <c r="KG20" s="45"/>
      <c r="KN20" s="45"/>
      <c r="KO20" s="45"/>
      <c r="KP20" s="45"/>
      <c r="KV20" s="45"/>
      <c r="LB20" s="45"/>
      <c r="LF20" s="45"/>
      <c r="LG20" s="45"/>
      <c r="LH20" s="45"/>
      <c r="LI20" s="45"/>
      <c r="LK20" s="45"/>
      <c r="NB20" s="90"/>
    </row>
    <row r="21">
      <c r="A21" s="339" t="s">
        <v>70</v>
      </c>
      <c r="AO21" s="45"/>
      <c r="AQ21" s="45"/>
      <c r="AW21" s="45"/>
      <c r="AX21" s="45"/>
      <c r="BK21" s="45"/>
      <c r="BL21" s="45"/>
      <c r="BQ21" s="45"/>
      <c r="BR21" s="45"/>
      <c r="BS21" s="45"/>
      <c r="BX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Y21" s="45"/>
      <c r="EA21" s="45"/>
      <c r="EC21" s="45"/>
      <c r="EI21" s="45"/>
      <c r="EJ21" s="45"/>
      <c r="EO21" s="45"/>
      <c r="EQ21" s="45"/>
      <c r="EY21" s="45"/>
      <c r="FD21" s="45"/>
      <c r="FF21" s="45"/>
      <c r="FK21" s="45"/>
      <c r="FL21" s="45"/>
      <c r="FM21" s="45"/>
      <c r="FN21" s="45"/>
      <c r="FO21" s="45"/>
      <c r="FP21" s="45"/>
      <c r="FQ21" s="45"/>
      <c r="FR21" s="45"/>
      <c r="FT21" s="45"/>
      <c r="FY21" s="45"/>
      <c r="HB21" s="45"/>
      <c r="HC21" s="45"/>
      <c r="HU21" s="45"/>
      <c r="IE21" s="45"/>
      <c r="JG21" s="45"/>
      <c r="JL21" s="45"/>
      <c r="JN21" s="45"/>
      <c r="JU21" s="45"/>
      <c r="JZ21" s="45"/>
      <c r="KF21" s="45"/>
      <c r="KG21" s="45"/>
      <c r="KN21" s="45"/>
      <c r="KO21" s="45"/>
      <c r="KP21" s="45"/>
      <c r="LB21" s="45"/>
      <c r="LH21" s="45"/>
      <c r="LI21" s="45"/>
      <c r="LK21" s="45"/>
      <c r="NB21" s="90"/>
    </row>
    <row r="22">
      <c r="A22" s="341" t="s">
        <v>71</v>
      </c>
      <c r="AO22" s="45"/>
      <c r="AP22" s="45"/>
      <c r="AQ22" s="45"/>
      <c r="AW22" s="45"/>
      <c r="AX22" s="45"/>
      <c r="BI22" s="45"/>
      <c r="BJ22" s="45"/>
      <c r="BK22" s="45"/>
      <c r="BL22" s="45"/>
      <c r="BR22" s="45"/>
      <c r="BS22" s="45"/>
      <c r="BX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S22" s="45"/>
      <c r="CT22" s="45"/>
      <c r="CU22" s="45"/>
      <c r="DF22" s="45"/>
      <c r="DQ22" s="45"/>
      <c r="DR22" s="45"/>
      <c r="DS22" s="45"/>
      <c r="DT22" s="45"/>
      <c r="DU22" s="45"/>
      <c r="DV22" s="45"/>
      <c r="DW22" s="45"/>
      <c r="EB22" s="45"/>
      <c r="EC22" s="45"/>
      <c r="EI22" s="45"/>
      <c r="EJ22" s="45"/>
      <c r="EY22" s="45"/>
      <c r="FD22" s="45"/>
      <c r="FF22" s="45"/>
      <c r="FK22" s="45"/>
      <c r="FL22" s="45"/>
      <c r="FM22" s="45"/>
      <c r="FN22" s="45"/>
      <c r="FO22" s="45"/>
      <c r="FP22" s="45"/>
      <c r="FQ22" s="45"/>
      <c r="FR22" s="45"/>
      <c r="FT22" s="45"/>
      <c r="FU22" s="45"/>
      <c r="FX22" s="45"/>
      <c r="HB22" s="45"/>
      <c r="JG22" s="45"/>
      <c r="JL22" s="45"/>
      <c r="JN22" s="45"/>
      <c r="JU22" s="45"/>
      <c r="JZ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LB22" s="45"/>
      <c r="LD22" s="45"/>
      <c r="LK22" s="45"/>
      <c r="NB22" s="90"/>
    </row>
    <row r="23">
      <c r="A23" s="346" t="s">
        <v>839</v>
      </c>
      <c r="AO23" s="45"/>
      <c r="AQ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K23" s="45"/>
      <c r="BL23" s="45"/>
      <c r="BR23" s="45"/>
      <c r="BW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S23" s="45"/>
      <c r="CT23" s="45"/>
      <c r="DF23" s="45"/>
      <c r="DG23" s="45"/>
      <c r="DH23" s="45"/>
      <c r="DQ23" s="45"/>
      <c r="DR23" s="45"/>
      <c r="DS23" s="45"/>
      <c r="DT23" s="45"/>
      <c r="DU23" s="45"/>
      <c r="DW23" s="45"/>
      <c r="EB23" s="45"/>
      <c r="EH23" s="45"/>
      <c r="EI23" s="45"/>
      <c r="EY23" s="45"/>
      <c r="EZ23" s="45"/>
      <c r="FA23" s="45"/>
      <c r="FB23" s="45"/>
      <c r="FC23" s="45"/>
      <c r="FD23" s="45"/>
      <c r="FF23" s="45"/>
      <c r="FK23" s="45"/>
      <c r="FL23" s="45"/>
      <c r="FM23" s="45"/>
      <c r="FN23" s="45"/>
      <c r="FO23" s="45"/>
      <c r="FP23" s="45"/>
      <c r="FQ23" s="45"/>
      <c r="FR23" s="45"/>
      <c r="FT23" s="45"/>
      <c r="FU23" s="45"/>
      <c r="HB23" s="45"/>
      <c r="JG23" s="45"/>
      <c r="JL23" s="45"/>
      <c r="JN23" s="45"/>
      <c r="JU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N23" s="45"/>
      <c r="KP23" s="45"/>
      <c r="LC23" s="45"/>
      <c r="LD23" s="45"/>
      <c r="NB23" s="90"/>
    </row>
    <row r="24">
      <c r="A24" s="350" t="s">
        <v>869</v>
      </c>
      <c r="AP24" s="45"/>
      <c r="AQ24" s="45"/>
      <c r="AW24" s="45"/>
      <c r="AX24" s="45"/>
      <c r="BC24" s="45"/>
      <c r="BJ24" s="45"/>
      <c r="BK24" s="45"/>
      <c r="BL24" s="45"/>
      <c r="BO24" s="45"/>
      <c r="BP24" s="45"/>
      <c r="BQ24" s="45"/>
      <c r="BR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W24" s="45"/>
      <c r="EA24" s="45"/>
      <c r="EI24" s="45"/>
      <c r="EZ24" s="45"/>
      <c r="FA24" s="45"/>
      <c r="FB24" s="45"/>
      <c r="FC24" s="45"/>
      <c r="FD24" s="45"/>
      <c r="FE24" s="45"/>
      <c r="FF24" s="45"/>
      <c r="FK24" s="45"/>
      <c r="FL24" s="45"/>
      <c r="FM24" s="45"/>
      <c r="FN24" s="45"/>
      <c r="FO24" s="45"/>
      <c r="FP24" s="45"/>
      <c r="FQ24" s="45"/>
      <c r="FR24" s="45"/>
      <c r="FT24" s="45"/>
      <c r="HB24" s="45"/>
      <c r="JG24" s="45"/>
      <c r="JK24" s="45"/>
      <c r="JN24" s="45"/>
      <c r="JU24" s="45"/>
      <c r="JZ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LC24" s="45"/>
      <c r="LD24" s="45"/>
      <c r="NB24" s="90"/>
    </row>
    <row r="25">
      <c r="A25" s="360" t="s">
        <v>88</v>
      </c>
      <c r="AM25" s="45"/>
      <c r="AN25" s="45"/>
      <c r="AO25" s="45"/>
      <c r="AP25" s="45"/>
      <c r="AQ25" s="45"/>
      <c r="AW25" s="45"/>
      <c r="AX25" s="45"/>
      <c r="BD25" s="45"/>
      <c r="BE25" s="45"/>
      <c r="BJ25" s="45"/>
      <c r="BK25" s="45"/>
      <c r="BL25" s="45"/>
      <c r="BR25" s="45"/>
      <c r="BS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EA25" s="45"/>
      <c r="EJ25" s="45"/>
      <c r="EW25" s="45"/>
      <c r="EX25" s="45"/>
      <c r="EY25" s="45"/>
      <c r="EZ25" s="45"/>
      <c r="FF25" s="45"/>
      <c r="FK25" s="45"/>
      <c r="FO25" s="45"/>
      <c r="FS25" s="45"/>
      <c r="FT25" s="45"/>
      <c r="JG25" s="45"/>
      <c r="JH25" s="45"/>
      <c r="JI25" s="45"/>
      <c r="JJ25" s="45"/>
      <c r="JK25" s="45"/>
      <c r="JN25" s="45"/>
      <c r="JU25" s="45"/>
      <c r="JZ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P25" s="45"/>
      <c r="LC25" s="45"/>
      <c r="LD25" s="45"/>
      <c r="NB25" s="90"/>
    </row>
    <row r="26">
      <c r="A26" s="367" t="s">
        <v>89</v>
      </c>
      <c r="AQ26" s="45"/>
      <c r="AX26" s="45"/>
      <c r="BF26" s="45"/>
      <c r="BJ26" s="45"/>
      <c r="BK26" s="45"/>
      <c r="BL26" s="45"/>
      <c r="BQ26" s="45"/>
      <c r="BR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EI26" s="45"/>
      <c r="EZ26" s="45"/>
      <c r="FF26" s="45"/>
      <c r="FJ26" s="45"/>
      <c r="FO26" s="45"/>
      <c r="FS26" s="45"/>
      <c r="JH26" s="45"/>
      <c r="JI26" s="45"/>
      <c r="JJ26" s="45"/>
      <c r="JK26" s="45"/>
      <c r="JN26" s="45"/>
      <c r="JU26" s="45"/>
      <c r="JZ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O26" s="45"/>
      <c r="LB26" s="45"/>
      <c r="LD26" s="45"/>
      <c r="NB26" s="90"/>
    </row>
    <row r="27">
      <c r="A27" s="370" t="s">
        <v>90</v>
      </c>
      <c r="AV27" s="45"/>
      <c r="AW27" s="45"/>
      <c r="BC27" s="45"/>
      <c r="BD27" s="45"/>
      <c r="BE27" s="45"/>
      <c r="BK27" s="45"/>
      <c r="BL27" s="45"/>
      <c r="BQ27" s="45"/>
      <c r="BR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S27" s="45"/>
      <c r="CU27" s="45"/>
      <c r="DF27" s="45"/>
      <c r="DG27" s="45"/>
      <c r="DH27" s="45"/>
      <c r="DI27" s="45"/>
      <c r="DJ27" s="45"/>
      <c r="DK27" s="45"/>
      <c r="DL27" s="45"/>
      <c r="DM27" s="45"/>
      <c r="DN27" s="45"/>
      <c r="DP27" s="45"/>
      <c r="DQ27" s="45"/>
      <c r="DR27" s="45"/>
      <c r="DS27" s="45"/>
      <c r="DT27" s="45"/>
      <c r="DU27" s="45"/>
      <c r="DW27" s="45"/>
      <c r="EZ27" s="45"/>
      <c r="FF27" s="45"/>
      <c r="FJ27" s="45"/>
      <c r="FL27" s="45"/>
      <c r="FM27" s="45"/>
      <c r="JL27" s="45"/>
      <c r="JN27" s="45"/>
      <c r="JU27" s="45"/>
      <c r="JZ27" s="45"/>
      <c r="KC27" s="45"/>
      <c r="KD27" s="45"/>
      <c r="KE27" s="45"/>
      <c r="KF27" s="45"/>
      <c r="KG27" s="45"/>
      <c r="KH27" s="45"/>
      <c r="KI27" s="45"/>
      <c r="KM27" s="45"/>
      <c r="KO27" s="45"/>
      <c r="LB27" s="45"/>
      <c r="LD27" s="45"/>
      <c r="NB27" s="90"/>
    </row>
    <row r="28">
      <c r="A28" s="372" t="s">
        <v>91</v>
      </c>
      <c r="AW28" s="45"/>
      <c r="BC28" s="45"/>
      <c r="BD28" s="45"/>
      <c r="BE28" s="45"/>
      <c r="BK28" s="45"/>
      <c r="BL28" s="45"/>
      <c r="BQ28" s="45"/>
      <c r="BR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R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N28" s="45"/>
      <c r="DO28" s="45"/>
      <c r="DT28" s="45"/>
      <c r="DU28" s="45"/>
      <c r="DW28" s="45"/>
      <c r="FF28" s="45"/>
      <c r="FJ28" s="45"/>
      <c r="FL28" s="45"/>
      <c r="JL28" s="45"/>
      <c r="JN28" s="45"/>
      <c r="JU28" s="45"/>
      <c r="JZ28" s="45"/>
      <c r="KC28" s="45"/>
      <c r="KD28" s="45"/>
      <c r="KE28" s="45"/>
      <c r="KF28" s="45"/>
      <c r="KG28" s="45"/>
      <c r="KH28" s="45"/>
      <c r="KI28" s="45"/>
      <c r="KM28" s="45"/>
      <c r="LC28" s="45"/>
      <c r="LD28" s="45"/>
      <c r="NB28" s="90"/>
    </row>
    <row r="29">
      <c r="A29" s="375"/>
      <c r="AW29" s="45"/>
      <c r="BD29" s="45"/>
      <c r="BK29" s="45"/>
      <c r="BL29" s="45"/>
      <c r="BP29" s="45"/>
      <c r="BQ29" s="45"/>
      <c r="BR29" s="45"/>
      <c r="CD29" s="45"/>
      <c r="CE29" s="45"/>
      <c r="CF29" s="45"/>
      <c r="CG29" s="45"/>
      <c r="CH29" s="45"/>
      <c r="CI29" s="45"/>
      <c r="CJ29" s="45"/>
      <c r="CN29" s="45"/>
      <c r="CR29" s="45"/>
      <c r="CU29" s="45"/>
      <c r="DB29" s="45"/>
      <c r="DH29" s="45"/>
      <c r="DN29" s="45"/>
      <c r="DO29" s="45"/>
      <c r="DP29" s="45"/>
      <c r="DU29" s="45"/>
      <c r="DV29" s="45"/>
      <c r="DY29" s="45"/>
      <c r="FF29" s="45"/>
      <c r="JL29" s="45"/>
      <c r="JN29" s="45"/>
      <c r="JT29" s="45"/>
      <c r="JZ29" s="45"/>
      <c r="KB29" s="45"/>
      <c r="KG29" s="45"/>
      <c r="KI29" s="45"/>
      <c r="KK29" s="45"/>
      <c r="KL29" s="45"/>
      <c r="KM29" s="45"/>
      <c r="KN29" s="45"/>
      <c r="LD29" s="45"/>
      <c r="NB29" s="90"/>
    </row>
    <row r="30">
      <c r="A30" s="375"/>
      <c r="AV30" s="45"/>
      <c r="BD30" s="45"/>
      <c r="BE30" s="45"/>
      <c r="BK30" s="45"/>
      <c r="BL30" s="45"/>
      <c r="BP30" s="45"/>
      <c r="BQ30" s="45"/>
      <c r="CE30" s="45"/>
      <c r="CF30" s="45"/>
      <c r="CG30" s="45"/>
      <c r="CH30" s="45"/>
      <c r="CI30" s="45"/>
      <c r="CJ30" s="45"/>
      <c r="CK30" s="45"/>
      <c r="CL30" s="45"/>
      <c r="CM30" s="45"/>
      <c r="CR30" s="45"/>
      <c r="CS30" s="45"/>
      <c r="CU30" s="45"/>
      <c r="DG30" s="45"/>
      <c r="DN30" s="45"/>
      <c r="DP30" s="45"/>
      <c r="DU30" s="45"/>
      <c r="DV30" s="45"/>
      <c r="FF30" s="45"/>
      <c r="JL30" s="45"/>
      <c r="JN30" s="45"/>
      <c r="JT30" s="45"/>
      <c r="JZ30" s="45"/>
      <c r="KB30" s="45"/>
      <c r="KG30" s="45"/>
      <c r="KH30" s="45"/>
      <c r="KI30" s="45"/>
      <c r="KJ30" s="45"/>
      <c r="KK30" s="45"/>
      <c r="KL30" s="45"/>
      <c r="KM30" s="45"/>
      <c r="KN30" s="45"/>
      <c r="LB30" s="45"/>
      <c r="LC30" s="45"/>
      <c r="LD30" s="45"/>
      <c r="LE30" s="45"/>
      <c r="NB30" s="90"/>
    </row>
    <row r="31">
      <c r="A31" s="375"/>
      <c r="BD31" s="45"/>
      <c r="BE31" s="45"/>
      <c r="BJ31" s="45"/>
      <c r="BK31" s="45"/>
      <c r="BP31" s="45"/>
      <c r="BQ31" s="45"/>
      <c r="CE31" s="45"/>
      <c r="CF31" s="45"/>
      <c r="CG31" s="45"/>
      <c r="CN31" s="45"/>
      <c r="CR31" s="45"/>
      <c r="CU31" s="45"/>
      <c r="DC31" s="45"/>
      <c r="DD31" s="45"/>
      <c r="DE31" s="45"/>
      <c r="DF31" s="45"/>
      <c r="DG31" s="45"/>
      <c r="DN31" s="45"/>
      <c r="DO31" s="45"/>
      <c r="DP31" s="45"/>
      <c r="DU31" s="45"/>
      <c r="DW31" s="45"/>
      <c r="FC31" s="45"/>
      <c r="FF31" s="45"/>
      <c r="JK31" s="45"/>
      <c r="JN31" s="45"/>
      <c r="JT31" s="45"/>
      <c r="JU31" s="45"/>
      <c r="KB31" s="45"/>
      <c r="KF31" s="45"/>
      <c r="KJ31" s="45"/>
      <c r="KN31" s="45"/>
      <c r="LC31" s="45"/>
      <c r="LD31" s="45"/>
      <c r="LE31" s="45"/>
      <c r="NB31" s="90"/>
    </row>
    <row r="32">
      <c r="BD32" s="45"/>
      <c r="BK32" s="45"/>
      <c r="BQ32" s="45"/>
      <c r="CE32" s="45"/>
      <c r="CF32" s="45"/>
      <c r="CG32" s="45"/>
      <c r="CH32" s="45"/>
      <c r="CI32" s="45"/>
      <c r="CJ32" s="45"/>
      <c r="CK32" s="45"/>
      <c r="CL32" s="45"/>
      <c r="CR32" s="45"/>
      <c r="CT32" s="45"/>
      <c r="DA32" s="45"/>
      <c r="DG32" s="45"/>
      <c r="DP32" s="45"/>
      <c r="DT32" s="45"/>
      <c r="DX32" s="45"/>
      <c r="FF32" s="45"/>
      <c r="JL32" s="45"/>
      <c r="JN32" s="45"/>
      <c r="JU32" s="45"/>
      <c r="KB32" s="45"/>
      <c r="KF32" s="45"/>
      <c r="KI32" s="45"/>
      <c r="KN32" s="45"/>
      <c r="LE32" s="45"/>
      <c r="NB32" s="90"/>
    </row>
    <row r="33">
      <c r="A33" s="390"/>
      <c r="BC33" s="45"/>
      <c r="BD33" s="45"/>
      <c r="CE33" s="45"/>
      <c r="CF33" s="45"/>
      <c r="CG33" s="45"/>
      <c r="CL33" s="45"/>
      <c r="CM33" s="45"/>
      <c r="CS33" s="45"/>
      <c r="CU33" s="45"/>
      <c r="DA33" s="45"/>
      <c r="DB33" s="45"/>
      <c r="DG33" s="45"/>
      <c r="DM33" s="45"/>
      <c r="DP33" s="45"/>
      <c r="DT33" s="45"/>
      <c r="DV33" s="45"/>
      <c r="DX33" s="45"/>
      <c r="FF33" s="45"/>
      <c r="JK33" s="45"/>
      <c r="JM33" s="45"/>
      <c r="JU33" s="45"/>
      <c r="KA33" s="45"/>
      <c r="KB33" s="45"/>
      <c r="KF33" s="45"/>
      <c r="KI33" s="45"/>
      <c r="KM33" s="45"/>
      <c r="LB33" s="45"/>
      <c r="LC33" s="45"/>
      <c r="NB33" s="90"/>
    </row>
    <row r="34">
      <c r="A34" s="390"/>
      <c r="BC34" s="45"/>
      <c r="CE34" s="45"/>
      <c r="CF34" s="45"/>
      <c r="CG34" s="45"/>
      <c r="CL34" s="45"/>
      <c r="CM34" s="45"/>
      <c r="CU34" s="45"/>
      <c r="DG34" s="45"/>
      <c r="DH34" s="45"/>
      <c r="DN34" s="45"/>
      <c r="DO34" s="45"/>
      <c r="DP34" s="45"/>
      <c r="DT34" s="45"/>
      <c r="DU34" s="45"/>
      <c r="DV34" s="45"/>
      <c r="DW34" s="45"/>
      <c r="FE34" s="45"/>
      <c r="FF34" s="45"/>
      <c r="JM34" s="45"/>
      <c r="JN34" s="45"/>
      <c r="JU34" s="45"/>
      <c r="KB34" s="45"/>
      <c r="KG34" s="45"/>
      <c r="KI34" s="45"/>
      <c r="NB34" s="90"/>
    </row>
    <row r="35">
      <c r="A35" s="390"/>
      <c r="BD35" s="45"/>
      <c r="CE35" s="45"/>
      <c r="CG35" s="45"/>
      <c r="CL35" s="45"/>
      <c r="CM35" s="45"/>
      <c r="CU35" s="45"/>
      <c r="CY35" s="45"/>
      <c r="CZ35" s="45"/>
      <c r="DA35" s="45"/>
      <c r="DB35" s="45"/>
      <c r="DC35" s="45"/>
      <c r="DD35" s="45"/>
      <c r="DF35" s="45"/>
      <c r="DN35" s="45"/>
      <c r="DP35" s="45"/>
      <c r="DT35" s="45"/>
      <c r="DU35" s="45"/>
      <c r="DV35" s="45"/>
      <c r="DW35" s="45"/>
      <c r="FE35" s="45"/>
      <c r="FF35" s="45"/>
      <c r="JM35" s="45"/>
      <c r="JN35" s="45"/>
      <c r="JU35" s="45"/>
      <c r="JZ35" s="45"/>
      <c r="KA35" s="45"/>
      <c r="KF35" s="45"/>
      <c r="KI35" s="45"/>
      <c r="NB35" s="90"/>
    </row>
    <row r="36">
      <c r="A36" s="390"/>
      <c r="BC36" s="45"/>
      <c r="CE36" s="45"/>
      <c r="CL36" s="45"/>
      <c r="CT36" s="45"/>
      <c r="DA36" s="45"/>
      <c r="DF36" s="45"/>
      <c r="DG36" s="45"/>
      <c r="DN36" s="45"/>
      <c r="DO36" s="45"/>
      <c r="DU36" s="45"/>
      <c r="DW36" s="45"/>
      <c r="FE36" s="45"/>
      <c r="JN36" s="45"/>
      <c r="JT36" s="45"/>
      <c r="JU36" s="45"/>
      <c r="KF36" s="45"/>
      <c r="KI36" s="45"/>
      <c r="NB36" s="90"/>
    </row>
    <row r="37">
      <c r="A37" s="390"/>
      <c r="BC37" s="45"/>
      <c r="CE37" s="45"/>
      <c r="CL37" s="45"/>
      <c r="CT37" s="45"/>
      <c r="DA37" s="45"/>
      <c r="DF37" s="45"/>
      <c r="DN37" s="45"/>
      <c r="DO37" s="45"/>
      <c r="DP37" s="45"/>
      <c r="DU37" s="45"/>
      <c r="JN37" s="45"/>
      <c r="JU37" s="45"/>
      <c r="KD37" s="45"/>
      <c r="KG37" s="45"/>
      <c r="KI37" s="45"/>
      <c r="NB37" s="90"/>
    </row>
    <row r="38">
      <c r="A38" s="390"/>
      <c r="CE38" s="45"/>
      <c r="CK38" s="45"/>
      <c r="CL38" s="45"/>
      <c r="CT38" s="45"/>
      <c r="DB38" s="45"/>
      <c r="DF38" s="45"/>
      <c r="DN38" s="45"/>
      <c r="DT38" s="45"/>
      <c r="JN38" s="45"/>
      <c r="JR38" s="45"/>
      <c r="JS38" s="45"/>
      <c r="JT38" s="45"/>
      <c r="JU38" s="45"/>
      <c r="KI38" s="45"/>
      <c r="NB38" s="90"/>
    </row>
    <row r="39">
      <c r="A39" s="390"/>
      <c r="CE39" s="45"/>
      <c r="CK39" s="45"/>
      <c r="CL39" s="45"/>
      <c r="CR39" s="45"/>
      <c r="CS39" s="45"/>
      <c r="CT39" s="45"/>
      <c r="DA39" s="45"/>
      <c r="DF39" s="45"/>
      <c r="DG39" s="45"/>
      <c r="DN39" s="45"/>
      <c r="DT39" s="45"/>
      <c r="JN39" s="45"/>
      <c r="KH39" s="45"/>
      <c r="KI39" s="45"/>
      <c r="NB39" s="90"/>
    </row>
    <row r="40">
      <c r="A40" s="390"/>
      <c r="CD40" s="45"/>
      <c r="CE40" s="45"/>
      <c r="CL40" s="45"/>
      <c r="CS40" s="45"/>
      <c r="CT40" s="45"/>
      <c r="DA40" s="45"/>
      <c r="DF40" s="45"/>
      <c r="DG40" s="45"/>
      <c r="DN40" s="45"/>
      <c r="JN40" s="45"/>
      <c r="KI40" s="45"/>
      <c r="NB40" s="90"/>
    </row>
    <row r="41">
      <c r="A41" s="390"/>
      <c r="CL41" s="45"/>
      <c r="CT41" s="45"/>
      <c r="DA41" s="45"/>
      <c r="DG41" s="45"/>
      <c r="DN41" s="45"/>
      <c r="JN41" s="45"/>
      <c r="KI41" s="45"/>
      <c r="NB41" s="90"/>
    </row>
    <row r="42">
      <c r="A42" s="390"/>
      <c r="CL42" s="45"/>
      <c r="CZ42" s="45"/>
      <c r="DA42" s="45"/>
      <c r="DN42" s="45"/>
      <c r="JL42" s="45"/>
      <c r="JM42" s="45"/>
      <c r="JN42" s="45"/>
      <c r="KI42" s="45"/>
      <c r="NB42" s="90"/>
    </row>
    <row r="43">
      <c r="A43" s="390"/>
      <c r="CL43" s="45"/>
      <c r="CZ43" s="45"/>
      <c r="DA43" s="45"/>
      <c r="DB43" s="45"/>
      <c r="DN43" s="45"/>
      <c r="JM43" s="45"/>
      <c r="KH43" s="45"/>
      <c r="NB43" s="90"/>
    </row>
    <row r="44">
      <c r="A44" s="390"/>
      <c r="CK44" s="45"/>
      <c r="CZ44" s="45"/>
      <c r="DA44" s="45"/>
      <c r="DB44" s="45"/>
      <c r="KH44" s="45"/>
      <c r="KJ44" s="45"/>
      <c r="NB44" s="90"/>
    </row>
    <row r="45">
      <c r="A45" s="390"/>
      <c r="CK45" s="45"/>
      <c r="DA45" s="45"/>
      <c r="DB45" s="45"/>
      <c r="KE45" s="45"/>
      <c r="KF45" s="45"/>
      <c r="KJ45" s="45"/>
      <c r="NB45" s="90"/>
    </row>
    <row r="46">
      <c r="A46" s="390"/>
      <c r="CK46" s="45"/>
      <c r="DA46" s="45"/>
      <c r="DB46" s="45"/>
      <c r="KG46" s="45"/>
      <c r="KH46" s="45"/>
      <c r="NB46" s="90"/>
    </row>
    <row r="47">
      <c r="A47" s="390"/>
      <c r="CK47" s="45"/>
      <c r="KG47" s="45"/>
      <c r="KH47" s="45"/>
      <c r="NB47" s="90"/>
    </row>
    <row r="48">
      <c r="A48" s="390"/>
      <c r="NB48" s="90"/>
    </row>
    <row r="49">
      <c r="A49" s="414" t="str">
        <f>IMAGE(GOOGLEANALYTICS("UA-149355390-1", "2020 Film Festival Database &amp; Calendar",sheetName()))</f>
        <v/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</row>
  </sheetData>
  <mergeCells count="33">
    <mergeCell ref="GA1:HE1"/>
    <mergeCell ref="HF1:IJ1"/>
    <mergeCell ref="IK1:JN1"/>
    <mergeCell ref="JO1:KS1"/>
    <mergeCell ref="KT1:LW1"/>
    <mergeCell ref="LX1:NB1"/>
    <mergeCell ref="A1:A2"/>
    <mergeCell ref="B1:AF1"/>
    <mergeCell ref="AG1:BH1"/>
    <mergeCell ref="BI1:CM1"/>
    <mergeCell ref="CN1:DQ1"/>
    <mergeCell ref="DR1:EV1"/>
    <mergeCell ref="EW1:FZ1"/>
    <mergeCell ref="DI3:DL3"/>
    <mergeCell ref="IM3:IP3"/>
    <mergeCell ref="IR3:IW3"/>
    <mergeCell ref="JG3:JK3"/>
    <mergeCell ref="KC3:KF3"/>
    <mergeCell ref="KL3:KM3"/>
    <mergeCell ref="JI4:JK4"/>
    <mergeCell ref="KE4:KF4"/>
    <mergeCell ref="CB3:CK3"/>
    <mergeCell ref="CB4:CK4"/>
    <mergeCell ref="CA5:CD5"/>
    <mergeCell ref="DC5:DF5"/>
    <mergeCell ref="K3:M3"/>
    <mergeCell ref="R3:T3"/>
    <mergeCell ref="BG3:BJ3"/>
    <mergeCell ref="BO3:BQ3"/>
    <mergeCell ref="CW3:CX3"/>
    <mergeCell ref="DB3:DE3"/>
    <mergeCell ref="K4:M4"/>
    <mergeCell ref="DC4:DF4"/>
  </mergeCells>
  <drawing r:id="rId2"/>
  <legacyDrawing r:id="rId3"/>
</worksheet>
</file>