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rstewart\Documents\BLC\2022_23 Season\"/>
    </mc:Choice>
  </mc:AlternateContent>
  <xr:revisionPtr revIDLastSave="0" documentId="13_ncr:1_{3BBC11F5-480E-4209-9493-36909271AC06}" xr6:coauthVersionLast="47" xr6:coauthVersionMax="47" xr10:uidLastSave="{00000000-0000-0000-0000-000000000000}"/>
  <bookViews>
    <workbookView xWindow="-93" yWindow="-93" windowWidth="25786" windowHeight="13986" tabRatio="747" firstSheet="6" activeTab="22" xr2:uid="{00000000-000D-0000-FFFF-FFFF00000000}"/>
  </bookViews>
  <sheets>
    <sheet name="1999-2000" sheetId="1" r:id="rId1"/>
    <sheet name="2000-01" sheetId="2" r:id="rId2"/>
    <sheet name="2001-02" sheetId="3" r:id="rId3"/>
    <sheet name="2002-03" sheetId="4" r:id="rId4"/>
    <sheet name="2003-04" sheetId="5" r:id="rId5"/>
    <sheet name="2004-05" sheetId="6" r:id="rId6"/>
    <sheet name="2005-06" sheetId="7" r:id="rId7"/>
    <sheet name="2006-2007" sheetId="8" r:id="rId8"/>
    <sheet name="2007-08" sheetId="9" r:id="rId9"/>
    <sheet name="2008-09" sheetId="10" r:id="rId10"/>
    <sheet name="2009-10" sheetId="11" r:id="rId11"/>
    <sheet name="2010-11" sheetId="12" r:id="rId12"/>
    <sheet name="2012-2013" sheetId="13" r:id="rId13"/>
    <sheet name="2013-2014" sheetId="14" r:id="rId14"/>
    <sheet name="2014-2015" sheetId="15" r:id="rId15"/>
    <sheet name="2015-2016" sheetId="16" r:id="rId16"/>
    <sheet name="2016-17" sheetId="17" r:id="rId17"/>
    <sheet name="2017-18" sheetId="18" r:id="rId18"/>
    <sheet name="2018-19" sheetId="19" r:id="rId19"/>
    <sheet name="2019-20" sheetId="20" r:id="rId20"/>
    <sheet name="2020-21" sheetId="21" r:id="rId21"/>
    <sheet name="2021-22" sheetId="22" r:id="rId22"/>
    <sheet name="2022-23" sheetId="23" r:id="rId23"/>
  </sheets>
  <externalReferences>
    <externalReference r:id="rId24"/>
  </externalReferences>
  <definedNames>
    <definedName name="_xlnm.Print_Area" localSheetId="17">'2017-18'!$A$1:$AG$68</definedName>
    <definedName name="_xlnm.Print_Area" localSheetId="22">'2022-23'!$A$1:$AG$72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8" i="23" l="1"/>
  <c r="AG51" i="23"/>
  <c r="AG50" i="23"/>
  <c r="AG49" i="23"/>
  <c r="AG48" i="23"/>
  <c r="AG47" i="23"/>
  <c r="AG46" i="23"/>
  <c r="AG45" i="23"/>
  <c r="AG44" i="23"/>
  <c r="AG43" i="23"/>
  <c r="AG42" i="23"/>
  <c r="AG41" i="23"/>
  <c r="AG40" i="23"/>
  <c r="AG39" i="23"/>
  <c r="AG38" i="23"/>
  <c r="O59" i="23" l="1"/>
  <c r="L59" i="23"/>
  <c r="Z62" i="23"/>
  <c r="Z61" i="23"/>
  <c r="C60" i="23"/>
  <c r="C58" i="23"/>
  <c r="AD51" i="23"/>
  <c r="AC51" i="23"/>
  <c r="AB51" i="23"/>
  <c r="AA51" i="23"/>
  <c r="Z51" i="23"/>
  <c r="Y51" i="23"/>
  <c r="X51" i="23"/>
  <c r="W51" i="23"/>
  <c r="V51" i="23"/>
  <c r="U51" i="23"/>
  <c r="T51" i="23"/>
  <c r="S51" i="23"/>
  <c r="R51" i="23"/>
  <c r="Q51" i="23"/>
  <c r="P51" i="23"/>
  <c r="O51" i="23"/>
  <c r="N51" i="23"/>
  <c r="M51" i="23"/>
  <c r="L51" i="23"/>
  <c r="K51" i="23"/>
  <c r="J51" i="23"/>
  <c r="I51" i="23"/>
  <c r="H51" i="23"/>
  <c r="G51" i="23"/>
  <c r="F51" i="23"/>
  <c r="E51" i="23"/>
  <c r="D51" i="23"/>
  <c r="C51" i="23"/>
  <c r="AE51" i="23" s="1"/>
  <c r="AD50" i="23"/>
  <c r="AC50" i="23"/>
  <c r="AB50" i="23"/>
  <c r="AA50" i="23"/>
  <c r="Z50" i="23"/>
  <c r="Y50" i="23"/>
  <c r="X50" i="23"/>
  <c r="W50" i="23"/>
  <c r="V50" i="23"/>
  <c r="U50" i="23"/>
  <c r="T50" i="23"/>
  <c r="S50" i="23"/>
  <c r="R50" i="23"/>
  <c r="Q50" i="23"/>
  <c r="P50" i="23"/>
  <c r="O50" i="23"/>
  <c r="N50" i="23"/>
  <c r="M50" i="23"/>
  <c r="L50" i="23"/>
  <c r="K50" i="23"/>
  <c r="J50" i="23"/>
  <c r="I50" i="23"/>
  <c r="H50" i="23"/>
  <c r="G50" i="23"/>
  <c r="F50" i="23"/>
  <c r="E50" i="23"/>
  <c r="D50" i="23"/>
  <c r="C50" i="23"/>
  <c r="A50" i="23"/>
  <c r="AD49" i="23"/>
  <c r="AC49" i="23"/>
  <c r="AB49" i="23"/>
  <c r="AA49" i="23"/>
  <c r="Z49" i="23"/>
  <c r="Y49" i="23"/>
  <c r="X49" i="23"/>
  <c r="W49" i="23"/>
  <c r="V49" i="23"/>
  <c r="U49" i="23"/>
  <c r="T49" i="23"/>
  <c r="S49" i="23"/>
  <c r="R49" i="23"/>
  <c r="Q49" i="23"/>
  <c r="P49" i="23"/>
  <c r="O49" i="23"/>
  <c r="N49" i="23"/>
  <c r="M49" i="23"/>
  <c r="L49" i="23"/>
  <c r="K49" i="23"/>
  <c r="J49" i="23"/>
  <c r="I49" i="23"/>
  <c r="H49" i="23"/>
  <c r="G49" i="23"/>
  <c r="F49" i="23"/>
  <c r="E49" i="23"/>
  <c r="D49" i="23"/>
  <c r="C49" i="23"/>
  <c r="AD48" i="23"/>
  <c r="AC48" i="23"/>
  <c r="AB48" i="23"/>
  <c r="AA48" i="23"/>
  <c r="Z48" i="23"/>
  <c r="Y48" i="23"/>
  <c r="X48" i="23"/>
  <c r="W48" i="23"/>
  <c r="V48" i="23"/>
  <c r="U48" i="23"/>
  <c r="T48" i="23"/>
  <c r="S48" i="23"/>
  <c r="R48" i="23"/>
  <c r="Q48" i="23"/>
  <c r="P48" i="23"/>
  <c r="O48" i="23"/>
  <c r="N48" i="23"/>
  <c r="M48" i="23"/>
  <c r="L48" i="23"/>
  <c r="K48" i="23"/>
  <c r="J48" i="23"/>
  <c r="I48" i="23"/>
  <c r="H48" i="23"/>
  <c r="G48" i="23"/>
  <c r="F48" i="23"/>
  <c r="E48" i="23"/>
  <c r="D48" i="23"/>
  <c r="C48" i="23"/>
  <c r="AD47" i="23"/>
  <c r="AC47" i="23"/>
  <c r="AB47" i="23"/>
  <c r="AA47" i="23"/>
  <c r="Z47" i="23"/>
  <c r="Y47" i="23"/>
  <c r="X47" i="23"/>
  <c r="W47" i="23"/>
  <c r="V47" i="23"/>
  <c r="U47" i="23"/>
  <c r="T47" i="23"/>
  <c r="S47" i="23"/>
  <c r="R47" i="23"/>
  <c r="Q47" i="23"/>
  <c r="P47" i="23"/>
  <c r="O47" i="23"/>
  <c r="N47" i="23"/>
  <c r="M47" i="23"/>
  <c r="L47" i="23"/>
  <c r="K47" i="23"/>
  <c r="J47" i="23"/>
  <c r="I47" i="23"/>
  <c r="H47" i="23"/>
  <c r="G47" i="23"/>
  <c r="F47" i="23"/>
  <c r="E47" i="23"/>
  <c r="D47" i="23"/>
  <c r="C47" i="23"/>
  <c r="AD46" i="23"/>
  <c r="AC46" i="23"/>
  <c r="AB46" i="23"/>
  <c r="AA46" i="23"/>
  <c r="Z46" i="23"/>
  <c r="Y46" i="23"/>
  <c r="X46" i="23"/>
  <c r="W46" i="23"/>
  <c r="V46" i="23"/>
  <c r="U46" i="23"/>
  <c r="T46" i="23"/>
  <c r="S46" i="23"/>
  <c r="R46" i="23"/>
  <c r="Q46" i="23"/>
  <c r="P46" i="23"/>
  <c r="O46" i="23"/>
  <c r="N46" i="23"/>
  <c r="M46" i="23"/>
  <c r="L46" i="23"/>
  <c r="K46" i="23"/>
  <c r="J46" i="23"/>
  <c r="I46" i="23"/>
  <c r="H46" i="23"/>
  <c r="G46" i="23"/>
  <c r="F46" i="23"/>
  <c r="E46" i="23"/>
  <c r="D46" i="23"/>
  <c r="C46" i="23"/>
  <c r="AD45" i="23"/>
  <c r="AC45" i="23"/>
  <c r="AB45" i="23"/>
  <c r="AA45" i="23"/>
  <c r="Z45" i="23"/>
  <c r="Y45" i="23"/>
  <c r="X45" i="23"/>
  <c r="W45" i="23"/>
  <c r="V45" i="23"/>
  <c r="U45" i="23"/>
  <c r="T45" i="23"/>
  <c r="S45" i="23"/>
  <c r="R45" i="23"/>
  <c r="Q45" i="23"/>
  <c r="P45" i="23"/>
  <c r="O45" i="23"/>
  <c r="N45" i="23"/>
  <c r="M45" i="23"/>
  <c r="L45" i="23"/>
  <c r="K45" i="23"/>
  <c r="J45" i="23"/>
  <c r="I45" i="23"/>
  <c r="H45" i="23"/>
  <c r="G45" i="23"/>
  <c r="F45" i="23"/>
  <c r="E45" i="23"/>
  <c r="D45" i="23"/>
  <c r="C45" i="23"/>
  <c r="AD44" i="23"/>
  <c r="AC44" i="23"/>
  <c r="AB44" i="23"/>
  <c r="AA44" i="23"/>
  <c r="Z44" i="23"/>
  <c r="Y44" i="23"/>
  <c r="X44" i="23"/>
  <c r="W44" i="23"/>
  <c r="V44" i="23"/>
  <c r="U44" i="23"/>
  <c r="T44" i="23"/>
  <c r="S44" i="23"/>
  <c r="R44" i="23"/>
  <c r="Q44" i="23"/>
  <c r="P44" i="23"/>
  <c r="O44" i="23"/>
  <c r="N44" i="23"/>
  <c r="M44" i="23"/>
  <c r="L44" i="23"/>
  <c r="K44" i="23"/>
  <c r="J44" i="23"/>
  <c r="I44" i="23"/>
  <c r="H44" i="23"/>
  <c r="G44" i="23"/>
  <c r="F44" i="23"/>
  <c r="E44" i="23"/>
  <c r="D44" i="23"/>
  <c r="C44" i="23"/>
  <c r="AD43" i="23"/>
  <c r="AC43" i="23"/>
  <c r="AB43" i="23"/>
  <c r="AA43" i="23"/>
  <c r="Z43" i="23"/>
  <c r="Y43" i="23"/>
  <c r="X43" i="23"/>
  <c r="W43" i="23"/>
  <c r="V43" i="23"/>
  <c r="U43" i="23"/>
  <c r="T43" i="23"/>
  <c r="S43" i="23"/>
  <c r="R43" i="23"/>
  <c r="Q43" i="23"/>
  <c r="P43" i="23"/>
  <c r="O43" i="23"/>
  <c r="N43" i="23"/>
  <c r="M43" i="23"/>
  <c r="L43" i="23"/>
  <c r="K43" i="23"/>
  <c r="J43" i="23"/>
  <c r="I43" i="23"/>
  <c r="H43" i="23"/>
  <c r="G43" i="23"/>
  <c r="F43" i="23"/>
  <c r="E43" i="23"/>
  <c r="D43" i="23"/>
  <c r="C43" i="23"/>
  <c r="A43" i="23"/>
  <c r="AD42" i="23"/>
  <c r="AC42" i="23"/>
  <c r="AB42" i="23"/>
  <c r="AA42" i="23"/>
  <c r="Z42" i="23"/>
  <c r="Y42" i="23"/>
  <c r="X42" i="23"/>
  <c r="W42" i="23"/>
  <c r="V42" i="23"/>
  <c r="U42" i="23"/>
  <c r="T42" i="23"/>
  <c r="S42" i="23"/>
  <c r="R42" i="23"/>
  <c r="Q42" i="23"/>
  <c r="P42" i="23"/>
  <c r="O42" i="23"/>
  <c r="N42" i="23"/>
  <c r="M42" i="23"/>
  <c r="L42" i="23"/>
  <c r="K42" i="23"/>
  <c r="J42" i="23"/>
  <c r="I42" i="23"/>
  <c r="H42" i="23"/>
  <c r="G42" i="23"/>
  <c r="F42" i="23"/>
  <c r="E42" i="23"/>
  <c r="D42" i="23"/>
  <c r="C42" i="23"/>
  <c r="AE42" i="23" s="1"/>
  <c r="AD41" i="23"/>
  <c r="AC41" i="23"/>
  <c r="AB41" i="23"/>
  <c r="AA41" i="23"/>
  <c r="Z41" i="23"/>
  <c r="Y41" i="23"/>
  <c r="X41" i="23"/>
  <c r="W41" i="23"/>
  <c r="V41" i="23"/>
  <c r="U41" i="23"/>
  <c r="T41" i="23"/>
  <c r="S41" i="23"/>
  <c r="R41" i="23"/>
  <c r="Q41" i="23"/>
  <c r="P41" i="23"/>
  <c r="O41" i="23"/>
  <c r="N41" i="23"/>
  <c r="M41" i="23"/>
  <c r="L41" i="23"/>
  <c r="K41" i="23"/>
  <c r="J41" i="23"/>
  <c r="I41" i="23"/>
  <c r="H41" i="23"/>
  <c r="G41" i="23"/>
  <c r="F41" i="23"/>
  <c r="E41" i="23"/>
  <c r="D41" i="23"/>
  <c r="C41" i="23"/>
  <c r="AD40" i="23"/>
  <c r="AC40" i="23"/>
  <c r="AB40" i="23"/>
  <c r="AA40" i="23"/>
  <c r="Z40" i="23"/>
  <c r="Y40" i="23"/>
  <c r="X40" i="23"/>
  <c r="W40" i="23"/>
  <c r="V40" i="23"/>
  <c r="U40" i="23"/>
  <c r="T40" i="23"/>
  <c r="S40" i="23"/>
  <c r="R40" i="23"/>
  <c r="Q40" i="23"/>
  <c r="P40" i="23"/>
  <c r="O40" i="23"/>
  <c r="N40" i="23"/>
  <c r="M40" i="23"/>
  <c r="L40" i="23"/>
  <c r="K40" i="23"/>
  <c r="J40" i="23"/>
  <c r="I40" i="23"/>
  <c r="H40" i="23"/>
  <c r="G40" i="23"/>
  <c r="F40" i="23"/>
  <c r="E40" i="23"/>
  <c r="D40" i="23"/>
  <c r="C40" i="23"/>
  <c r="AD39" i="23"/>
  <c r="AC39" i="23"/>
  <c r="AB39" i="23"/>
  <c r="AA39" i="23"/>
  <c r="Z39" i="23"/>
  <c r="Y39" i="23"/>
  <c r="X39" i="23"/>
  <c r="W39" i="23"/>
  <c r="V39" i="23"/>
  <c r="U39" i="23"/>
  <c r="T39" i="23"/>
  <c r="S39" i="23"/>
  <c r="R39" i="23"/>
  <c r="Q39" i="23"/>
  <c r="P39" i="23"/>
  <c r="O39" i="23"/>
  <c r="N39" i="23"/>
  <c r="M39" i="23"/>
  <c r="L39" i="23"/>
  <c r="K39" i="23"/>
  <c r="J39" i="23"/>
  <c r="I39" i="23"/>
  <c r="H39" i="23"/>
  <c r="G39" i="23"/>
  <c r="F39" i="23"/>
  <c r="E39" i="23"/>
  <c r="D39" i="23"/>
  <c r="C39" i="23"/>
  <c r="AE39" i="23" s="1"/>
  <c r="AD38" i="23"/>
  <c r="AC38" i="23"/>
  <c r="AC52" i="23" s="1"/>
  <c r="AB38" i="23"/>
  <c r="AA38" i="23"/>
  <c r="Z38" i="23"/>
  <c r="Y38" i="23"/>
  <c r="Y52" i="23" s="1"/>
  <c r="X38" i="23"/>
  <c r="W38" i="23"/>
  <c r="V38" i="23"/>
  <c r="U38" i="23"/>
  <c r="U52" i="23" s="1"/>
  <c r="T38" i="23"/>
  <c r="S38" i="23"/>
  <c r="R38" i="23"/>
  <c r="Q38" i="23"/>
  <c r="Q52" i="23" s="1"/>
  <c r="P38" i="23"/>
  <c r="O38" i="23"/>
  <c r="N38" i="23"/>
  <c r="M38" i="23"/>
  <c r="L38" i="23"/>
  <c r="K38" i="23"/>
  <c r="J38" i="23"/>
  <c r="I38" i="23"/>
  <c r="I52" i="23" s="1"/>
  <c r="H38" i="23"/>
  <c r="G38" i="23"/>
  <c r="F38" i="23"/>
  <c r="E38" i="23"/>
  <c r="E52" i="23" s="1"/>
  <c r="D38" i="23"/>
  <c r="C38" i="23"/>
  <c r="U37" i="23"/>
  <c r="T37" i="23"/>
  <c r="S37" i="23"/>
  <c r="R37" i="23"/>
  <c r="Q37" i="23"/>
  <c r="P37" i="23"/>
  <c r="O37" i="23"/>
  <c r="AD34" i="23"/>
  <c r="AC34" i="23"/>
  <c r="AB34" i="23"/>
  <c r="AA34" i="23"/>
  <c r="Z34" i="23"/>
  <c r="Y34" i="23"/>
  <c r="X34" i="23"/>
  <c r="W34" i="23"/>
  <c r="V34" i="23"/>
  <c r="U34" i="23"/>
  <c r="T34" i="23"/>
  <c r="S34" i="23"/>
  <c r="R34" i="23"/>
  <c r="Q34" i="23"/>
  <c r="P34" i="23"/>
  <c r="O34" i="23"/>
  <c r="N34" i="23"/>
  <c r="M34" i="23"/>
  <c r="L34" i="23"/>
  <c r="K34" i="23"/>
  <c r="J34" i="23"/>
  <c r="I34" i="23"/>
  <c r="H34" i="23"/>
  <c r="G34" i="23"/>
  <c r="F34" i="23"/>
  <c r="E34" i="23"/>
  <c r="D34" i="23"/>
  <c r="C34" i="23"/>
  <c r="AE33" i="23"/>
  <c r="A33" i="23"/>
  <c r="A51" i="23" s="1"/>
  <c r="AE32" i="23"/>
  <c r="AE31" i="23"/>
  <c r="A31" i="23"/>
  <c r="A49" i="23" s="1"/>
  <c r="AE30" i="23"/>
  <c r="A30" i="23"/>
  <c r="A48" i="23" s="1"/>
  <c r="AE29" i="23"/>
  <c r="A29" i="23"/>
  <c r="A47" i="23" s="1"/>
  <c r="AE28" i="23"/>
  <c r="A28" i="23"/>
  <c r="A46" i="23" s="1"/>
  <c r="AE27" i="23"/>
  <c r="A27" i="23"/>
  <c r="A45" i="23" s="1"/>
  <c r="AE26" i="23"/>
  <c r="A26" i="23"/>
  <c r="A44" i="23" s="1"/>
  <c r="AE25" i="23"/>
  <c r="A25" i="23"/>
  <c r="AE24" i="23"/>
  <c r="A24" i="23"/>
  <c r="A42" i="23" s="1"/>
  <c r="AE23" i="23"/>
  <c r="A23" i="23"/>
  <c r="A41" i="23" s="1"/>
  <c r="AE22" i="23"/>
  <c r="A22" i="23"/>
  <c r="A40" i="23" s="1"/>
  <c r="AE21" i="23"/>
  <c r="A21" i="23"/>
  <c r="A39" i="23" s="1"/>
  <c r="AE20" i="23"/>
  <c r="A20" i="23"/>
  <c r="A38" i="23" s="1"/>
  <c r="N19" i="23"/>
  <c r="N37" i="23" s="1"/>
  <c r="M19" i="23"/>
  <c r="M37" i="23" s="1"/>
  <c r="L19" i="23"/>
  <c r="L37" i="23" s="1"/>
  <c r="K19" i="23"/>
  <c r="K37" i="23" s="1"/>
  <c r="J19" i="23"/>
  <c r="J37" i="23" s="1"/>
  <c r="I19" i="23"/>
  <c r="I37" i="23" s="1"/>
  <c r="H19" i="23"/>
  <c r="H37" i="23" s="1"/>
  <c r="G19" i="23"/>
  <c r="G37" i="23" s="1"/>
  <c r="F19" i="23"/>
  <c r="F37" i="23" s="1"/>
  <c r="E19" i="23"/>
  <c r="E37" i="23" s="1"/>
  <c r="D19" i="23"/>
  <c r="D37" i="23" s="1"/>
  <c r="C19" i="23"/>
  <c r="C37" i="23" s="1"/>
  <c r="A19" i="23"/>
  <c r="A37" i="23" s="1"/>
  <c r="AD17" i="23"/>
  <c r="AC17" i="23"/>
  <c r="AB17" i="23"/>
  <c r="AA17" i="23"/>
  <c r="Z17" i="23"/>
  <c r="Y17" i="23"/>
  <c r="X17" i="23"/>
  <c r="W17" i="23"/>
  <c r="V17" i="23"/>
  <c r="U17" i="23"/>
  <c r="T17" i="23"/>
  <c r="S17" i="23"/>
  <c r="R17" i="23"/>
  <c r="Q17" i="23"/>
  <c r="P17" i="23"/>
  <c r="O17" i="23"/>
  <c r="N17" i="23"/>
  <c r="M17" i="23"/>
  <c r="L17" i="23"/>
  <c r="K17" i="23"/>
  <c r="J17" i="23"/>
  <c r="I17" i="23"/>
  <c r="H17" i="23"/>
  <c r="G17" i="23"/>
  <c r="F17" i="23"/>
  <c r="E17" i="23"/>
  <c r="D17" i="23"/>
  <c r="C17" i="23"/>
  <c r="AE16" i="23"/>
  <c r="AE15" i="23"/>
  <c r="AE14" i="23"/>
  <c r="AE13" i="23"/>
  <c r="AE12" i="23"/>
  <c r="AE11" i="23"/>
  <c r="AE10" i="23"/>
  <c r="AE9" i="23"/>
  <c r="AE8" i="23"/>
  <c r="AE7" i="23"/>
  <c r="AE6" i="23"/>
  <c r="AE5" i="23"/>
  <c r="AE4" i="23"/>
  <c r="AE3" i="23"/>
  <c r="O59" i="22"/>
  <c r="L59" i="22"/>
  <c r="L60" i="22"/>
  <c r="AD55" i="22"/>
  <c r="Y55" i="22"/>
  <c r="Z62" i="22"/>
  <c r="AA17" i="22"/>
  <c r="Y17" i="22"/>
  <c r="X17" i="22"/>
  <c r="U17" i="22"/>
  <c r="T17" i="22"/>
  <c r="Q17" i="22"/>
  <c r="AB17" i="22"/>
  <c r="AD17" i="22"/>
  <c r="AD51" i="22"/>
  <c r="AC51" i="22"/>
  <c r="AB51" i="22"/>
  <c r="AA51" i="22"/>
  <c r="Z51" i="22"/>
  <c r="Y51" i="22"/>
  <c r="X51" i="22"/>
  <c r="W51" i="22"/>
  <c r="V51" i="22"/>
  <c r="U51" i="22"/>
  <c r="T51" i="22"/>
  <c r="S51" i="22"/>
  <c r="R51" i="22"/>
  <c r="Q51" i="22"/>
  <c r="P51" i="22"/>
  <c r="O51" i="22"/>
  <c r="N51" i="22"/>
  <c r="M51" i="22"/>
  <c r="L51" i="22"/>
  <c r="K51" i="22"/>
  <c r="J51" i="22"/>
  <c r="I51" i="22"/>
  <c r="H51" i="22"/>
  <c r="G51" i="22"/>
  <c r="F51" i="22"/>
  <c r="E51" i="22"/>
  <c r="D51" i="22"/>
  <c r="C51" i="22"/>
  <c r="AD50" i="22"/>
  <c r="AC50" i="22"/>
  <c r="AB50" i="22"/>
  <c r="AA50" i="22"/>
  <c r="Z50" i="22"/>
  <c r="Y50" i="22"/>
  <c r="X50" i="22"/>
  <c r="W50" i="22"/>
  <c r="V50" i="22"/>
  <c r="U50" i="22"/>
  <c r="T50" i="22"/>
  <c r="S50" i="22"/>
  <c r="R50" i="22"/>
  <c r="Q50" i="22"/>
  <c r="P50" i="22"/>
  <c r="O50" i="22"/>
  <c r="N50" i="22"/>
  <c r="M50" i="22"/>
  <c r="L50" i="22"/>
  <c r="K50" i="22"/>
  <c r="J50" i="22"/>
  <c r="I50" i="22"/>
  <c r="H50" i="22"/>
  <c r="G50" i="22"/>
  <c r="F50" i="22"/>
  <c r="E50" i="22"/>
  <c r="D50" i="22"/>
  <c r="C50" i="22"/>
  <c r="A50" i="22"/>
  <c r="AD49" i="22"/>
  <c r="AC49" i="22"/>
  <c r="AB49" i="22"/>
  <c r="AA49" i="22"/>
  <c r="Z49" i="22"/>
  <c r="Y49" i="22"/>
  <c r="X49" i="22"/>
  <c r="W49" i="22"/>
  <c r="V49" i="22"/>
  <c r="U49" i="22"/>
  <c r="T49" i="22"/>
  <c r="S49" i="22"/>
  <c r="R49" i="22"/>
  <c r="Q49" i="22"/>
  <c r="P49" i="22"/>
  <c r="O49" i="22"/>
  <c r="N49" i="22"/>
  <c r="M49" i="22"/>
  <c r="L49" i="22"/>
  <c r="K49" i="22"/>
  <c r="J49" i="22"/>
  <c r="I49" i="22"/>
  <c r="H49" i="22"/>
  <c r="G49" i="22"/>
  <c r="F49" i="22"/>
  <c r="E49" i="22"/>
  <c r="D49" i="22"/>
  <c r="C49" i="22"/>
  <c r="AD48" i="22"/>
  <c r="AC48" i="22"/>
  <c r="AB48" i="22"/>
  <c r="AA48" i="22"/>
  <c r="Z48" i="22"/>
  <c r="Y48" i="22"/>
  <c r="X48" i="22"/>
  <c r="W48" i="22"/>
  <c r="V48" i="22"/>
  <c r="U48" i="22"/>
  <c r="T48" i="22"/>
  <c r="S48" i="22"/>
  <c r="R48" i="22"/>
  <c r="Q48" i="22"/>
  <c r="P48" i="22"/>
  <c r="O48" i="22"/>
  <c r="N48" i="22"/>
  <c r="M48" i="22"/>
  <c r="L48" i="22"/>
  <c r="K48" i="22"/>
  <c r="J48" i="22"/>
  <c r="I48" i="22"/>
  <c r="H48" i="22"/>
  <c r="G48" i="22"/>
  <c r="F48" i="22"/>
  <c r="E48" i="22"/>
  <c r="D48" i="22"/>
  <c r="C48" i="22"/>
  <c r="A48" i="22"/>
  <c r="AD47" i="22"/>
  <c r="AC47" i="22"/>
  <c r="AB47" i="22"/>
  <c r="AA47" i="22"/>
  <c r="Z47" i="22"/>
  <c r="Y47" i="22"/>
  <c r="X47" i="22"/>
  <c r="W47" i="22"/>
  <c r="V47" i="22"/>
  <c r="U47" i="22"/>
  <c r="T47" i="22"/>
  <c r="S47" i="22"/>
  <c r="R47" i="22"/>
  <c r="Q47" i="22"/>
  <c r="P47" i="22"/>
  <c r="O47" i="22"/>
  <c r="N47" i="22"/>
  <c r="M47" i="22"/>
  <c r="L47" i="22"/>
  <c r="K47" i="22"/>
  <c r="J47" i="22"/>
  <c r="I47" i="22"/>
  <c r="H47" i="22"/>
  <c r="G47" i="22"/>
  <c r="F47" i="22"/>
  <c r="E47" i="22"/>
  <c r="D47" i="22"/>
  <c r="C47" i="22"/>
  <c r="AD46" i="22"/>
  <c r="AC46" i="22"/>
  <c r="AB46" i="22"/>
  <c r="AA46" i="22"/>
  <c r="Z46" i="22"/>
  <c r="Y46" i="22"/>
  <c r="X46" i="22"/>
  <c r="W46" i="22"/>
  <c r="V46" i="22"/>
  <c r="U46" i="22"/>
  <c r="T46" i="22"/>
  <c r="S46" i="22"/>
  <c r="R46" i="22"/>
  <c r="Q46" i="22"/>
  <c r="P46" i="22"/>
  <c r="O46" i="22"/>
  <c r="N46" i="22"/>
  <c r="M46" i="22"/>
  <c r="L46" i="22"/>
  <c r="K46" i="22"/>
  <c r="J46" i="22"/>
  <c r="I46" i="22"/>
  <c r="H46" i="22"/>
  <c r="G46" i="22"/>
  <c r="F46" i="22"/>
  <c r="E46" i="22"/>
  <c r="D46" i="22"/>
  <c r="C46" i="22"/>
  <c r="A46" i="22"/>
  <c r="AD45" i="22"/>
  <c r="AC45" i="22"/>
  <c r="AB45" i="22"/>
  <c r="AA45" i="22"/>
  <c r="Z45" i="22"/>
  <c r="Y45" i="22"/>
  <c r="X45" i="22"/>
  <c r="W45" i="22"/>
  <c r="V45" i="22"/>
  <c r="U45" i="22"/>
  <c r="T45" i="22"/>
  <c r="S45" i="22"/>
  <c r="R45" i="22"/>
  <c r="Q45" i="22"/>
  <c r="P45" i="22"/>
  <c r="O45" i="22"/>
  <c r="N45" i="22"/>
  <c r="M45" i="22"/>
  <c r="L45" i="22"/>
  <c r="K45" i="22"/>
  <c r="J45" i="22"/>
  <c r="I45" i="22"/>
  <c r="H45" i="22"/>
  <c r="G45" i="22"/>
  <c r="F45" i="22"/>
  <c r="E45" i="22"/>
  <c r="D45" i="22"/>
  <c r="C45" i="22"/>
  <c r="AD44" i="22"/>
  <c r="AC44" i="22"/>
  <c r="AB44" i="22"/>
  <c r="AA44" i="22"/>
  <c r="Z44" i="22"/>
  <c r="Y44" i="22"/>
  <c r="X44" i="22"/>
  <c r="W44" i="22"/>
  <c r="V44" i="22"/>
  <c r="U44" i="22"/>
  <c r="T44" i="22"/>
  <c r="S44" i="22"/>
  <c r="R44" i="22"/>
  <c r="Q44" i="22"/>
  <c r="P44" i="22"/>
  <c r="O44" i="22"/>
  <c r="N44" i="22"/>
  <c r="M44" i="22"/>
  <c r="L44" i="22"/>
  <c r="K44" i="22"/>
  <c r="J44" i="22"/>
  <c r="I44" i="22"/>
  <c r="H44" i="22"/>
  <c r="G44" i="22"/>
  <c r="F44" i="22"/>
  <c r="E44" i="22"/>
  <c r="D44" i="22"/>
  <c r="C44" i="22"/>
  <c r="A44" i="22"/>
  <c r="AD43" i="22"/>
  <c r="AC43" i="22"/>
  <c r="AB43" i="22"/>
  <c r="AA43" i="22"/>
  <c r="Z43" i="22"/>
  <c r="Y43" i="22"/>
  <c r="X43" i="22"/>
  <c r="W43" i="22"/>
  <c r="V43" i="22"/>
  <c r="U43" i="22"/>
  <c r="T43" i="22"/>
  <c r="S43" i="22"/>
  <c r="R43" i="22"/>
  <c r="Q43" i="22"/>
  <c r="P43" i="22"/>
  <c r="O43" i="22"/>
  <c r="N43" i="22"/>
  <c r="M43" i="22"/>
  <c r="L43" i="22"/>
  <c r="K43" i="22"/>
  <c r="J43" i="22"/>
  <c r="I43" i="22"/>
  <c r="H43" i="22"/>
  <c r="G43" i="22"/>
  <c r="F43" i="22"/>
  <c r="E43" i="22"/>
  <c r="D43" i="22"/>
  <c r="C43" i="22"/>
  <c r="AD42" i="22"/>
  <c r="AC42" i="22"/>
  <c r="AB42" i="22"/>
  <c r="AA42" i="22"/>
  <c r="Z42" i="22"/>
  <c r="Y42" i="22"/>
  <c r="X42" i="22"/>
  <c r="W42" i="22"/>
  <c r="V42" i="22"/>
  <c r="U42" i="22"/>
  <c r="T42" i="22"/>
  <c r="S42" i="22"/>
  <c r="R42" i="22"/>
  <c r="Q42" i="22"/>
  <c r="P42" i="22"/>
  <c r="O42" i="22"/>
  <c r="N42" i="22"/>
  <c r="M42" i="22"/>
  <c r="L42" i="22"/>
  <c r="K42" i="22"/>
  <c r="J42" i="22"/>
  <c r="I42" i="22"/>
  <c r="H42" i="22"/>
  <c r="G42" i="22"/>
  <c r="F42" i="22"/>
  <c r="E42" i="22"/>
  <c r="D42" i="22"/>
  <c r="C42" i="22"/>
  <c r="A42" i="22"/>
  <c r="AD41" i="22"/>
  <c r="AC41" i="22"/>
  <c r="AB41" i="22"/>
  <c r="AA41" i="22"/>
  <c r="Z41" i="22"/>
  <c r="Y41" i="22"/>
  <c r="X41" i="22"/>
  <c r="W41" i="22"/>
  <c r="V41" i="22"/>
  <c r="U41" i="22"/>
  <c r="T41" i="22"/>
  <c r="S41" i="22"/>
  <c r="R41" i="22"/>
  <c r="Q41" i="22"/>
  <c r="P41" i="22"/>
  <c r="O41" i="22"/>
  <c r="N41" i="22"/>
  <c r="M41" i="22"/>
  <c r="L41" i="22"/>
  <c r="K41" i="22"/>
  <c r="J41" i="22"/>
  <c r="I41" i="22"/>
  <c r="H41" i="22"/>
  <c r="G41" i="22"/>
  <c r="F41" i="22"/>
  <c r="E41" i="22"/>
  <c r="D41" i="22"/>
  <c r="C41" i="22"/>
  <c r="AD40" i="22"/>
  <c r="AC40" i="22"/>
  <c r="AB40" i="22"/>
  <c r="AA40" i="22"/>
  <c r="Z40" i="22"/>
  <c r="Y40" i="22"/>
  <c r="X40" i="22"/>
  <c r="W40" i="22"/>
  <c r="V40" i="22"/>
  <c r="U40" i="22"/>
  <c r="T40" i="22"/>
  <c r="S40" i="22"/>
  <c r="R40" i="22"/>
  <c r="Q40" i="22"/>
  <c r="P40" i="22"/>
  <c r="O40" i="22"/>
  <c r="N40" i="22"/>
  <c r="M40" i="22"/>
  <c r="L40" i="22"/>
  <c r="K40" i="22"/>
  <c r="J40" i="22"/>
  <c r="I40" i="22"/>
  <c r="H40" i="22"/>
  <c r="G40" i="22"/>
  <c r="F40" i="22"/>
  <c r="E40" i="22"/>
  <c r="D40" i="22"/>
  <c r="C40" i="22"/>
  <c r="A40" i="22"/>
  <c r="AD39" i="22"/>
  <c r="AC39" i="22"/>
  <c r="AB39" i="22"/>
  <c r="AA39" i="22"/>
  <c r="Z39" i="22"/>
  <c r="Y39" i="22"/>
  <c r="X39" i="22"/>
  <c r="W39" i="22"/>
  <c r="V39" i="22"/>
  <c r="U39" i="22"/>
  <c r="T39" i="22"/>
  <c r="S39" i="22"/>
  <c r="R39" i="22"/>
  <c r="Q39" i="22"/>
  <c r="P39" i="22"/>
  <c r="O39" i="22"/>
  <c r="N39" i="22"/>
  <c r="M39" i="22"/>
  <c r="L39" i="22"/>
  <c r="K39" i="22"/>
  <c r="J39" i="22"/>
  <c r="I39" i="22"/>
  <c r="H39" i="22"/>
  <c r="G39" i="22"/>
  <c r="F39" i="22"/>
  <c r="E39" i="22"/>
  <c r="D39" i="22"/>
  <c r="C39" i="22"/>
  <c r="AE39" i="22" s="1"/>
  <c r="AG38" i="22"/>
  <c r="AD38" i="22"/>
  <c r="AC38" i="22"/>
  <c r="AB38" i="22"/>
  <c r="AA38" i="22"/>
  <c r="Z38" i="22"/>
  <c r="Y38" i="22"/>
  <c r="X38" i="22"/>
  <c r="W38" i="22"/>
  <c r="V38" i="22"/>
  <c r="U38" i="22"/>
  <c r="T38" i="22"/>
  <c r="S38" i="22"/>
  <c r="R38" i="22"/>
  <c r="Q38" i="22"/>
  <c r="P38" i="22"/>
  <c r="O38" i="22"/>
  <c r="N38" i="22"/>
  <c r="M38" i="22"/>
  <c r="L38" i="22"/>
  <c r="K38" i="22"/>
  <c r="J38" i="22"/>
  <c r="I38" i="22"/>
  <c r="H38" i="22"/>
  <c r="G38" i="22"/>
  <c r="F38" i="22"/>
  <c r="E38" i="22"/>
  <c r="D38" i="22"/>
  <c r="C38" i="22"/>
  <c r="U37" i="22"/>
  <c r="T37" i="22"/>
  <c r="S37" i="22"/>
  <c r="R37" i="22"/>
  <c r="Q37" i="22"/>
  <c r="P37" i="22"/>
  <c r="O37" i="22"/>
  <c r="L37" i="22"/>
  <c r="K37" i="22"/>
  <c r="H37" i="22"/>
  <c r="G37" i="22"/>
  <c r="D37" i="22"/>
  <c r="C37" i="22"/>
  <c r="AD34" i="22"/>
  <c r="AC34" i="22"/>
  <c r="AB34" i="22"/>
  <c r="AA34" i="22"/>
  <c r="Z34" i="22"/>
  <c r="Y34" i="22"/>
  <c r="X34" i="22"/>
  <c r="X52" i="22" s="1"/>
  <c r="W34" i="22"/>
  <c r="V34" i="22"/>
  <c r="U34" i="22"/>
  <c r="T34" i="22"/>
  <c r="S34" i="22"/>
  <c r="R34" i="22"/>
  <c r="Q34" i="22"/>
  <c r="P34" i="22"/>
  <c r="O34" i="22"/>
  <c r="N34" i="22"/>
  <c r="M34" i="22"/>
  <c r="L34" i="22"/>
  <c r="K34" i="22"/>
  <c r="J34" i="22"/>
  <c r="I34" i="22"/>
  <c r="H34" i="22"/>
  <c r="G34" i="22"/>
  <c r="F34" i="22"/>
  <c r="E34" i="22"/>
  <c r="D34" i="22"/>
  <c r="C34" i="22"/>
  <c r="AE33" i="22"/>
  <c r="A33" i="22"/>
  <c r="A51" i="22" s="1"/>
  <c r="AE32" i="22"/>
  <c r="AE31" i="22"/>
  <c r="A31" i="22"/>
  <c r="A49" i="22" s="1"/>
  <c r="AE30" i="22"/>
  <c r="A30" i="22"/>
  <c r="AE29" i="22"/>
  <c r="A29" i="22"/>
  <c r="A47" i="22" s="1"/>
  <c r="AE28" i="22"/>
  <c r="A28" i="22"/>
  <c r="AE27" i="22"/>
  <c r="A27" i="22"/>
  <c r="A45" i="22" s="1"/>
  <c r="AE26" i="22"/>
  <c r="A26" i="22"/>
  <c r="AE25" i="22"/>
  <c r="A25" i="22"/>
  <c r="A43" i="22" s="1"/>
  <c r="AE24" i="22"/>
  <c r="A24" i="22"/>
  <c r="AE23" i="22"/>
  <c r="A23" i="22"/>
  <c r="A41" i="22" s="1"/>
  <c r="AE22" i="22"/>
  <c r="A22" i="22"/>
  <c r="AE21" i="22"/>
  <c r="A21" i="22"/>
  <c r="A39" i="22" s="1"/>
  <c r="AE20" i="22"/>
  <c r="A20" i="22"/>
  <c r="A38" i="22" s="1"/>
  <c r="N19" i="22"/>
  <c r="N37" i="22" s="1"/>
  <c r="M19" i="22"/>
  <c r="M37" i="22" s="1"/>
  <c r="L19" i="22"/>
  <c r="K19" i="22"/>
  <c r="J19" i="22"/>
  <c r="J37" i="22" s="1"/>
  <c r="I19" i="22"/>
  <c r="I37" i="22" s="1"/>
  <c r="H19" i="22"/>
  <c r="G19" i="22"/>
  <c r="F19" i="22"/>
  <c r="F37" i="22" s="1"/>
  <c r="E19" i="22"/>
  <c r="E37" i="22" s="1"/>
  <c r="D19" i="22"/>
  <c r="C19" i="22"/>
  <c r="A19" i="22"/>
  <c r="A37" i="22" s="1"/>
  <c r="AC17" i="22"/>
  <c r="Z17" i="22"/>
  <c r="W17" i="22"/>
  <c r="V17" i="22"/>
  <c r="S17" i="22"/>
  <c r="R17" i="22"/>
  <c r="P17" i="22"/>
  <c r="O17" i="22"/>
  <c r="N17" i="22"/>
  <c r="M17" i="22"/>
  <c r="L17" i="22"/>
  <c r="K17" i="22"/>
  <c r="J17" i="22"/>
  <c r="I17" i="22"/>
  <c r="H17" i="22"/>
  <c r="G17" i="22"/>
  <c r="F17" i="22"/>
  <c r="E17" i="22"/>
  <c r="D17" i="22"/>
  <c r="C17" i="22"/>
  <c r="AE16" i="22"/>
  <c r="AE15" i="22"/>
  <c r="AE14" i="22"/>
  <c r="AE13" i="22"/>
  <c r="AE12" i="22"/>
  <c r="AE11" i="22"/>
  <c r="AE10" i="22"/>
  <c r="AE9" i="22"/>
  <c r="AE8" i="22"/>
  <c r="AE7" i="22"/>
  <c r="AE6" i="22"/>
  <c r="AE5" i="22"/>
  <c r="AE4" i="22"/>
  <c r="AE3" i="22"/>
  <c r="A49" i="21"/>
  <c r="A51" i="21"/>
  <c r="AE16" i="21"/>
  <c r="AE15" i="21"/>
  <c r="AE14" i="21"/>
  <c r="AE13" i="21"/>
  <c r="AE12" i="21"/>
  <c r="AE11" i="21"/>
  <c r="AE10" i="21"/>
  <c r="AE9" i="21"/>
  <c r="AE8" i="21"/>
  <c r="AE7" i="21"/>
  <c r="AE6" i="21"/>
  <c r="AE5" i="21"/>
  <c r="AE4" i="21"/>
  <c r="AE3" i="21"/>
  <c r="AE33" i="21"/>
  <c r="AE32" i="21"/>
  <c r="AE31" i="21"/>
  <c r="AE30" i="21"/>
  <c r="AE29" i="21"/>
  <c r="AE28" i="21"/>
  <c r="AE27" i="21"/>
  <c r="AE26" i="21"/>
  <c r="AE25" i="21"/>
  <c r="AE24" i="21"/>
  <c r="AE23" i="21"/>
  <c r="AE22" i="21"/>
  <c r="AE21" i="21"/>
  <c r="AE20" i="21"/>
  <c r="O59" i="21"/>
  <c r="L59" i="21"/>
  <c r="AD51" i="21"/>
  <c r="AC51" i="21"/>
  <c r="AB51" i="21"/>
  <c r="AA51" i="21"/>
  <c r="Z51" i="21"/>
  <c r="Y51" i="21"/>
  <c r="X51" i="21"/>
  <c r="W51" i="21"/>
  <c r="V51" i="21"/>
  <c r="U51" i="21"/>
  <c r="T51" i="21"/>
  <c r="S51" i="21"/>
  <c r="R51" i="21"/>
  <c r="Q51" i="21"/>
  <c r="P51" i="21"/>
  <c r="O51" i="21"/>
  <c r="N51" i="21"/>
  <c r="M51" i="21"/>
  <c r="L51" i="21"/>
  <c r="K51" i="21"/>
  <c r="J51" i="21"/>
  <c r="I51" i="21"/>
  <c r="H51" i="21"/>
  <c r="G51" i="21"/>
  <c r="F51" i="21"/>
  <c r="E51" i="21"/>
  <c r="D51" i="21"/>
  <c r="C51" i="21"/>
  <c r="AD50" i="21"/>
  <c r="AC50" i="21"/>
  <c r="AB50" i="21"/>
  <c r="AA50" i="21"/>
  <c r="Z50" i="21"/>
  <c r="Y50" i="21"/>
  <c r="X50" i="21"/>
  <c r="W50" i="21"/>
  <c r="V50" i="21"/>
  <c r="U50" i="21"/>
  <c r="T50" i="21"/>
  <c r="S50" i="21"/>
  <c r="R50" i="21"/>
  <c r="Q50" i="21"/>
  <c r="P50" i="21"/>
  <c r="O50" i="21"/>
  <c r="N50" i="21"/>
  <c r="M50" i="21"/>
  <c r="L50" i="21"/>
  <c r="K50" i="21"/>
  <c r="J50" i="21"/>
  <c r="I50" i="21"/>
  <c r="H50" i="21"/>
  <c r="G50" i="21"/>
  <c r="F50" i="21"/>
  <c r="E50" i="21"/>
  <c r="D50" i="21"/>
  <c r="C50" i="21"/>
  <c r="A50" i="21"/>
  <c r="AD49" i="21"/>
  <c r="AC49" i="21"/>
  <c r="AB49" i="21"/>
  <c r="AA49" i="21"/>
  <c r="Z49" i="21"/>
  <c r="Y49" i="21"/>
  <c r="X49" i="21"/>
  <c r="W49" i="21"/>
  <c r="V49" i="21"/>
  <c r="U49" i="21"/>
  <c r="T49" i="21"/>
  <c r="S49" i="21"/>
  <c r="R49" i="21"/>
  <c r="Q49" i="21"/>
  <c r="P49" i="21"/>
  <c r="O49" i="21"/>
  <c r="N49" i="21"/>
  <c r="M49" i="21"/>
  <c r="L49" i="21"/>
  <c r="K49" i="21"/>
  <c r="J49" i="21"/>
  <c r="I49" i="21"/>
  <c r="H49" i="21"/>
  <c r="G49" i="21"/>
  <c r="F49" i="21"/>
  <c r="E49" i="21"/>
  <c r="D49" i="21"/>
  <c r="C49" i="21"/>
  <c r="AD48" i="21"/>
  <c r="AC48" i="21"/>
  <c r="AB48" i="21"/>
  <c r="AA48" i="21"/>
  <c r="Z48" i="21"/>
  <c r="Y48" i="21"/>
  <c r="X48" i="21"/>
  <c r="W48" i="21"/>
  <c r="V48" i="21"/>
  <c r="U48" i="21"/>
  <c r="T48" i="21"/>
  <c r="S48" i="21"/>
  <c r="R48" i="21"/>
  <c r="Q48" i="21"/>
  <c r="P48" i="21"/>
  <c r="O48" i="21"/>
  <c r="N48" i="21"/>
  <c r="M48" i="21"/>
  <c r="L48" i="21"/>
  <c r="K48" i="21"/>
  <c r="J48" i="21"/>
  <c r="I48" i="21"/>
  <c r="H48" i="21"/>
  <c r="G48" i="21"/>
  <c r="F48" i="21"/>
  <c r="E48" i="21"/>
  <c r="D48" i="21"/>
  <c r="C48" i="21"/>
  <c r="AD47" i="21"/>
  <c r="AC47" i="21"/>
  <c r="AB47" i="21"/>
  <c r="AA47" i="21"/>
  <c r="Z47" i="21"/>
  <c r="Y47" i="21"/>
  <c r="X47" i="21"/>
  <c r="W47" i="21"/>
  <c r="V47" i="21"/>
  <c r="U47" i="21"/>
  <c r="T47" i="21"/>
  <c r="S47" i="21"/>
  <c r="R47" i="21"/>
  <c r="Q47" i="21"/>
  <c r="P47" i="21"/>
  <c r="O47" i="21"/>
  <c r="N47" i="21"/>
  <c r="M47" i="21"/>
  <c r="L47" i="21"/>
  <c r="K47" i="21"/>
  <c r="J47" i="21"/>
  <c r="I47" i="21"/>
  <c r="H47" i="21"/>
  <c r="G47" i="21"/>
  <c r="F47" i="21"/>
  <c r="E47" i="21"/>
  <c r="D47" i="21"/>
  <c r="C47" i="21"/>
  <c r="AD46" i="21"/>
  <c r="AC46" i="21"/>
  <c r="AB46" i="21"/>
  <c r="AA46" i="21"/>
  <c r="Z46" i="21"/>
  <c r="Y46" i="21"/>
  <c r="X46" i="21"/>
  <c r="W46" i="21"/>
  <c r="V46" i="21"/>
  <c r="U46" i="21"/>
  <c r="T46" i="21"/>
  <c r="S46" i="21"/>
  <c r="R46" i="21"/>
  <c r="Q46" i="21"/>
  <c r="P46" i="21"/>
  <c r="O46" i="21"/>
  <c r="N46" i="21"/>
  <c r="M46" i="21"/>
  <c r="L46" i="21"/>
  <c r="K46" i="21"/>
  <c r="J46" i="21"/>
  <c r="I46" i="21"/>
  <c r="H46" i="21"/>
  <c r="G46" i="21"/>
  <c r="F46" i="21"/>
  <c r="E46" i="21"/>
  <c r="D46" i="21"/>
  <c r="C46" i="21"/>
  <c r="AD45" i="21"/>
  <c r="AC45" i="21"/>
  <c r="AB45" i="21"/>
  <c r="AA45" i="21"/>
  <c r="Z45" i="21"/>
  <c r="Y45" i="21"/>
  <c r="X45" i="21"/>
  <c r="W45" i="21"/>
  <c r="V45" i="21"/>
  <c r="U45" i="21"/>
  <c r="T45" i="21"/>
  <c r="S45" i="21"/>
  <c r="R45" i="21"/>
  <c r="Q45" i="21"/>
  <c r="P45" i="21"/>
  <c r="O45" i="21"/>
  <c r="N45" i="21"/>
  <c r="M45" i="21"/>
  <c r="L45" i="21"/>
  <c r="K45" i="21"/>
  <c r="J45" i="21"/>
  <c r="I45" i="21"/>
  <c r="H45" i="21"/>
  <c r="G45" i="21"/>
  <c r="F45" i="21"/>
  <c r="E45" i="21"/>
  <c r="D45" i="21"/>
  <c r="C45" i="21"/>
  <c r="AD44" i="21"/>
  <c r="AC44" i="21"/>
  <c r="AB44" i="21"/>
  <c r="AA44" i="21"/>
  <c r="Z44" i="21"/>
  <c r="Y44" i="21"/>
  <c r="X44" i="21"/>
  <c r="W44" i="21"/>
  <c r="V44" i="21"/>
  <c r="U44" i="21"/>
  <c r="T44" i="21"/>
  <c r="S44" i="21"/>
  <c r="R44" i="21"/>
  <c r="Q44" i="21"/>
  <c r="P44" i="21"/>
  <c r="O44" i="21"/>
  <c r="N44" i="21"/>
  <c r="M44" i="21"/>
  <c r="L44" i="21"/>
  <c r="K44" i="21"/>
  <c r="J44" i="21"/>
  <c r="I44" i="21"/>
  <c r="H44" i="21"/>
  <c r="G44" i="21"/>
  <c r="F44" i="21"/>
  <c r="E44" i="21"/>
  <c r="D44" i="21"/>
  <c r="C44" i="21"/>
  <c r="AD43" i="21"/>
  <c r="AC43" i="21"/>
  <c r="AB43" i="21"/>
  <c r="AA43" i="21"/>
  <c r="Z43" i="21"/>
  <c r="Y43" i="21"/>
  <c r="X43" i="21"/>
  <c r="W43" i="21"/>
  <c r="V43" i="21"/>
  <c r="U43" i="21"/>
  <c r="T43" i="21"/>
  <c r="S43" i="21"/>
  <c r="R43" i="21"/>
  <c r="Q43" i="21"/>
  <c r="P43" i="21"/>
  <c r="O43" i="21"/>
  <c r="N43" i="21"/>
  <c r="M43" i="21"/>
  <c r="L43" i="21"/>
  <c r="K43" i="21"/>
  <c r="J43" i="21"/>
  <c r="I43" i="21"/>
  <c r="H43" i="21"/>
  <c r="G43" i="21"/>
  <c r="F43" i="21"/>
  <c r="E43" i="21"/>
  <c r="D43" i="21"/>
  <c r="C43" i="21"/>
  <c r="AD42" i="21"/>
  <c r="AC42" i="21"/>
  <c r="AB42" i="21"/>
  <c r="AA42" i="21"/>
  <c r="Z42" i="21"/>
  <c r="Y42" i="21"/>
  <c r="X42" i="21"/>
  <c r="W42" i="21"/>
  <c r="V42" i="21"/>
  <c r="U42" i="21"/>
  <c r="T42" i="21"/>
  <c r="S42" i="21"/>
  <c r="R42" i="21"/>
  <c r="Q42" i="21"/>
  <c r="P42" i="21"/>
  <c r="O42" i="21"/>
  <c r="N42" i="21"/>
  <c r="M42" i="21"/>
  <c r="L42" i="21"/>
  <c r="K42" i="21"/>
  <c r="J42" i="21"/>
  <c r="I42" i="21"/>
  <c r="H42" i="21"/>
  <c r="G42" i="21"/>
  <c r="F42" i="21"/>
  <c r="E42" i="21"/>
  <c r="D42" i="21"/>
  <c r="C42" i="21"/>
  <c r="AD41" i="21"/>
  <c r="AC41" i="21"/>
  <c r="AB41" i="21"/>
  <c r="AA41" i="21"/>
  <c r="Z41" i="21"/>
  <c r="Y41" i="21"/>
  <c r="X41" i="21"/>
  <c r="W41" i="21"/>
  <c r="V41" i="21"/>
  <c r="U41" i="21"/>
  <c r="T41" i="21"/>
  <c r="S41" i="21"/>
  <c r="R41" i="21"/>
  <c r="Q41" i="21"/>
  <c r="P41" i="21"/>
  <c r="O41" i="21"/>
  <c r="N41" i="21"/>
  <c r="M41" i="21"/>
  <c r="L41" i="21"/>
  <c r="K41" i="21"/>
  <c r="J41" i="21"/>
  <c r="I41" i="21"/>
  <c r="H41" i="21"/>
  <c r="G41" i="21"/>
  <c r="F41" i="21"/>
  <c r="E41" i="21"/>
  <c r="D41" i="21"/>
  <c r="C41" i="21"/>
  <c r="AD40" i="21"/>
  <c r="AC40" i="21"/>
  <c r="AB40" i="21"/>
  <c r="AA40" i="21"/>
  <c r="Z40" i="21"/>
  <c r="Y40" i="21"/>
  <c r="X40" i="21"/>
  <c r="W40" i="21"/>
  <c r="V40" i="21"/>
  <c r="U40" i="21"/>
  <c r="T40" i="21"/>
  <c r="S40" i="21"/>
  <c r="R40" i="21"/>
  <c r="Q40" i="21"/>
  <c r="P40" i="21"/>
  <c r="O40" i="21"/>
  <c r="N40" i="21"/>
  <c r="M40" i="21"/>
  <c r="L40" i="21"/>
  <c r="K40" i="21"/>
  <c r="J40" i="21"/>
  <c r="I40" i="21"/>
  <c r="H40" i="21"/>
  <c r="G40" i="21"/>
  <c r="F40" i="21"/>
  <c r="E40" i="21"/>
  <c r="D40" i="21"/>
  <c r="C40" i="21"/>
  <c r="AD39" i="21"/>
  <c r="AC39" i="21"/>
  <c r="AB39" i="21"/>
  <c r="AA39" i="21"/>
  <c r="Z39" i="21"/>
  <c r="Y39" i="21"/>
  <c r="X39" i="21"/>
  <c r="W39" i="21"/>
  <c r="V39" i="21"/>
  <c r="U39" i="21"/>
  <c r="T39" i="21"/>
  <c r="S39" i="21"/>
  <c r="R39" i="21"/>
  <c r="Q39" i="21"/>
  <c r="P39" i="21"/>
  <c r="O39" i="21"/>
  <c r="N39" i="21"/>
  <c r="M39" i="21"/>
  <c r="L39" i="21"/>
  <c r="K39" i="21"/>
  <c r="J39" i="21"/>
  <c r="I39" i="21"/>
  <c r="H39" i="21"/>
  <c r="G39" i="21"/>
  <c r="F39" i="21"/>
  <c r="E39" i="21"/>
  <c r="D39" i="21"/>
  <c r="C39" i="21"/>
  <c r="AG38" i="21"/>
  <c r="AD38" i="21"/>
  <c r="AC38" i="21"/>
  <c r="AB38" i="21"/>
  <c r="AA38" i="21"/>
  <c r="Z38" i="21"/>
  <c r="Y38" i="21"/>
  <c r="X38" i="21"/>
  <c r="W38" i="21"/>
  <c r="V38" i="21"/>
  <c r="U38" i="21"/>
  <c r="T38" i="21"/>
  <c r="S38" i="21"/>
  <c r="R38" i="21"/>
  <c r="Q38" i="21"/>
  <c r="P38" i="21"/>
  <c r="O38" i="21"/>
  <c r="N38" i="21"/>
  <c r="M38" i="21"/>
  <c r="L38" i="21"/>
  <c r="K38" i="21"/>
  <c r="J38" i="21"/>
  <c r="I38" i="21"/>
  <c r="H38" i="21"/>
  <c r="G38" i="21"/>
  <c r="F38" i="21"/>
  <c r="E38" i="21"/>
  <c r="D38" i="21"/>
  <c r="C38" i="21"/>
  <c r="U37" i="21"/>
  <c r="T37" i="21"/>
  <c r="S37" i="21"/>
  <c r="R37" i="21"/>
  <c r="Q37" i="21"/>
  <c r="P37" i="21"/>
  <c r="O37" i="21"/>
  <c r="AD34" i="21"/>
  <c r="AC34" i="21"/>
  <c r="AB34" i="21"/>
  <c r="AA34" i="21"/>
  <c r="Z34" i="21"/>
  <c r="Y34" i="21"/>
  <c r="X34" i="21"/>
  <c r="X52" i="21" s="1"/>
  <c r="W34" i="21"/>
  <c r="V34" i="21"/>
  <c r="U34" i="21"/>
  <c r="T34" i="21"/>
  <c r="S34" i="21"/>
  <c r="R34" i="21"/>
  <c r="Q34" i="21"/>
  <c r="P34" i="21"/>
  <c r="O34" i="21"/>
  <c r="N34" i="21"/>
  <c r="M34" i="21"/>
  <c r="L34" i="21"/>
  <c r="K34" i="21"/>
  <c r="J34" i="21"/>
  <c r="I34" i="21"/>
  <c r="H34" i="21"/>
  <c r="G34" i="21"/>
  <c r="F34" i="21"/>
  <c r="E34" i="21"/>
  <c r="D34" i="21"/>
  <c r="C34" i="21"/>
  <c r="A33" i="21"/>
  <c r="A31" i="21"/>
  <c r="A30" i="21"/>
  <c r="A48" i="21" s="1"/>
  <c r="A29" i="21"/>
  <c r="A47" i="21" s="1"/>
  <c r="A28" i="21"/>
  <c r="A46" i="21" s="1"/>
  <c r="A27" i="21"/>
  <c r="A45" i="21" s="1"/>
  <c r="A26" i="21"/>
  <c r="A44" i="21" s="1"/>
  <c r="A25" i="21"/>
  <c r="A43" i="21" s="1"/>
  <c r="A24" i="21"/>
  <c r="A42" i="21" s="1"/>
  <c r="A23" i="21"/>
  <c r="A41" i="21" s="1"/>
  <c r="A22" i="21"/>
  <c r="A40" i="21" s="1"/>
  <c r="A21" i="21"/>
  <c r="A39" i="21" s="1"/>
  <c r="A20" i="21"/>
  <c r="A38" i="21" s="1"/>
  <c r="N19" i="21"/>
  <c r="N37" i="21" s="1"/>
  <c r="M19" i="21"/>
  <c r="M37" i="21" s="1"/>
  <c r="L19" i="21"/>
  <c r="L37" i="21" s="1"/>
  <c r="K19" i="21"/>
  <c r="K37" i="21" s="1"/>
  <c r="J19" i="21"/>
  <c r="J37" i="21" s="1"/>
  <c r="I19" i="21"/>
  <c r="I37" i="21" s="1"/>
  <c r="H19" i="21"/>
  <c r="H37" i="21" s="1"/>
  <c r="G19" i="21"/>
  <c r="G37" i="21" s="1"/>
  <c r="F19" i="21"/>
  <c r="F37" i="21" s="1"/>
  <c r="E19" i="21"/>
  <c r="E37" i="21" s="1"/>
  <c r="D19" i="21"/>
  <c r="D37" i="21" s="1"/>
  <c r="C19" i="21"/>
  <c r="C37" i="21" s="1"/>
  <c r="A19" i="21"/>
  <c r="A37" i="21" s="1"/>
  <c r="AC17" i="21"/>
  <c r="Z17" i="21"/>
  <c r="W17" i="21"/>
  <c r="V17" i="21"/>
  <c r="S17" i="21"/>
  <c r="R17" i="21"/>
  <c r="P17" i="21"/>
  <c r="O17" i="21"/>
  <c r="N17" i="21"/>
  <c r="M17" i="21"/>
  <c r="L17" i="21"/>
  <c r="K17" i="21"/>
  <c r="J17" i="21"/>
  <c r="I17" i="21"/>
  <c r="H17" i="21"/>
  <c r="G17" i="21"/>
  <c r="F17" i="21"/>
  <c r="E17" i="21"/>
  <c r="D17" i="21"/>
  <c r="C17" i="21"/>
  <c r="R60" i="20"/>
  <c r="R59" i="20"/>
  <c r="O60" i="20"/>
  <c r="L60" i="20"/>
  <c r="F61" i="20"/>
  <c r="A51" i="20"/>
  <c r="AG51" i="20"/>
  <c r="AG50" i="20"/>
  <c r="AG49" i="20"/>
  <c r="AG48" i="20"/>
  <c r="AG47" i="20"/>
  <c r="AG46" i="20"/>
  <c r="AG45" i="20"/>
  <c r="AG44" i="20"/>
  <c r="AG43" i="20"/>
  <c r="AG42" i="20"/>
  <c r="AG41" i="20"/>
  <c r="AG40" i="20"/>
  <c r="AG39" i="20"/>
  <c r="AG38" i="20"/>
  <c r="C61" i="20"/>
  <c r="AD51" i="20"/>
  <c r="AC51" i="20"/>
  <c r="AB51" i="20"/>
  <c r="AA51" i="20"/>
  <c r="Z51" i="20"/>
  <c r="Y51" i="20"/>
  <c r="X51" i="20"/>
  <c r="W51" i="20"/>
  <c r="V51" i="20"/>
  <c r="U51" i="20"/>
  <c r="T51" i="20"/>
  <c r="S51" i="20"/>
  <c r="R51" i="20"/>
  <c r="Q51" i="20"/>
  <c r="P51" i="20"/>
  <c r="O51" i="20"/>
  <c r="N51" i="20"/>
  <c r="M51" i="20"/>
  <c r="L51" i="20"/>
  <c r="K51" i="20"/>
  <c r="J51" i="20"/>
  <c r="I51" i="20"/>
  <c r="H51" i="20"/>
  <c r="G51" i="20"/>
  <c r="F51" i="20"/>
  <c r="E51" i="20"/>
  <c r="D51" i="20"/>
  <c r="C51" i="20"/>
  <c r="AE51" i="20" s="1"/>
  <c r="AD50" i="20"/>
  <c r="AC50" i="20"/>
  <c r="AB50" i="20"/>
  <c r="AA50" i="20"/>
  <c r="Z50" i="20"/>
  <c r="Y50" i="20"/>
  <c r="X50" i="20"/>
  <c r="W50" i="20"/>
  <c r="V50" i="20"/>
  <c r="U50" i="20"/>
  <c r="T50" i="20"/>
  <c r="S50" i="20"/>
  <c r="R50" i="20"/>
  <c r="Q50" i="20"/>
  <c r="P50" i="20"/>
  <c r="O50" i="20"/>
  <c r="N50" i="20"/>
  <c r="M50" i="20"/>
  <c r="L50" i="20"/>
  <c r="K50" i="20"/>
  <c r="J50" i="20"/>
  <c r="I50" i="20"/>
  <c r="H50" i="20"/>
  <c r="G50" i="20"/>
  <c r="F50" i="20"/>
  <c r="E50" i="20"/>
  <c r="D50" i="20"/>
  <c r="C50" i="20"/>
  <c r="AE50" i="20" s="1"/>
  <c r="A50" i="20"/>
  <c r="AD49" i="20"/>
  <c r="AC49" i="20"/>
  <c r="AB49" i="20"/>
  <c r="AA49" i="20"/>
  <c r="Z49" i="20"/>
  <c r="Y49" i="20"/>
  <c r="X49" i="20"/>
  <c r="W49" i="20"/>
  <c r="V49" i="20"/>
  <c r="U49" i="20"/>
  <c r="T49" i="20"/>
  <c r="S49" i="20"/>
  <c r="R49" i="20"/>
  <c r="Q49" i="20"/>
  <c r="P49" i="20"/>
  <c r="O49" i="20"/>
  <c r="N49" i="20"/>
  <c r="M49" i="20"/>
  <c r="L49" i="20"/>
  <c r="K49" i="20"/>
  <c r="J49" i="20"/>
  <c r="I49" i="20"/>
  <c r="H49" i="20"/>
  <c r="G49" i="20"/>
  <c r="F49" i="20"/>
  <c r="E49" i="20"/>
  <c r="D49" i="20"/>
  <c r="C49" i="20"/>
  <c r="AE49" i="20" s="1"/>
  <c r="AD48" i="20"/>
  <c r="AC48" i="20"/>
  <c r="AB48" i="20"/>
  <c r="AA48" i="20"/>
  <c r="Z48" i="20"/>
  <c r="Y48" i="20"/>
  <c r="X48" i="20"/>
  <c r="W48" i="20"/>
  <c r="V48" i="20"/>
  <c r="U48" i="20"/>
  <c r="T48" i="20"/>
  <c r="S48" i="20"/>
  <c r="R48" i="20"/>
  <c r="Q48" i="20"/>
  <c r="P48" i="20"/>
  <c r="O48" i="20"/>
  <c r="N48" i="20"/>
  <c r="M48" i="20"/>
  <c r="L48" i="20"/>
  <c r="K48" i="20"/>
  <c r="J48" i="20"/>
  <c r="I48" i="20"/>
  <c r="H48" i="20"/>
  <c r="G48" i="20"/>
  <c r="F48" i="20"/>
  <c r="E48" i="20"/>
  <c r="D48" i="20"/>
  <c r="C48" i="20"/>
  <c r="AE48" i="20" s="1"/>
  <c r="AD47" i="20"/>
  <c r="AC47" i="20"/>
  <c r="AB47" i="20"/>
  <c r="AA47" i="20"/>
  <c r="Z47" i="20"/>
  <c r="Y47" i="20"/>
  <c r="X47" i="20"/>
  <c r="W47" i="20"/>
  <c r="V47" i="20"/>
  <c r="U47" i="20"/>
  <c r="T47" i="20"/>
  <c r="S47" i="20"/>
  <c r="R47" i="20"/>
  <c r="Q47" i="20"/>
  <c r="P47" i="20"/>
  <c r="O47" i="20"/>
  <c r="N47" i="20"/>
  <c r="M47" i="20"/>
  <c r="L47" i="20"/>
  <c r="K47" i="20"/>
  <c r="J47" i="20"/>
  <c r="I47" i="20"/>
  <c r="H47" i="20"/>
  <c r="G47" i="20"/>
  <c r="F47" i="20"/>
  <c r="E47" i="20"/>
  <c r="D47" i="20"/>
  <c r="C47" i="20"/>
  <c r="AE47" i="20" s="1"/>
  <c r="A47" i="20"/>
  <c r="AD46" i="20"/>
  <c r="AC46" i="20"/>
  <c r="AB46" i="20"/>
  <c r="AA46" i="20"/>
  <c r="Z46" i="20"/>
  <c r="Y46" i="20"/>
  <c r="X46" i="20"/>
  <c r="W46" i="20"/>
  <c r="V46" i="20"/>
  <c r="U46" i="20"/>
  <c r="T46" i="20"/>
  <c r="S46" i="20"/>
  <c r="R46" i="20"/>
  <c r="Q46" i="20"/>
  <c r="P46" i="20"/>
  <c r="O46" i="20"/>
  <c r="N46" i="20"/>
  <c r="M46" i="20"/>
  <c r="L46" i="20"/>
  <c r="K46" i="20"/>
  <c r="J46" i="20"/>
  <c r="I46" i="20"/>
  <c r="H46" i="20"/>
  <c r="G46" i="20"/>
  <c r="F46" i="20"/>
  <c r="E46" i="20"/>
  <c r="D46" i="20"/>
  <c r="C46" i="20"/>
  <c r="AE46" i="20" s="1"/>
  <c r="AD45" i="20"/>
  <c r="AC45" i="20"/>
  <c r="AB45" i="20"/>
  <c r="AA45" i="20"/>
  <c r="Z45" i="20"/>
  <c r="Y45" i="20"/>
  <c r="X45" i="20"/>
  <c r="W45" i="20"/>
  <c r="V45" i="20"/>
  <c r="U45" i="20"/>
  <c r="T45" i="20"/>
  <c r="S45" i="20"/>
  <c r="R45" i="20"/>
  <c r="Q45" i="20"/>
  <c r="P45" i="20"/>
  <c r="O45" i="20"/>
  <c r="N45" i="20"/>
  <c r="M45" i="20"/>
  <c r="L45" i="20"/>
  <c r="K45" i="20"/>
  <c r="J45" i="20"/>
  <c r="I45" i="20"/>
  <c r="H45" i="20"/>
  <c r="G45" i="20"/>
  <c r="F45" i="20"/>
  <c r="E45" i="20"/>
  <c r="D45" i="20"/>
  <c r="C45" i="20"/>
  <c r="AE45" i="20" s="1"/>
  <c r="AD44" i="20"/>
  <c r="AC44" i="20"/>
  <c r="AB44" i="20"/>
  <c r="AA44" i="20"/>
  <c r="Z44" i="20"/>
  <c r="Y44" i="20"/>
  <c r="X44" i="20"/>
  <c r="W44" i="20"/>
  <c r="V44" i="20"/>
  <c r="U44" i="20"/>
  <c r="T44" i="20"/>
  <c r="S44" i="20"/>
  <c r="R44" i="20"/>
  <c r="Q44" i="20"/>
  <c r="P44" i="20"/>
  <c r="O44" i="20"/>
  <c r="N44" i="20"/>
  <c r="M44" i="20"/>
  <c r="L44" i="20"/>
  <c r="K44" i="20"/>
  <c r="J44" i="20"/>
  <c r="I44" i="20"/>
  <c r="H44" i="20"/>
  <c r="G44" i="20"/>
  <c r="F44" i="20"/>
  <c r="E44" i="20"/>
  <c r="D44" i="20"/>
  <c r="C44" i="20"/>
  <c r="AE44" i="20" s="1"/>
  <c r="AD43" i="20"/>
  <c r="AC43" i="20"/>
  <c r="AB43" i="20"/>
  <c r="AA43" i="20"/>
  <c r="Z43" i="20"/>
  <c r="Y43" i="20"/>
  <c r="X43" i="20"/>
  <c r="W43" i="20"/>
  <c r="V43" i="20"/>
  <c r="U43" i="20"/>
  <c r="T43" i="20"/>
  <c r="S43" i="20"/>
  <c r="R43" i="20"/>
  <c r="Q43" i="20"/>
  <c r="P43" i="20"/>
  <c r="O43" i="20"/>
  <c r="N43" i="20"/>
  <c r="M43" i="20"/>
  <c r="L43" i="20"/>
  <c r="K43" i="20"/>
  <c r="J43" i="20"/>
  <c r="I43" i="20"/>
  <c r="H43" i="20"/>
  <c r="G43" i="20"/>
  <c r="F43" i="20"/>
  <c r="E43" i="20"/>
  <c r="D43" i="20"/>
  <c r="C43" i="20"/>
  <c r="AE43" i="20" s="1"/>
  <c r="A43" i="20"/>
  <c r="AD42" i="20"/>
  <c r="AC42" i="20"/>
  <c r="AC52" i="20" s="1"/>
  <c r="AB42" i="20"/>
  <c r="AA42" i="20"/>
  <c r="Z42" i="20"/>
  <c r="Y42" i="20"/>
  <c r="Y52" i="20" s="1"/>
  <c r="X42" i="20"/>
  <c r="W42" i="20"/>
  <c r="V42" i="20"/>
  <c r="U42" i="20"/>
  <c r="U52" i="20" s="1"/>
  <c r="T42" i="20"/>
  <c r="S42" i="20"/>
  <c r="R42" i="20"/>
  <c r="Q42" i="20"/>
  <c r="Q52" i="20" s="1"/>
  <c r="P42" i="20"/>
  <c r="O42" i="20"/>
  <c r="N42" i="20"/>
  <c r="M42" i="20"/>
  <c r="M52" i="20" s="1"/>
  <c r="L42" i="20"/>
  <c r="K42" i="20"/>
  <c r="J42" i="20"/>
  <c r="I42" i="20"/>
  <c r="I52" i="20" s="1"/>
  <c r="H42" i="20"/>
  <c r="G42" i="20"/>
  <c r="F42" i="20"/>
  <c r="E42" i="20"/>
  <c r="E52" i="20" s="1"/>
  <c r="D42" i="20"/>
  <c r="C42" i="20"/>
  <c r="AE42" i="20" s="1"/>
  <c r="AD41" i="20"/>
  <c r="AC41" i="20"/>
  <c r="AB41" i="20"/>
  <c r="AA41" i="20"/>
  <c r="Z41" i="20"/>
  <c r="Y41" i="20"/>
  <c r="X41" i="20"/>
  <c r="W41" i="20"/>
  <c r="V41" i="20"/>
  <c r="U41" i="20"/>
  <c r="T41" i="20"/>
  <c r="S41" i="20"/>
  <c r="R41" i="20"/>
  <c r="Q41" i="20"/>
  <c r="P41" i="20"/>
  <c r="O41" i="20"/>
  <c r="N41" i="20"/>
  <c r="M41" i="20"/>
  <c r="L41" i="20"/>
  <c r="K41" i="20"/>
  <c r="J41" i="20"/>
  <c r="I41" i="20"/>
  <c r="H41" i="20"/>
  <c r="G41" i="20"/>
  <c r="F41" i="20"/>
  <c r="E41" i="20"/>
  <c r="D41" i="20"/>
  <c r="C41" i="20"/>
  <c r="AE41" i="20" s="1"/>
  <c r="AD40" i="20"/>
  <c r="AC40" i="20"/>
  <c r="AB40" i="20"/>
  <c r="AA40" i="20"/>
  <c r="Z40" i="20"/>
  <c r="Y40" i="20"/>
  <c r="X40" i="20"/>
  <c r="W40" i="20"/>
  <c r="V40" i="20"/>
  <c r="U40" i="20"/>
  <c r="T40" i="20"/>
  <c r="S40" i="20"/>
  <c r="R40" i="20"/>
  <c r="Q40" i="20"/>
  <c r="P40" i="20"/>
  <c r="O40" i="20"/>
  <c r="N40" i="20"/>
  <c r="M40" i="20"/>
  <c r="L40" i="20"/>
  <c r="K40" i="20"/>
  <c r="J40" i="20"/>
  <c r="I40" i="20"/>
  <c r="H40" i="20"/>
  <c r="G40" i="20"/>
  <c r="F40" i="20"/>
  <c r="E40" i="20"/>
  <c r="D40" i="20"/>
  <c r="C40" i="20"/>
  <c r="AE40" i="20" s="1"/>
  <c r="AD39" i="20"/>
  <c r="AC39" i="20"/>
  <c r="AB39" i="20"/>
  <c r="AA39" i="20"/>
  <c r="Z39" i="20"/>
  <c r="Y39" i="20"/>
  <c r="X39" i="20"/>
  <c r="W39" i="20"/>
  <c r="V39" i="20"/>
  <c r="U39" i="20"/>
  <c r="T39" i="20"/>
  <c r="S39" i="20"/>
  <c r="R39" i="20"/>
  <c r="Q39" i="20"/>
  <c r="P39" i="20"/>
  <c r="O39" i="20"/>
  <c r="N39" i="20"/>
  <c r="M39" i="20"/>
  <c r="L39" i="20"/>
  <c r="K39" i="20"/>
  <c r="J39" i="20"/>
  <c r="I39" i="20"/>
  <c r="H39" i="20"/>
  <c r="G39" i="20"/>
  <c r="F39" i="20"/>
  <c r="E39" i="20"/>
  <c r="D39" i="20"/>
  <c r="C39" i="20"/>
  <c r="AE39" i="20" s="1"/>
  <c r="A39" i="20"/>
  <c r="AD38" i="20"/>
  <c r="AD52" i="20" s="1"/>
  <c r="AC38" i="20"/>
  <c r="AB38" i="20"/>
  <c r="AB52" i="20" s="1"/>
  <c r="AA38" i="20"/>
  <c r="AA52" i="20" s="1"/>
  <c r="Z38" i="20"/>
  <c r="Z52" i="20" s="1"/>
  <c r="Y38" i="20"/>
  <c r="X38" i="20"/>
  <c r="W38" i="20"/>
  <c r="W52" i="20" s="1"/>
  <c r="V38" i="20"/>
  <c r="V52" i="20" s="1"/>
  <c r="U38" i="20"/>
  <c r="T38" i="20"/>
  <c r="T52" i="20" s="1"/>
  <c r="S38" i="20"/>
  <c r="S52" i="20" s="1"/>
  <c r="R38" i="20"/>
  <c r="R52" i="20" s="1"/>
  <c r="Q38" i="20"/>
  <c r="P38" i="20"/>
  <c r="P52" i="20" s="1"/>
  <c r="O38" i="20"/>
  <c r="O52" i="20" s="1"/>
  <c r="N38" i="20"/>
  <c r="N52" i="20" s="1"/>
  <c r="M38" i="20"/>
  <c r="L38" i="20"/>
  <c r="L52" i="20" s="1"/>
  <c r="K38" i="20"/>
  <c r="K52" i="20" s="1"/>
  <c r="J38" i="20"/>
  <c r="J52" i="20" s="1"/>
  <c r="I38" i="20"/>
  <c r="H38" i="20"/>
  <c r="H52" i="20" s="1"/>
  <c r="G38" i="20"/>
  <c r="G52" i="20" s="1"/>
  <c r="F38" i="20"/>
  <c r="F52" i="20" s="1"/>
  <c r="E38" i="20"/>
  <c r="D38" i="20"/>
  <c r="D52" i="20" s="1"/>
  <c r="C38" i="20"/>
  <c r="AE38" i="20" s="1"/>
  <c r="A38" i="20"/>
  <c r="U37" i="20"/>
  <c r="T37" i="20"/>
  <c r="S37" i="20"/>
  <c r="R37" i="20"/>
  <c r="Q37" i="20"/>
  <c r="P37" i="20"/>
  <c r="O37" i="20"/>
  <c r="N37" i="20"/>
  <c r="K37" i="20"/>
  <c r="J37" i="20"/>
  <c r="G37" i="20"/>
  <c r="F37" i="20"/>
  <c r="C37" i="20"/>
  <c r="A37" i="20"/>
  <c r="AD34" i="20"/>
  <c r="AC34" i="20"/>
  <c r="AB34" i="20"/>
  <c r="AA34" i="20"/>
  <c r="Z34" i="20"/>
  <c r="Y34" i="20"/>
  <c r="X34" i="20"/>
  <c r="X52" i="20" s="1"/>
  <c r="W34" i="20"/>
  <c r="V34" i="20"/>
  <c r="S34" i="20"/>
  <c r="R34" i="20"/>
  <c r="P34" i="20"/>
  <c r="O34" i="20"/>
  <c r="N34" i="20"/>
  <c r="M34" i="20"/>
  <c r="L34" i="20"/>
  <c r="K34" i="20"/>
  <c r="J34" i="20"/>
  <c r="I34" i="20"/>
  <c r="H34" i="20"/>
  <c r="G34" i="20"/>
  <c r="F34" i="20"/>
  <c r="E34" i="20"/>
  <c r="D34" i="20"/>
  <c r="C34" i="20"/>
  <c r="AE33" i="20"/>
  <c r="A33" i="20"/>
  <c r="AE31" i="20"/>
  <c r="A31" i="20"/>
  <c r="A49" i="20" s="1"/>
  <c r="AE30" i="20"/>
  <c r="A30" i="20"/>
  <c r="A48" i="20" s="1"/>
  <c r="AE29" i="20"/>
  <c r="A29" i="20"/>
  <c r="AE28" i="20"/>
  <c r="A28" i="20"/>
  <c r="A46" i="20" s="1"/>
  <c r="A27" i="20"/>
  <c r="A45" i="20" s="1"/>
  <c r="AE26" i="20"/>
  <c r="A26" i="20"/>
  <c r="A44" i="20" s="1"/>
  <c r="AE25" i="20"/>
  <c r="A25" i="20"/>
  <c r="AE24" i="20"/>
  <c r="A24" i="20"/>
  <c r="A42" i="20" s="1"/>
  <c r="AE23" i="20"/>
  <c r="A23" i="20"/>
  <c r="A41" i="20" s="1"/>
  <c r="AE22" i="20"/>
  <c r="A22" i="20"/>
  <c r="A40" i="20" s="1"/>
  <c r="AE21" i="20"/>
  <c r="AE34" i="20" s="1"/>
  <c r="C58" i="20" s="1"/>
  <c r="A21" i="20"/>
  <c r="A20" i="20"/>
  <c r="N19" i="20"/>
  <c r="M19" i="20"/>
  <c r="M37" i="20" s="1"/>
  <c r="L19" i="20"/>
  <c r="L37" i="20" s="1"/>
  <c r="K19" i="20"/>
  <c r="J19" i="20"/>
  <c r="I19" i="20"/>
  <c r="I37" i="20" s="1"/>
  <c r="H19" i="20"/>
  <c r="H37" i="20" s="1"/>
  <c r="G19" i="20"/>
  <c r="F19" i="20"/>
  <c r="E19" i="20"/>
  <c r="E37" i="20" s="1"/>
  <c r="D19" i="20"/>
  <c r="D37" i="20" s="1"/>
  <c r="C19" i="20"/>
  <c r="A19" i="20"/>
  <c r="AC17" i="20"/>
  <c r="Z17" i="20"/>
  <c r="W17" i="20"/>
  <c r="V17" i="20"/>
  <c r="S17" i="20"/>
  <c r="R17" i="20"/>
  <c r="P17" i="20"/>
  <c r="O17" i="20"/>
  <c r="N17" i="20"/>
  <c r="M17" i="20"/>
  <c r="L17" i="20"/>
  <c r="K17" i="20"/>
  <c r="J17" i="20"/>
  <c r="I17" i="20"/>
  <c r="H17" i="20"/>
  <c r="G17" i="20"/>
  <c r="F17" i="20"/>
  <c r="E17" i="20"/>
  <c r="D17" i="20"/>
  <c r="C17" i="20"/>
  <c r="AE16" i="20"/>
  <c r="AE14" i="20"/>
  <c r="AE13" i="20"/>
  <c r="AE12" i="20"/>
  <c r="AE11" i="20"/>
  <c r="AE10" i="20"/>
  <c r="AE8" i="20"/>
  <c r="AE7" i="20"/>
  <c r="AE17" i="20" s="1"/>
  <c r="C56" i="20" s="1"/>
  <c r="AE6" i="20"/>
  <c r="AE5" i="20"/>
  <c r="AE3" i="20"/>
  <c r="R59" i="23" l="1"/>
  <c r="X52" i="23"/>
  <c r="AE34" i="23"/>
  <c r="C59" i="23" s="1"/>
  <c r="V52" i="23"/>
  <c r="D52" i="23"/>
  <c r="L52" i="23"/>
  <c r="T52" i="23"/>
  <c r="AE45" i="23"/>
  <c r="S52" i="23"/>
  <c r="W52" i="23"/>
  <c r="AA52" i="23"/>
  <c r="P52" i="23"/>
  <c r="AB52" i="23"/>
  <c r="AE50" i="23"/>
  <c r="AE44" i="23"/>
  <c r="C52" i="23"/>
  <c r="AD52" i="23"/>
  <c r="Z52" i="23"/>
  <c r="R52" i="23"/>
  <c r="O52" i="23"/>
  <c r="N52" i="23"/>
  <c r="M52" i="23"/>
  <c r="AE41" i="23"/>
  <c r="J52" i="23"/>
  <c r="AE40" i="23"/>
  <c r="K52" i="23"/>
  <c r="H52" i="23"/>
  <c r="G52" i="23"/>
  <c r="AE46" i="23"/>
  <c r="AE49" i="23"/>
  <c r="AE48" i="23"/>
  <c r="AE47" i="23"/>
  <c r="AE17" i="23"/>
  <c r="C57" i="23" s="1"/>
  <c r="F52" i="23"/>
  <c r="AE43" i="23"/>
  <c r="AE38" i="23"/>
  <c r="R59" i="22"/>
  <c r="D52" i="22"/>
  <c r="H52" i="22"/>
  <c r="L52" i="22"/>
  <c r="P52" i="22"/>
  <c r="T52" i="22"/>
  <c r="AB52" i="22"/>
  <c r="AE46" i="22"/>
  <c r="AE34" i="22"/>
  <c r="C59" i="22" s="1"/>
  <c r="AE47" i="22"/>
  <c r="E52" i="22"/>
  <c r="I52" i="22"/>
  <c r="M52" i="22"/>
  <c r="Q52" i="22"/>
  <c r="U52" i="22"/>
  <c r="Y52" i="22"/>
  <c r="AC52" i="22"/>
  <c r="AE40" i="22"/>
  <c r="C52" i="22"/>
  <c r="G52" i="22"/>
  <c r="O52" i="22"/>
  <c r="S52" i="22"/>
  <c r="AA52" i="22"/>
  <c r="AE48" i="22"/>
  <c r="AE49" i="22"/>
  <c r="AE17" i="22"/>
  <c r="C57" i="22" s="1"/>
  <c r="F52" i="22"/>
  <c r="J52" i="22"/>
  <c r="N52" i="22"/>
  <c r="R52" i="22"/>
  <c r="V52" i="22"/>
  <c r="Z52" i="22"/>
  <c r="AD52" i="22"/>
  <c r="O60" i="22" s="1"/>
  <c r="AE42" i="22"/>
  <c r="AE43" i="22"/>
  <c r="AE50" i="22"/>
  <c r="AE51" i="22"/>
  <c r="K52" i="22"/>
  <c r="W52" i="22"/>
  <c r="AE38" i="22"/>
  <c r="AE44" i="22"/>
  <c r="AE45" i="22"/>
  <c r="AE41" i="22"/>
  <c r="R59" i="21"/>
  <c r="AE43" i="21"/>
  <c r="AE44" i="21"/>
  <c r="AE45" i="21"/>
  <c r="AE46" i="21"/>
  <c r="AE47" i="21"/>
  <c r="AE48" i="21"/>
  <c r="AE49" i="21"/>
  <c r="AE34" i="21"/>
  <c r="C59" i="21" s="1"/>
  <c r="AE50" i="21"/>
  <c r="AE51" i="21"/>
  <c r="F52" i="21"/>
  <c r="J52" i="21"/>
  <c r="N52" i="21"/>
  <c r="R52" i="21"/>
  <c r="V52" i="21"/>
  <c r="Z52" i="21"/>
  <c r="AD52" i="21"/>
  <c r="AC52" i="21"/>
  <c r="AE17" i="21"/>
  <c r="C57" i="21" s="1"/>
  <c r="C52" i="21"/>
  <c r="G52" i="21"/>
  <c r="K52" i="21"/>
  <c r="O52" i="21"/>
  <c r="S52" i="21"/>
  <c r="W52" i="21"/>
  <c r="AA52" i="21"/>
  <c r="E52" i="21"/>
  <c r="I52" i="21"/>
  <c r="M52" i="21"/>
  <c r="Q52" i="21"/>
  <c r="U52" i="21"/>
  <c r="Y52" i="21"/>
  <c r="D52" i="21"/>
  <c r="H52" i="21"/>
  <c r="L52" i="21"/>
  <c r="P52" i="21"/>
  <c r="T52" i="21"/>
  <c r="AB52" i="21"/>
  <c r="AE39" i="21"/>
  <c r="AE40" i="21"/>
  <c r="AE41" i="21"/>
  <c r="AE42" i="21"/>
  <c r="N55" i="21"/>
  <c r="L60" i="21" s="1"/>
  <c r="AE38" i="21"/>
  <c r="AF40" i="20"/>
  <c r="L53" i="20"/>
  <c r="J53" i="20"/>
  <c r="Z53" i="20"/>
  <c r="AF43" i="20"/>
  <c r="AF45" i="20"/>
  <c r="H53" i="20"/>
  <c r="AF51" i="20"/>
  <c r="AE52" i="20"/>
  <c r="X53" i="20" s="1"/>
  <c r="AF38" i="20"/>
  <c r="K53" i="20"/>
  <c r="O53" i="20"/>
  <c r="S53" i="20"/>
  <c r="W53" i="20"/>
  <c r="AA53" i="20"/>
  <c r="E53" i="20"/>
  <c r="I53" i="20"/>
  <c r="M53" i="20"/>
  <c r="Q53" i="20"/>
  <c r="U53" i="20"/>
  <c r="Y53" i="20"/>
  <c r="AC53" i="20"/>
  <c r="AF47" i="20"/>
  <c r="AF48" i="20"/>
  <c r="AF49" i="20"/>
  <c r="C52" i="20"/>
  <c r="C53" i="20" s="1"/>
  <c r="AG51" i="19"/>
  <c r="AG50" i="19"/>
  <c r="AG49" i="19"/>
  <c r="AG48" i="19"/>
  <c r="AG47" i="19"/>
  <c r="AG46" i="19"/>
  <c r="AG45" i="19"/>
  <c r="AG44" i="19"/>
  <c r="AG43" i="19"/>
  <c r="AG38" i="19"/>
  <c r="AG39" i="19"/>
  <c r="AG40" i="19"/>
  <c r="AG41" i="19"/>
  <c r="AG42" i="19"/>
  <c r="C59" i="19"/>
  <c r="AD51" i="19"/>
  <c r="AC51" i="19"/>
  <c r="AB51" i="19"/>
  <c r="AA51" i="19"/>
  <c r="Z51" i="19"/>
  <c r="Y51" i="19"/>
  <c r="X51" i="19"/>
  <c r="W51" i="19"/>
  <c r="V51" i="19"/>
  <c r="U51" i="19"/>
  <c r="T51" i="19"/>
  <c r="S51" i="19"/>
  <c r="R51" i="19"/>
  <c r="Q51" i="19"/>
  <c r="P51" i="19"/>
  <c r="O51" i="19"/>
  <c r="N51" i="19"/>
  <c r="M51" i="19"/>
  <c r="L51" i="19"/>
  <c r="K51" i="19"/>
  <c r="J51" i="19"/>
  <c r="I51" i="19"/>
  <c r="H51" i="19"/>
  <c r="G51" i="19"/>
  <c r="F51" i="19"/>
  <c r="E51" i="19"/>
  <c r="D51" i="19"/>
  <c r="C51" i="19"/>
  <c r="AD50" i="19"/>
  <c r="AC50" i="19"/>
  <c r="AB50" i="19"/>
  <c r="AA50" i="19"/>
  <c r="Z50" i="19"/>
  <c r="Y50" i="19"/>
  <c r="X50" i="19"/>
  <c r="W50" i="19"/>
  <c r="V50" i="19"/>
  <c r="U50" i="19"/>
  <c r="T50" i="19"/>
  <c r="S50" i="19"/>
  <c r="R50" i="19"/>
  <c r="Q50" i="19"/>
  <c r="P50" i="19"/>
  <c r="O50" i="19"/>
  <c r="N50" i="19"/>
  <c r="M50" i="19"/>
  <c r="L50" i="19"/>
  <c r="K50" i="19"/>
  <c r="J50" i="19"/>
  <c r="I50" i="19"/>
  <c r="H50" i="19"/>
  <c r="G50" i="19"/>
  <c r="F50" i="19"/>
  <c r="E50" i="19"/>
  <c r="D50" i="19"/>
  <c r="C50" i="19"/>
  <c r="A50" i="19"/>
  <c r="AD49" i="19"/>
  <c r="AC49" i="19"/>
  <c r="AB49" i="19"/>
  <c r="AA49" i="19"/>
  <c r="Z49" i="19"/>
  <c r="Y49" i="19"/>
  <c r="X49" i="19"/>
  <c r="W49" i="19"/>
  <c r="V49" i="19"/>
  <c r="U49" i="19"/>
  <c r="T49" i="19"/>
  <c r="S49" i="19"/>
  <c r="R49" i="19"/>
  <c r="Q49" i="19"/>
  <c r="P49" i="19"/>
  <c r="O49" i="19"/>
  <c r="N49" i="19"/>
  <c r="M49" i="19"/>
  <c r="L49" i="19"/>
  <c r="K49" i="19"/>
  <c r="J49" i="19"/>
  <c r="I49" i="19"/>
  <c r="H49" i="19"/>
  <c r="G49" i="19"/>
  <c r="F49" i="19"/>
  <c r="E49" i="19"/>
  <c r="D49" i="19"/>
  <c r="C49" i="19"/>
  <c r="AD48" i="19"/>
  <c r="AC48" i="19"/>
  <c r="AB48" i="19"/>
  <c r="AA48" i="19"/>
  <c r="Z48" i="19"/>
  <c r="Y48" i="19"/>
  <c r="X48" i="19"/>
  <c r="W48" i="19"/>
  <c r="V48" i="19"/>
  <c r="U48" i="19"/>
  <c r="T48" i="19"/>
  <c r="S48" i="19"/>
  <c r="R48" i="19"/>
  <c r="Q48" i="19"/>
  <c r="P48" i="19"/>
  <c r="O48" i="19"/>
  <c r="N48" i="19"/>
  <c r="M48" i="19"/>
  <c r="L48" i="19"/>
  <c r="K48" i="19"/>
  <c r="J48" i="19"/>
  <c r="I48" i="19"/>
  <c r="H48" i="19"/>
  <c r="G48" i="19"/>
  <c r="F48" i="19"/>
  <c r="E48" i="19"/>
  <c r="D48" i="19"/>
  <c r="C48" i="19"/>
  <c r="AD47" i="19"/>
  <c r="AC47" i="19"/>
  <c r="AB47" i="19"/>
  <c r="AA47" i="19"/>
  <c r="Z47" i="19"/>
  <c r="Y47" i="19"/>
  <c r="X47" i="19"/>
  <c r="W47" i="19"/>
  <c r="V47" i="19"/>
  <c r="U47" i="19"/>
  <c r="T47" i="19"/>
  <c r="S47" i="19"/>
  <c r="R47" i="19"/>
  <c r="Q47" i="19"/>
  <c r="P47" i="19"/>
  <c r="O47" i="19"/>
  <c r="N47" i="19"/>
  <c r="M47" i="19"/>
  <c r="L47" i="19"/>
  <c r="K47" i="19"/>
  <c r="J47" i="19"/>
  <c r="I47" i="19"/>
  <c r="H47" i="19"/>
  <c r="G47" i="19"/>
  <c r="F47" i="19"/>
  <c r="E47" i="19"/>
  <c r="D47" i="19"/>
  <c r="C47" i="19"/>
  <c r="AD46" i="19"/>
  <c r="AC46" i="19"/>
  <c r="AB46" i="19"/>
  <c r="AA46" i="19"/>
  <c r="Z46" i="19"/>
  <c r="Y46" i="19"/>
  <c r="X46" i="19"/>
  <c r="W46" i="19"/>
  <c r="V46" i="19"/>
  <c r="U46" i="19"/>
  <c r="T46" i="19"/>
  <c r="S46" i="19"/>
  <c r="R46" i="19"/>
  <c r="Q46" i="19"/>
  <c r="P46" i="19"/>
  <c r="O46" i="19"/>
  <c r="N46" i="19"/>
  <c r="M46" i="19"/>
  <c r="L46" i="19"/>
  <c r="K46" i="19"/>
  <c r="J46" i="19"/>
  <c r="I46" i="19"/>
  <c r="H46" i="19"/>
  <c r="G46" i="19"/>
  <c r="F46" i="19"/>
  <c r="E46" i="19"/>
  <c r="D46" i="19"/>
  <c r="C46" i="19"/>
  <c r="AD45" i="19"/>
  <c r="AC45" i="19"/>
  <c r="AB45" i="19"/>
  <c r="AA45" i="19"/>
  <c r="Z45" i="19"/>
  <c r="Y45" i="19"/>
  <c r="X45" i="19"/>
  <c r="W45" i="19"/>
  <c r="V45" i="19"/>
  <c r="U45" i="19"/>
  <c r="T45" i="19"/>
  <c r="S45" i="19"/>
  <c r="R45" i="19"/>
  <c r="Q45" i="19"/>
  <c r="P45" i="19"/>
  <c r="O45" i="19"/>
  <c r="N45" i="19"/>
  <c r="M45" i="19"/>
  <c r="L45" i="19"/>
  <c r="K45" i="19"/>
  <c r="J45" i="19"/>
  <c r="I45" i="19"/>
  <c r="H45" i="19"/>
  <c r="G45" i="19"/>
  <c r="F45" i="19"/>
  <c r="E45" i="19"/>
  <c r="D45" i="19"/>
  <c r="C45" i="19"/>
  <c r="AD44" i="19"/>
  <c r="AC44" i="19"/>
  <c r="AB44" i="19"/>
  <c r="AA44" i="19"/>
  <c r="Z44" i="19"/>
  <c r="Y44" i="19"/>
  <c r="X44" i="19"/>
  <c r="W44" i="19"/>
  <c r="V44" i="19"/>
  <c r="U44" i="19"/>
  <c r="T44" i="19"/>
  <c r="S44" i="19"/>
  <c r="R44" i="19"/>
  <c r="Q44" i="19"/>
  <c r="P44" i="19"/>
  <c r="O44" i="19"/>
  <c r="N44" i="19"/>
  <c r="M44" i="19"/>
  <c r="L44" i="19"/>
  <c r="K44" i="19"/>
  <c r="J44" i="19"/>
  <c r="I44" i="19"/>
  <c r="H44" i="19"/>
  <c r="G44" i="19"/>
  <c r="F44" i="19"/>
  <c r="E44" i="19"/>
  <c r="D44" i="19"/>
  <c r="C44" i="19"/>
  <c r="AD43" i="19"/>
  <c r="AC43" i="19"/>
  <c r="AB43" i="19"/>
  <c r="AA43" i="19"/>
  <c r="Z43" i="19"/>
  <c r="Y43" i="19"/>
  <c r="X43" i="19"/>
  <c r="W43" i="19"/>
  <c r="V43" i="19"/>
  <c r="U43" i="19"/>
  <c r="T43" i="19"/>
  <c r="S43" i="19"/>
  <c r="R43" i="19"/>
  <c r="Q43" i="19"/>
  <c r="P43" i="19"/>
  <c r="O43" i="19"/>
  <c r="N43" i="19"/>
  <c r="M43" i="19"/>
  <c r="L43" i="19"/>
  <c r="K43" i="19"/>
  <c r="J43" i="19"/>
  <c r="I43" i="19"/>
  <c r="H43" i="19"/>
  <c r="G43" i="19"/>
  <c r="F43" i="19"/>
  <c r="E43" i="19"/>
  <c r="D43" i="19"/>
  <c r="C43" i="19"/>
  <c r="AD42" i="19"/>
  <c r="AC42" i="19"/>
  <c r="AB42" i="19"/>
  <c r="AA42" i="19"/>
  <c r="Z42" i="19"/>
  <c r="Y42" i="19"/>
  <c r="X42" i="19"/>
  <c r="W42" i="19"/>
  <c r="V42" i="19"/>
  <c r="U42" i="19"/>
  <c r="T42" i="19"/>
  <c r="S42" i="19"/>
  <c r="R42" i="19"/>
  <c r="Q42" i="19"/>
  <c r="P42" i="19"/>
  <c r="O42" i="19"/>
  <c r="N42" i="19"/>
  <c r="M42" i="19"/>
  <c r="L42" i="19"/>
  <c r="K42" i="19"/>
  <c r="J42" i="19"/>
  <c r="I42" i="19"/>
  <c r="H42" i="19"/>
  <c r="G42" i="19"/>
  <c r="F42" i="19"/>
  <c r="E42" i="19"/>
  <c r="D42" i="19"/>
  <c r="C42" i="19"/>
  <c r="AD41" i="19"/>
  <c r="AC41" i="19"/>
  <c r="AB41" i="19"/>
  <c r="AA41" i="19"/>
  <c r="Z41" i="19"/>
  <c r="Y41" i="19"/>
  <c r="X41" i="19"/>
  <c r="W41" i="19"/>
  <c r="V41" i="19"/>
  <c r="U41" i="19"/>
  <c r="T41" i="19"/>
  <c r="S41" i="19"/>
  <c r="R41" i="19"/>
  <c r="Q41" i="19"/>
  <c r="P41" i="19"/>
  <c r="O41" i="19"/>
  <c r="N41" i="19"/>
  <c r="M41" i="19"/>
  <c r="L41" i="19"/>
  <c r="K41" i="19"/>
  <c r="J41" i="19"/>
  <c r="I41" i="19"/>
  <c r="H41" i="19"/>
  <c r="G41" i="19"/>
  <c r="F41" i="19"/>
  <c r="E41" i="19"/>
  <c r="D41" i="19"/>
  <c r="C41" i="19"/>
  <c r="AD40" i="19"/>
  <c r="AC40" i="19"/>
  <c r="AB40" i="19"/>
  <c r="AA40" i="19"/>
  <c r="Z40" i="19"/>
  <c r="Y40" i="19"/>
  <c r="X40" i="19"/>
  <c r="W40" i="19"/>
  <c r="V40" i="19"/>
  <c r="U40" i="19"/>
  <c r="T40" i="19"/>
  <c r="S40" i="19"/>
  <c r="R40" i="19"/>
  <c r="Q40" i="19"/>
  <c r="P40" i="19"/>
  <c r="O40" i="19"/>
  <c r="N40" i="19"/>
  <c r="M40" i="19"/>
  <c r="L40" i="19"/>
  <c r="K40" i="19"/>
  <c r="J40" i="19"/>
  <c r="I40" i="19"/>
  <c r="H40" i="19"/>
  <c r="G40" i="19"/>
  <c r="F40" i="19"/>
  <c r="E40" i="19"/>
  <c r="D40" i="19"/>
  <c r="C40" i="19"/>
  <c r="AD39" i="19"/>
  <c r="AC39" i="19"/>
  <c r="AB39" i="19"/>
  <c r="AA39" i="19"/>
  <c r="Z39" i="19"/>
  <c r="Y39" i="19"/>
  <c r="X39" i="19"/>
  <c r="W39" i="19"/>
  <c r="V39" i="19"/>
  <c r="U39" i="19"/>
  <c r="T39" i="19"/>
  <c r="S39" i="19"/>
  <c r="R39" i="19"/>
  <c r="Q39" i="19"/>
  <c r="P39" i="19"/>
  <c r="O39" i="19"/>
  <c r="N39" i="19"/>
  <c r="M39" i="19"/>
  <c r="L39" i="19"/>
  <c r="K39" i="19"/>
  <c r="J39" i="19"/>
  <c r="I39" i="19"/>
  <c r="H39" i="19"/>
  <c r="G39" i="19"/>
  <c r="F39" i="19"/>
  <c r="E39" i="19"/>
  <c r="D39" i="19"/>
  <c r="C39" i="19"/>
  <c r="AD38" i="19"/>
  <c r="AC38" i="19"/>
  <c r="AB38" i="19"/>
  <c r="AA38" i="19"/>
  <c r="AA52" i="19" s="1"/>
  <c r="Z38" i="19"/>
  <c r="Y38" i="19"/>
  <c r="X38" i="19"/>
  <c r="W38" i="19"/>
  <c r="V38" i="19"/>
  <c r="U38" i="19"/>
  <c r="T38" i="19"/>
  <c r="S38" i="19"/>
  <c r="S52" i="19" s="1"/>
  <c r="R38" i="19"/>
  <c r="Q38" i="19"/>
  <c r="P38" i="19"/>
  <c r="O38" i="19"/>
  <c r="O52" i="19" s="1"/>
  <c r="N38" i="19"/>
  <c r="M38" i="19"/>
  <c r="L38" i="19"/>
  <c r="K38" i="19"/>
  <c r="K52" i="19" s="1"/>
  <c r="J38" i="19"/>
  <c r="I38" i="19"/>
  <c r="H38" i="19"/>
  <c r="G38" i="19"/>
  <c r="F38" i="19"/>
  <c r="E38" i="19"/>
  <c r="D38" i="19"/>
  <c r="C38" i="19"/>
  <c r="U37" i="19"/>
  <c r="T37" i="19"/>
  <c r="S37" i="19"/>
  <c r="R37" i="19"/>
  <c r="Q37" i="19"/>
  <c r="P37" i="19"/>
  <c r="O37" i="19"/>
  <c r="AD34" i="19"/>
  <c r="AC34" i="19"/>
  <c r="AB34" i="19"/>
  <c r="AA34" i="19"/>
  <c r="Z34" i="19"/>
  <c r="Y34" i="19"/>
  <c r="X34" i="19"/>
  <c r="W34" i="19"/>
  <c r="V34" i="19"/>
  <c r="U34" i="19"/>
  <c r="T34" i="19"/>
  <c r="S34" i="19"/>
  <c r="R34" i="19"/>
  <c r="Q34" i="19"/>
  <c r="P34" i="19"/>
  <c r="O34" i="19"/>
  <c r="N34" i="19"/>
  <c r="M34" i="19"/>
  <c r="L34" i="19"/>
  <c r="K34" i="19"/>
  <c r="J34" i="19"/>
  <c r="I34" i="19"/>
  <c r="H34" i="19"/>
  <c r="G34" i="19"/>
  <c r="F34" i="19"/>
  <c r="E34" i="19"/>
  <c r="D34" i="19"/>
  <c r="C34" i="19"/>
  <c r="AE33" i="19"/>
  <c r="A33" i="19"/>
  <c r="AE32" i="19"/>
  <c r="AE31" i="19"/>
  <c r="A31" i="19"/>
  <c r="A49" i="19" s="1"/>
  <c r="AE30" i="19"/>
  <c r="A30" i="19"/>
  <c r="A48" i="19" s="1"/>
  <c r="AE29" i="19"/>
  <c r="A29" i="19"/>
  <c r="A47" i="19" s="1"/>
  <c r="AE28" i="19"/>
  <c r="A28" i="19"/>
  <c r="A46" i="19" s="1"/>
  <c r="AE27" i="19"/>
  <c r="A27" i="19"/>
  <c r="A45" i="19" s="1"/>
  <c r="AE26" i="19"/>
  <c r="A26" i="19"/>
  <c r="A44" i="19" s="1"/>
  <c r="AE25" i="19"/>
  <c r="A25" i="19"/>
  <c r="A43" i="19" s="1"/>
  <c r="AE24" i="19"/>
  <c r="A24" i="19"/>
  <c r="A42" i="19" s="1"/>
  <c r="AE23" i="19"/>
  <c r="A23" i="19"/>
  <c r="A41" i="19" s="1"/>
  <c r="AE22" i="19"/>
  <c r="A22" i="19"/>
  <c r="A40" i="19" s="1"/>
  <c r="AE21" i="19"/>
  <c r="A21" i="19"/>
  <c r="A39" i="19" s="1"/>
  <c r="AE20" i="19"/>
  <c r="AE34" i="19" s="1"/>
  <c r="C58" i="19" s="1"/>
  <c r="A20" i="19"/>
  <c r="A38" i="19" s="1"/>
  <c r="N19" i="19"/>
  <c r="N37" i="19" s="1"/>
  <c r="M19" i="19"/>
  <c r="M37" i="19" s="1"/>
  <c r="L19" i="19"/>
  <c r="L37" i="19" s="1"/>
  <c r="K19" i="19"/>
  <c r="K37" i="19" s="1"/>
  <c r="J19" i="19"/>
  <c r="J37" i="19" s="1"/>
  <c r="I19" i="19"/>
  <c r="I37" i="19" s="1"/>
  <c r="H19" i="19"/>
  <c r="H37" i="19" s="1"/>
  <c r="G19" i="19"/>
  <c r="G37" i="19" s="1"/>
  <c r="F19" i="19"/>
  <c r="F37" i="19" s="1"/>
  <c r="E19" i="19"/>
  <c r="E37" i="19" s="1"/>
  <c r="D19" i="19"/>
  <c r="D37" i="19" s="1"/>
  <c r="C19" i="19"/>
  <c r="C37" i="19" s="1"/>
  <c r="A19" i="19"/>
  <c r="A37" i="19" s="1"/>
  <c r="AD17" i="19"/>
  <c r="AC17" i="19"/>
  <c r="AB17" i="19"/>
  <c r="AA17" i="19"/>
  <c r="Z17" i="19"/>
  <c r="Y17" i="19"/>
  <c r="X17" i="19"/>
  <c r="X52" i="19" s="1"/>
  <c r="W17" i="19"/>
  <c r="V17" i="19"/>
  <c r="U17" i="19"/>
  <c r="T17" i="19"/>
  <c r="S17" i="19"/>
  <c r="R17" i="19"/>
  <c r="Q17" i="19"/>
  <c r="P17" i="19"/>
  <c r="O17" i="19"/>
  <c r="N17" i="19"/>
  <c r="M17" i="19"/>
  <c r="L17" i="19"/>
  <c r="K17" i="19"/>
  <c r="J17" i="19"/>
  <c r="I17" i="19"/>
  <c r="H17" i="19"/>
  <c r="G17" i="19"/>
  <c r="F17" i="19"/>
  <c r="E17" i="19"/>
  <c r="D17" i="19"/>
  <c r="C17" i="19"/>
  <c r="AE16" i="19"/>
  <c r="AE15" i="19"/>
  <c r="AE14" i="19"/>
  <c r="AE13" i="19"/>
  <c r="AE12" i="19"/>
  <c r="AE11" i="19"/>
  <c r="AE10" i="19"/>
  <c r="AE9" i="19"/>
  <c r="AE8" i="19"/>
  <c r="AE7" i="19"/>
  <c r="AE6" i="19"/>
  <c r="AE5" i="19"/>
  <c r="AE4" i="19"/>
  <c r="AE3" i="19"/>
  <c r="Y55" i="23" l="1"/>
  <c r="L60" i="23" s="1"/>
  <c r="AD55" i="23"/>
  <c r="O60" i="23" s="1"/>
  <c r="M55" i="23"/>
  <c r="R60" i="23" s="1"/>
  <c r="AE52" i="23"/>
  <c r="AF38" i="23" s="1"/>
  <c r="M55" i="22"/>
  <c r="R60" i="22" s="1"/>
  <c r="AE52" i="22"/>
  <c r="M55" i="21"/>
  <c r="R60" i="21" s="1"/>
  <c r="AD55" i="21"/>
  <c r="O60" i="21" s="1"/>
  <c r="AE52" i="21"/>
  <c r="AF38" i="21" s="1"/>
  <c r="G53" i="20"/>
  <c r="T53" i="20"/>
  <c r="AF44" i="20"/>
  <c r="V53" i="20"/>
  <c r="F53" i="20"/>
  <c r="D53" i="20"/>
  <c r="AF39" i="20"/>
  <c r="R53" i="20"/>
  <c r="AF50" i="20"/>
  <c r="AF42" i="20"/>
  <c r="C60" i="20"/>
  <c r="AF46" i="20"/>
  <c r="AD53" i="20"/>
  <c r="N53" i="20"/>
  <c r="AB53" i="20"/>
  <c r="AF41" i="20"/>
  <c r="P53" i="20"/>
  <c r="F52" i="19"/>
  <c r="J52" i="19"/>
  <c r="N52" i="19"/>
  <c r="R52" i="19"/>
  <c r="V52" i="19"/>
  <c r="Z52" i="19"/>
  <c r="AD52" i="19"/>
  <c r="AE41" i="19"/>
  <c r="G52" i="19"/>
  <c r="W52" i="19"/>
  <c r="AE45" i="19"/>
  <c r="AE49" i="19"/>
  <c r="AE38" i="19"/>
  <c r="AE42" i="19"/>
  <c r="AE46" i="19"/>
  <c r="D52" i="19"/>
  <c r="H52" i="19"/>
  <c r="L52" i="19"/>
  <c r="P52" i="19"/>
  <c r="T52" i="19"/>
  <c r="AB52" i="19"/>
  <c r="AE39" i="19"/>
  <c r="AE43" i="19"/>
  <c r="AE47" i="19"/>
  <c r="AE50" i="19"/>
  <c r="AE17" i="19"/>
  <c r="C56" i="19" s="1"/>
  <c r="E52" i="19"/>
  <c r="I52" i="19"/>
  <c r="M52" i="19"/>
  <c r="Q52" i="19"/>
  <c r="U52" i="19"/>
  <c r="Y52" i="19"/>
  <c r="AC52" i="19"/>
  <c r="AE40" i="19"/>
  <c r="AE44" i="19"/>
  <c r="AE48" i="19"/>
  <c r="AE51" i="19"/>
  <c r="C52" i="19"/>
  <c r="F59" i="18"/>
  <c r="AG50" i="18"/>
  <c r="AG49" i="18"/>
  <c r="AG48" i="18"/>
  <c r="AG47" i="18"/>
  <c r="AG46" i="18"/>
  <c r="AG45" i="18"/>
  <c r="AG44" i="18"/>
  <c r="AG43" i="18"/>
  <c r="AG42" i="18"/>
  <c r="AG41" i="18"/>
  <c r="AG40" i="18"/>
  <c r="AG39" i="18"/>
  <c r="AG38" i="18"/>
  <c r="C59" i="18"/>
  <c r="C62" i="23" l="1"/>
  <c r="C61" i="23"/>
  <c r="X53" i="23"/>
  <c r="K53" i="23"/>
  <c r="AF49" i="23"/>
  <c r="AF51" i="23"/>
  <c r="U53" i="23"/>
  <c r="F53" i="23"/>
  <c r="V53" i="23"/>
  <c r="D53" i="23"/>
  <c r="T53" i="23"/>
  <c r="AF46" i="23"/>
  <c r="C53" i="23"/>
  <c r="O53" i="23"/>
  <c r="AA53" i="23"/>
  <c r="Q53" i="23"/>
  <c r="AB53" i="23"/>
  <c r="AC53" i="23"/>
  <c r="J53" i="23"/>
  <c r="Z53" i="23"/>
  <c r="H53" i="23"/>
  <c r="AF43" i="23"/>
  <c r="E53" i="23"/>
  <c r="S53" i="23"/>
  <c r="AF47" i="23"/>
  <c r="AF39" i="23"/>
  <c r="AF50" i="23"/>
  <c r="AF40" i="23"/>
  <c r="N53" i="23"/>
  <c r="L53" i="23"/>
  <c r="AF44" i="23"/>
  <c r="Y53" i="23"/>
  <c r="G53" i="23"/>
  <c r="W53" i="23"/>
  <c r="AF48" i="23"/>
  <c r="AF41" i="23"/>
  <c r="M53" i="23"/>
  <c r="R53" i="23"/>
  <c r="AD53" i="23"/>
  <c r="P53" i="23"/>
  <c r="AF45" i="23"/>
  <c r="AF42" i="23"/>
  <c r="C61" i="22"/>
  <c r="C62" i="22"/>
  <c r="D53" i="22"/>
  <c r="AB53" i="22"/>
  <c r="E53" i="22"/>
  <c r="Y53" i="22"/>
  <c r="O53" i="22"/>
  <c r="AF48" i="22"/>
  <c r="J53" i="22"/>
  <c r="Z53" i="22"/>
  <c r="AF43" i="22"/>
  <c r="AF47" i="22"/>
  <c r="U53" i="22"/>
  <c r="X53" i="22"/>
  <c r="H53" i="22"/>
  <c r="AF39" i="22"/>
  <c r="M53" i="22"/>
  <c r="AC53" i="22"/>
  <c r="G53" i="22"/>
  <c r="S53" i="22"/>
  <c r="AF49" i="22"/>
  <c r="N53" i="22"/>
  <c r="AF50" i="22"/>
  <c r="AF38" i="22"/>
  <c r="P53" i="22"/>
  <c r="C53" i="22"/>
  <c r="AA53" i="22"/>
  <c r="F53" i="22"/>
  <c r="V53" i="22"/>
  <c r="AF42" i="22"/>
  <c r="AF45" i="22"/>
  <c r="L53" i="22"/>
  <c r="AF46" i="22"/>
  <c r="Q53" i="22"/>
  <c r="AF40" i="22"/>
  <c r="K53" i="22"/>
  <c r="W53" i="22"/>
  <c r="T53" i="22"/>
  <c r="R53" i="22"/>
  <c r="AD53" i="22"/>
  <c r="AF51" i="22"/>
  <c r="AF44" i="22"/>
  <c r="AF41" i="22"/>
  <c r="C62" i="21"/>
  <c r="C61" i="21"/>
  <c r="J53" i="21"/>
  <c r="AF45" i="21"/>
  <c r="K53" i="21"/>
  <c r="W53" i="21"/>
  <c r="Q53" i="21"/>
  <c r="AF47" i="21"/>
  <c r="N53" i="21"/>
  <c r="D53" i="21"/>
  <c r="T53" i="21"/>
  <c r="F53" i="21"/>
  <c r="AF40" i="21"/>
  <c r="AF44" i="21"/>
  <c r="G53" i="21"/>
  <c r="S53" i="21"/>
  <c r="AC53" i="21"/>
  <c r="AF46" i="21"/>
  <c r="AF51" i="21"/>
  <c r="R53" i="21"/>
  <c r="O53" i="21"/>
  <c r="AA53" i="21"/>
  <c r="U53" i="21"/>
  <c r="AF48" i="21"/>
  <c r="AD53" i="21"/>
  <c r="H53" i="21"/>
  <c r="AB53" i="21"/>
  <c r="V53" i="21"/>
  <c r="AF41" i="21"/>
  <c r="AF42" i="21"/>
  <c r="Z53" i="21"/>
  <c r="M53" i="21"/>
  <c r="X53" i="21"/>
  <c r="P53" i="21"/>
  <c r="AF39" i="21"/>
  <c r="C53" i="21"/>
  <c r="E53" i="21"/>
  <c r="Y53" i="21"/>
  <c r="AF49" i="21"/>
  <c r="AF43" i="21"/>
  <c r="L53" i="21"/>
  <c r="AF50" i="21"/>
  <c r="Z55" i="19"/>
  <c r="O60" i="19" s="1"/>
  <c r="AE52" i="19"/>
  <c r="S53" i="19" s="1"/>
  <c r="Y53" i="19"/>
  <c r="G53" i="19"/>
  <c r="D53" i="19"/>
  <c r="N53" i="19"/>
  <c r="AF42" i="19"/>
  <c r="I53" i="19"/>
  <c r="O53" i="19"/>
  <c r="AF48" i="19"/>
  <c r="N55" i="19"/>
  <c r="L60" i="19" s="1"/>
  <c r="AF47" i="19"/>
  <c r="C61" i="19"/>
  <c r="Z53" i="19"/>
  <c r="C53" i="19"/>
  <c r="AF40" i="19"/>
  <c r="F53" i="19"/>
  <c r="AF44" i="19"/>
  <c r="U53" i="19"/>
  <c r="AF43" i="19"/>
  <c r="P53" i="19"/>
  <c r="AA53" i="19"/>
  <c r="J53" i="19"/>
  <c r="AF39" i="19"/>
  <c r="L53" i="19"/>
  <c r="AF38" i="19"/>
  <c r="AF45" i="19"/>
  <c r="V53" i="19"/>
  <c r="AC53" i="19"/>
  <c r="M53" i="19"/>
  <c r="AF50" i="19"/>
  <c r="H53" i="19"/>
  <c r="AF46" i="19"/>
  <c r="W53" i="19"/>
  <c r="R53" i="19"/>
  <c r="X53" i="19"/>
  <c r="AD51" i="18"/>
  <c r="AC51" i="18"/>
  <c r="AB51" i="18"/>
  <c r="AA51" i="18"/>
  <c r="Z51" i="18"/>
  <c r="Y51" i="18"/>
  <c r="X51" i="18"/>
  <c r="W51" i="18"/>
  <c r="V51" i="18"/>
  <c r="U51" i="18"/>
  <c r="T51" i="18"/>
  <c r="S51" i="18"/>
  <c r="R51" i="18"/>
  <c r="Q51" i="18"/>
  <c r="P51" i="18"/>
  <c r="O51" i="18"/>
  <c r="N51" i="18"/>
  <c r="M51" i="18"/>
  <c r="L51" i="18"/>
  <c r="K51" i="18"/>
  <c r="J51" i="18"/>
  <c r="I51" i="18"/>
  <c r="H51" i="18"/>
  <c r="G51" i="18"/>
  <c r="F51" i="18"/>
  <c r="E51" i="18"/>
  <c r="D51" i="18"/>
  <c r="C51" i="18"/>
  <c r="AD50" i="18"/>
  <c r="AC50" i="18"/>
  <c r="AB50" i="18"/>
  <c r="AA50" i="18"/>
  <c r="Z50" i="18"/>
  <c r="Y50" i="18"/>
  <c r="X50" i="18"/>
  <c r="W50" i="18"/>
  <c r="V50" i="18"/>
  <c r="U50" i="18"/>
  <c r="T50" i="18"/>
  <c r="S50" i="18"/>
  <c r="R50" i="18"/>
  <c r="Q50" i="18"/>
  <c r="P50" i="18"/>
  <c r="O50" i="18"/>
  <c r="N50" i="18"/>
  <c r="M50" i="18"/>
  <c r="L50" i="18"/>
  <c r="K50" i="18"/>
  <c r="J50" i="18"/>
  <c r="I50" i="18"/>
  <c r="H50" i="18"/>
  <c r="G50" i="18"/>
  <c r="F50" i="18"/>
  <c r="E50" i="18"/>
  <c r="D50" i="18"/>
  <c r="C50" i="18"/>
  <c r="A50" i="18"/>
  <c r="AD49" i="18"/>
  <c r="AC49" i="18"/>
  <c r="AB49" i="18"/>
  <c r="AA49" i="18"/>
  <c r="Z49" i="18"/>
  <c r="Y49" i="18"/>
  <c r="X49" i="18"/>
  <c r="W49" i="18"/>
  <c r="V49" i="18"/>
  <c r="U49" i="18"/>
  <c r="T49" i="18"/>
  <c r="S49" i="18"/>
  <c r="R49" i="18"/>
  <c r="Q49" i="18"/>
  <c r="P49" i="18"/>
  <c r="O49" i="18"/>
  <c r="N49" i="18"/>
  <c r="M49" i="18"/>
  <c r="L49" i="18"/>
  <c r="K49" i="18"/>
  <c r="J49" i="18"/>
  <c r="I49" i="18"/>
  <c r="H49" i="18"/>
  <c r="G49" i="18"/>
  <c r="F49" i="18"/>
  <c r="E49" i="18"/>
  <c r="D49" i="18"/>
  <c r="C49" i="18"/>
  <c r="AD48" i="18"/>
  <c r="AC48" i="18"/>
  <c r="AB48" i="18"/>
  <c r="AA48" i="18"/>
  <c r="Z48" i="18"/>
  <c r="Y48" i="18"/>
  <c r="X48" i="18"/>
  <c r="W48" i="18"/>
  <c r="V48" i="18"/>
  <c r="U48" i="18"/>
  <c r="T48" i="18"/>
  <c r="S48" i="18"/>
  <c r="R48" i="18"/>
  <c r="Q48" i="18"/>
  <c r="P48" i="18"/>
  <c r="O48" i="18"/>
  <c r="N48" i="18"/>
  <c r="M48" i="18"/>
  <c r="L48" i="18"/>
  <c r="K48" i="18"/>
  <c r="J48" i="18"/>
  <c r="I48" i="18"/>
  <c r="H48" i="18"/>
  <c r="G48" i="18"/>
  <c r="F48" i="18"/>
  <c r="E48" i="18"/>
  <c r="D48" i="18"/>
  <c r="C48" i="18"/>
  <c r="AD47" i="18"/>
  <c r="AC47" i="18"/>
  <c r="AB47" i="18"/>
  <c r="AA47" i="18"/>
  <c r="Z47" i="18"/>
  <c r="Y47" i="18"/>
  <c r="X47" i="18"/>
  <c r="W47" i="18"/>
  <c r="V47" i="18"/>
  <c r="U47" i="18"/>
  <c r="T47" i="18"/>
  <c r="S47" i="18"/>
  <c r="R47" i="18"/>
  <c r="Q47" i="18"/>
  <c r="P47" i="18"/>
  <c r="O47" i="18"/>
  <c r="N47" i="18"/>
  <c r="M47" i="18"/>
  <c r="L47" i="18"/>
  <c r="K47" i="18"/>
  <c r="J47" i="18"/>
  <c r="I47" i="18"/>
  <c r="H47" i="18"/>
  <c r="G47" i="18"/>
  <c r="F47" i="18"/>
  <c r="E47" i="18"/>
  <c r="D47" i="18"/>
  <c r="C47" i="18"/>
  <c r="AD46" i="18"/>
  <c r="AC46" i="18"/>
  <c r="AB46" i="18"/>
  <c r="AA46" i="18"/>
  <c r="Z46" i="18"/>
  <c r="Y46" i="18"/>
  <c r="X46" i="18"/>
  <c r="W46" i="18"/>
  <c r="V46" i="18"/>
  <c r="U46" i="18"/>
  <c r="T46" i="18"/>
  <c r="S46" i="18"/>
  <c r="R46" i="18"/>
  <c r="Q46" i="18"/>
  <c r="P46" i="18"/>
  <c r="O46" i="18"/>
  <c r="N46" i="18"/>
  <c r="M46" i="18"/>
  <c r="L46" i="18"/>
  <c r="K46" i="18"/>
  <c r="J46" i="18"/>
  <c r="I46" i="18"/>
  <c r="H46" i="18"/>
  <c r="G46" i="18"/>
  <c r="F46" i="18"/>
  <c r="E46" i="18"/>
  <c r="D46" i="18"/>
  <c r="C46" i="18"/>
  <c r="AD45" i="18"/>
  <c r="AC45" i="18"/>
  <c r="AB45" i="18"/>
  <c r="AA45" i="18"/>
  <c r="Z45" i="18"/>
  <c r="Y45" i="18"/>
  <c r="X45" i="18"/>
  <c r="W45" i="18"/>
  <c r="V45" i="18"/>
  <c r="U45" i="18"/>
  <c r="T45" i="18"/>
  <c r="S45" i="18"/>
  <c r="R45" i="18"/>
  <c r="Q45" i="18"/>
  <c r="P45" i="18"/>
  <c r="O45" i="18"/>
  <c r="N45" i="18"/>
  <c r="M45" i="18"/>
  <c r="L45" i="18"/>
  <c r="K45" i="18"/>
  <c r="J45" i="18"/>
  <c r="I45" i="18"/>
  <c r="H45" i="18"/>
  <c r="G45" i="18"/>
  <c r="F45" i="18"/>
  <c r="E45" i="18"/>
  <c r="D45" i="18"/>
  <c r="C45" i="18"/>
  <c r="AD44" i="18"/>
  <c r="AC44" i="18"/>
  <c r="AB44" i="18"/>
  <c r="AA44" i="18"/>
  <c r="Z44" i="18"/>
  <c r="Y44" i="18"/>
  <c r="X44" i="18"/>
  <c r="W44" i="18"/>
  <c r="V44" i="18"/>
  <c r="U44" i="18"/>
  <c r="T44" i="18"/>
  <c r="S44" i="18"/>
  <c r="R44" i="18"/>
  <c r="Q44" i="18"/>
  <c r="P44" i="18"/>
  <c r="O44" i="18"/>
  <c r="N44" i="18"/>
  <c r="M44" i="18"/>
  <c r="L44" i="18"/>
  <c r="K44" i="18"/>
  <c r="J44" i="18"/>
  <c r="I44" i="18"/>
  <c r="H44" i="18"/>
  <c r="G44" i="18"/>
  <c r="F44" i="18"/>
  <c r="E44" i="18"/>
  <c r="D44" i="18"/>
  <c r="C44" i="18"/>
  <c r="AD43" i="18"/>
  <c r="AC43" i="18"/>
  <c r="AB43" i="18"/>
  <c r="AA43" i="18"/>
  <c r="Z43" i="18"/>
  <c r="Y43" i="18"/>
  <c r="X43" i="18"/>
  <c r="W43" i="18"/>
  <c r="V43" i="18"/>
  <c r="U43" i="18"/>
  <c r="T43" i="18"/>
  <c r="S43" i="18"/>
  <c r="R43" i="18"/>
  <c r="Q43" i="18"/>
  <c r="P43" i="18"/>
  <c r="O43" i="18"/>
  <c r="N43" i="18"/>
  <c r="M43" i="18"/>
  <c r="L43" i="18"/>
  <c r="K43" i="18"/>
  <c r="J43" i="18"/>
  <c r="I43" i="18"/>
  <c r="H43" i="18"/>
  <c r="G43" i="18"/>
  <c r="F43" i="18"/>
  <c r="E43" i="18"/>
  <c r="D43" i="18"/>
  <c r="C43" i="18"/>
  <c r="AD42" i="18"/>
  <c r="AC42" i="18"/>
  <c r="AB42" i="18"/>
  <c r="AA42" i="18"/>
  <c r="Z42" i="18"/>
  <c r="Y42" i="18"/>
  <c r="X42" i="18"/>
  <c r="W42" i="18"/>
  <c r="V42" i="18"/>
  <c r="U42" i="18"/>
  <c r="T42" i="18"/>
  <c r="S42" i="18"/>
  <c r="R42" i="18"/>
  <c r="Q42" i="18"/>
  <c r="P42" i="18"/>
  <c r="O42" i="18"/>
  <c r="N42" i="18"/>
  <c r="M42" i="18"/>
  <c r="L42" i="18"/>
  <c r="K42" i="18"/>
  <c r="J42" i="18"/>
  <c r="I42" i="18"/>
  <c r="H42" i="18"/>
  <c r="G42" i="18"/>
  <c r="F42" i="18"/>
  <c r="E42" i="18"/>
  <c r="D42" i="18"/>
  <c r="C42" i="18"/>
  <c r="AD41" i="18"/>
  <c r="AC41" i="18"/>
  <c r="AB41" i="18"/>
  <c r="AA41" i="18"/>
  <c r="Z41" i="18"/>
  <c r="Y41" i="18"/>
  <c r="X41" i="18"/>
  <c r="W41" i="18"/>
  <c r="V41" i="18"/>
  <c r="U41" i="18"/>
  <c r="T41" i="18"/>
  <c r="S41" i="18"/>
  <c r="R41" i="18"/>
  <c r="Q41" i="18"/>
  <c r="P41" i="18"/>
  <c r="O41" i="18"/>
  <c r="N41" i="18"/>
  <c r="M41" i="18"/>
  <c r="L41" i="18"/>
  <c r="K41" i="18"/>
  <c r="J41" i="18"/>
  <c r="I41" i="18"/>
  <c r="H41" i="18"/>
  <c r="G41" i="18"/>
  <c r="F41" i="18"/>
  <c r="E41" i="18"/>
  <c r="D41" i="18"/>
  <c r="C41" i="18"/>
  <c r="AD40" i="18"/>
  <c r="AC40" i="18"/>
  <c r="AB40" i="18"/>
  <c r="AA40" i="18"/>
  <c r="Z40" i="18"/>
  <c r="Y40" i="18"/>
  <c r="X40" i="18"/>
  <c r="W40" i="18"/>
  <c r="V40" i="18"/>
  <c r="U40" i="18"/>
  <c r="T40" i="18"/>
  <c r="S40" i="18"/>
  <c r="R40" i="18"/>
  <c r="Q40" i="18"/>
  <c r="P40" i="18"/>
  <c r="O40" i="18"/>
  <c r="N40" i="18"/>
  <c r="M40" i="18"/>
  <c r="L40" i="18"/>
  <c r="K40" i="18"/>
  <c r="J40" i="18"/>
  <c r="I40" i="18"/>
  <c r="H40" i="18"/>
  <c r="G40" i="18"/>
  <c r="F40" i="18"/>
  <c r="E40" i="18"/>
  <c r="D40" i="18"/>
  <c r="C40" i="18"/>
  <c r="AD39" i="18"/>
  <c r="AC39" i="18"/>
  <c r="AB39" i="18"/>
  <c r="AA39" i="18"/>
  <c r="Z39" i="18"/>
  <c r="Y39" i="18"/>
  <c r="X39" i="18"/>
  <c r="W39" i="18"/>
  <c r="V39" i="18"/>
  <c r="U39" i="18"/>
  <c r="T39" i="18"/>
  <c r="S39" i="18"/>
  <c r="R39" i="18"/>
  <c r="Q39" i="18"/>
  <c r="P39" i="18"/>
  <c r="O39" i="18"/>
  <c r="N39" i="18"/>
  <c r="M39" i="18"/>
  <c r="L39" i="18"/>
  <c r="K39" i="18"/>
  <c r="J39" i="18"/>
  <c r="I39" i="18"/>
  <c r="H39" i="18"/>
  <c r="G39" i="18"/>
  <c r="F39" i="18"/>
  <c r="E39" i="18"/>
  <c r="D39" i="18"/>
  <c r="C39" i="18"/>
  <c r="AD38" i="18"/>
  <c r="AC38" i="18"/>
  <c r="AB38" i="18"/>
  <c r="AA38" i="18"/>
  <c r="Z38" i="18"/>
  <c r="Y38" i="18"/>
  <c r="X38" i="18"/>
  <c r="W38" i="18"/>
  <c r="V38" i="18"/>
  <c r="U38" i="18"/>
  <c r="T38" i="18"/>
  <c r="S38" i="18"/>
  <c r="R38" i="18"/>
  <c r="Q38" i="18"/>
  <c r="P38" i="18"/>
  <c r="O38" i="18"/>
  <c r="N38" i="18"/>
  <c r="M38" i="18"/>
  <c r="L38" i="18"/>
  <c r="K38" i="18"/>
  <c r="J38" i="18"/>
  <c r="I38" i="18"/>
  <c r="H38" i="18"/>
  <c r="G38" i="18"/>
  <c r="F38" i="18"/>
  <c r="E38" i="18"/>
  <c r="D38" i="18"/>
  <c r="C38" i="18"/>
  <c r="U37" i="18"/>
  <c r="T37" i="18"/>
  <c r="S37" i="18"/>
  <c r="R37" i="18"/>
  <c r="Q37" i="18"/>
  <c r="P37" i="18"/>
  <c r="O37" i="18"/>
  <c r="AD34" i="18"/>
  <c r="AC34" i="18"/>
  <c r="AB34" i="18"/>
  <c r="AA34" i="18"/>
  <c r="Z34" i="18"/>
  <c r="Y34" i="18"/>
  <c r="X34" i="18"/>
  <c r="W34" i="18"/>
  <c r="V34" i="18"/>
  <c r="U34" i="18"/>
  <c r="T34" i="18"/>
  <c r="S34" i="18"/>
  <c r="R34" i="18"/>
  <c r="Q34" i="18"/>
  <c r="P34" i="18"/>
  <c r="O34" i="18"/>
  <c r="N34" i="18"/>
  <c r="M34" i="18"/>
  <c r="L34" i="18"/>
  <c r="K34" i="18"/>
  <c r="J34" i="18"/>
  <c r="I34" i="18"/>
  <c r="H34" i="18"/>
  <c r="G34" i="18"/>
  <c r="F34" i="18"/>
  <c r="E34" i="18"/>
  <c r="D34" i="18"/>
  <c r="C34" i="18"/>
  <c r="AE33" i="18"/>
  <c r="A33" i="18"/>
  <c r="AE32" i="18"/>
  <c r="AE31" i="18"/>
  <c r="A31" i="18"/>
  <c r="A49" i="18" s="1"/>
  <c r="AE30" i="18"/>
  <c r="A30" i="18"/>
  <c r="A48" i="18" s="1"/>
  <c r="AE29" i="18"/>
  <c r="A29" i="18"/>
  <c r="A47" i="18" s="1"/>
  <c r="AE28" i="18"/>
  <c r="A28" i="18"/>
  <c r="A46" i="18" s="1"/>
  <c r="AE27" i="18"/>
  <c r="A27" i="18"/>
  <c r="A45" i="18" s="1"/>
  <c r="AE26" i="18"/>
  <c r="A26" i="18"/>
  <c r="A44" i="18" s="1"/>
  <c r="AE25" i="18"/>
  <c r="A25" i="18"/>
  <c r="A43" i="18" s="1"/>
  <c r="AE24" i="18"/>
  <c r="A24" i="18"/>
  <c r="A42" i="18" s="1"/>
  <c r="AE23" i="18"/>
  <c r="A23" i="18"/>
  <c r="A41" i="18" s="1"/>
  <c r="AE22" i="18"/>
  <c r="A22" i="18"/>
  <c r="A40" i="18" s="1"/>
  <c r="AE21" i="18"/>
  <c r="A21" i="18"/>
  <c r="A39" i="18" s="1"/>
  <c r="AE20" i="18"/>
  <c r="A20" i="18"/>
  <c r="A38" i="18" s="1"/>
  <c r="N19" i="18"/>
  <c r="N37" i="18" s="1"/>
  <c r="M19" i="18"/>
  <c r="M37" i="18" s="1"/>
  <c r="L19" i="18"/>
  <c r="L37" i="18" s="1"/>
  <c r="K19" i="18"/>
  <c r="K37" i="18" s="1"/>
  <c r="J19" i="18"/>
  <c r="J37" i="18" s="1"/>
  <c r="I19" i="18"/>
  <c r="I37" i="18" s="1"/>
  <c r="H19" i="18"/>
  <c r="H37" i="18" s="1"/>
  <c r="G19" i="18"/>
  <c r="G37" i="18" s="1"/>
  <c r="F19" i="18"/>
  <c r="F37" i="18" s="1"/>
  <c r="E19" i="18"/>
  <c r="E37" i="18" s="1"/>
  <c r="D19" i="18"/>
  <c r="D37" i="18" s="1"/>
  <c r="C19" i="18"/>
  <c r="C37" i="18" s="1"/>
  <c r="A19" i="18"/>
  <c r="A37" i="18" s="1"/>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D17" i="18"/>
  <c r="C17" i="18"/>
  <c r="AE16" i="18"/>
  <c r="AE15" i="18"/>
  <c r="AE14" i="18"/>
  <c r="AE13" i="18"/>
  <c r="AE12" i="18"/>
  <c r="AE11" i="18"/>
  <c r="AE10" i="18"/>
  <c r="AE9" i="18"/>
  <c r="AE8" i="18"/>
  <c r="AE7" i="18"/>
  <c r="AE6" i="18"/>
  <c r="AE5" i="18"/>
  <c r="AE4" i="18"/>
  <c r="AE3" i="18"/>
  <c r="AE51" i="18" l="1"/>
  <c r="AF41" i="19"/>
  <c r="AB53" i="19"/>
  <c r="AF51" i="19"/>
  <c r="K53" i="19"/>
  <c r="AF49" i="19"/>
  <c r="E53" i="19"/>
  <c r="Q53" i="19"/>
  <c r="C60" i="19"/>
  <c r="T53" i="19"/>
  <c r="AD53" i="19"/>
  <c r="D52" i="18"/>
  <c r="P52" i="18"/>
  <c r="T52" i="18"/>
  <c r="J52" i="18"/>
  <c r="Q52" i="18"/>
  <c r="AD52" i="18"/>
  <c r="AC52" i="18"/>
  <c r="AB52" i="18"/>
  <c r="Z52" i="18"/>
  <c r="X52" i="18"/>
  <c r="L52" i="18"/>
  <c r="AE45" i="18"/>
  <c r="K52" i="18"/>
  <c r="H52" i="18"/>
  <c r="AE50" i="18"/>
  <c r="N52" i="18"/>
  <c r="O52" i="18"/>
  <c r="S52" i="18"/>
  <c r="U52" i="18"/>
  <c r="Y52" i="18"/>
  <c r="AA52" i="18"/>
  <c r="AE34" i="18"/>
  <c r="C58" i="18" s="1"/>
  <c r="V52" i="18"/>
  <c r="W52" i="18"/>
  <c r="R52" i="18"/>
  <c r="M52" i="18"/>
  <c r="AE44" i="18"/>
  <c r="I52" i="18"/>
  <c r="AE39" i="18"/>
  <c r="AE41" i="18"/>
  <c r="AE46" i="18"/>
  <c r="G52" i="18"/>
  <c r="C52" i="18"/>
  <c r="E52" i="18"/>
  <c r="AE49" i="18"/>
  <c r="AE48" i="18"/>
  <c r="AE47" i="18"/>
  <c r="AE43" i="18"/>
  <c r="AE42" i="18"/>
  <c r="F52" i="18"/>
  <c r="AE40" i="18"/>
  <c r="AE17" i="18"/>
  <c r="C56" i="18" s="1"/>
  <c r="AE38" i="18"/>
  <c r="N55" i="18" l="1"/>
  <c r="AE52" i="18"/>
  <c r="AD51" i="17"/>
  <c r="AC51" i="17"/>
  <c r="AB51" i="17"/>
  <c r="AA51" i="17"/>
  <c r="Z51" i="17"/>
  <c r="Y51" i="17"/>
  <c r="X51" i="17"/>
  <c r="W51" i="17"/>
  <c r="V51" i="17"/>
  <c r="U51" i="17"/>
  <c r="T51" i="17"/>
  <c r="S51" i="17"/>
  <c r="R51" i="17"/>
  <c r="Q51" i="17"/>
  <c r="P51" i="17"/>
  <c r="O51" i="17"/>
  <c r="N51" i="17"/>
  <c r="M51" i="17"/>
  <c r="L51" i="17"/>
  <c r="K51" i="17"/>
  <c r="J51" i="17"/>
  <c r="I51" i="17"/>
  <c r="H51" i="17"/>
  <c r="G51" i="17"/>
  <c r="F51" i="17"/>
  <c r="E51" i="17"/>
  <c r="D51" i="17"/>
  <c r="C51" i="17"/>
  <c r="AD50" i="17"/>
  <c r="AC50" i="17"/>
  <c r="AB50" i="17"/>
  <c r="AA50" i="17"/>
  <c r="Z50" i="17"/>
  <c r="Y50" i="17"/>
  <c r="X50" i="17"/>
  <c r="W50" i="17"/>
  <c r="V50" i="17"/>
  <c r="U50" i="17"/>
  <c r="T50" i="17"/>
  <c r="S50" i="17"/>
  <c r="R50" i="17"/>
  <c r="Q50" i="17"/>
  <c r="P50" i="17"/>
  <c r="O50" i="17"/>
  <c r="N50" i="17"/>
  <c r="M50" i="17"/>
  <c r="L50" i="17"/>
  <c r="K50" i="17"/>
  <c r="J50" i="17"/>
  <c r="I50" i="17"/>
  <c r="H50" i="17"/>
  <c r="G50" i="17"/>
  <c r="F50" i="17"/>
  <c r="E50" i="17"/>
  <c r="D50" i="17"/>
  <c r="C50" i="17"/>
  <c r="A50" i="17"/>
  <c r="AD49" i="17"/>
  <c r="AC49" i="17"/>
  <c r="AB49" i="17"/>
  <c r="AA49" i="17"/>
  <c r="Z49" i="17"/>
  <c r="Y49" i="17"/>
  <c r="X49" i="17"/>
  <c r="W49" i="17"/>
  <c r="V49" i="17"/>
  <c r="U49" i="17"/>
  <c r="T49" i="17"/>
  <c r="S49" i="17"/>
  <c r="R49" i="17"/>
  <c r="Q49" i="17"/>
  <c r="P49" i="17"/>
  <c r="O49" i="17"/>
  <c r="N49" i="17"/>
  <c r="M49" i="17"/>
  <c r="L49" i="17"/>
  <c r="K49" i="17"/>
  <c r="J49" i="17"/>
  <c r="I49" i="17"/>
  <c r="H49" i="17"/>
  <c r="G49" i="17"/>
  <c r="F49" i="17"/>
  <c r="E49" i="17"/>
  <c r="D49" i="17"/>
  <c r="C49" i="17"/>
  <c r="AD48" i="17"/>
  <c r="AC48" i="17"/>
  <c r="AB48" i="17"/>
  <c r="AA48" i="17"/>
  <c r="Z48" i="17"/>
  <c r="Y48" i="17"/>
  <c r="X48" i="17"/>
  <c r="W48" i="17"/>
  <c r="V48" i="17"/>
  <c r="U48" i="17"/>
  <c r="T48" i="17"/>
  <c r="S48" i="17"/>
  <c r="R48" i="17"/>
  <c r="Q48" i="17"/>
  <c r="P48" i="17"/>
  <c r="O48" i="17"/>
  <c r="N48" i="17"/>
  <c r="M48" i="17"/>
  <c r="L48" i="17"/>
  <c r="K48" i="17"/>
  <c r="J48" i="17"/>
  <c r="I48" i="17"/>
  <c r="H48" i="17"/>
  <c r="G48" i="17"/>
  <c r="F48" i="17"/>
  <c r="E48" i="17"/>
  <c r="D48" i="17"/>
  <c r="C48" i="17"/>
  <c r="AD47" i="17"/>
  <c r="AC47" i="17"/>
  <c r="AB47" i="17"/>
  <c r="AA47" i="17"/>
  <c r="Z47" i="17"/>
  <c r="Y47" i="17"/>
  <c r="X47" i="17"/>
  <c r="W47" i="17"/>
  <c r="V47" i="17"/>
  <c r="U47" i="17"/>
  <c r="T47" i="17"/>
  <c r="S47" i="17"/>
  <c r="R47" i="17"/>
  <c r="Q47" i="17"/>
  <c r="P47" i="17"/>
  <c r="O47" i="17"/>
  <c r="N47" i="17"/>
  <c r="M47" i="17"/>
  <c r="L47" i="17"/>
  <c r="K47" i="17"/>
  <c r="J47" i="17"/>
  <c r="I47" i="17"/>
  <c r="H47" i="17"/>
  <c r="G47" i="17"/>
  <c r="F47" i="17"/>
  <c r="E47" i="17"/>
  <c r="D47" i="17"/>
  <c r="C47" i="17"/>
  <c r="A47" i="17"/>
  <c r="AD46" i="17"/>
  <c r="AC46" i="17"/>
  <c r="AB46" i="17"/>
  <c r="AA46" i="17"/>
  <c r="Z46" i="17"/>
  <c r="Y46" i="17"/>
  <c r="X46" i="17"/>
  <c r="W46" i="17"/>
  <c r="V46" i="17"/>
  <c r="U46" i="17"/>
  <c r="T46" i="17"/>
  <c r="S46" i="17"/>
  <c r="R46" i="17"/>
  <c r="Q46" i="17"/>
  <c r="P46" i="17"/>
  <c r="O46" i="17"/>
  <c r="N46" i="17"/>
  <c r="M46" i="17"/>
  <c r="L46" i="17"/>
  <c r="K46" i="17"/>
  <c r="J46" i="17"/>
  <c r="I46" i="17"/>
  <c r="H46" i="17"/>
  <c r="G46" i="17"/>
  <c r="F46" i="17"/>
  <c r="E46" i="17"/>
  <c r="D46" i="17"/>
  <c r="C46" i="17"/>
  <c r="AD45" i="17"/>
  <c r="AC45" i="17"/>
  <c r="AB45" i="17"/>
  <c r="AA45" i="17"/>
  <c r="Z45" i="17"/>
  <c r="Y45" i="17"/>
  <c r="X45" i="17"/>
  <c r="W45" i="17"/>
  <c r="V45" i="17"/>
  <c r="U45" i="17"/>
  <c r="T45" i="17"/>
  <c r="S45" i="17"/>
  <c r="R45" i="17"/>
  <c r="Q45" i="17"/>
  <c r="P45" i="17"/>
  <c r="O45" i="17"/>
  <c r="N45" i="17"/>
  <c r="M45" i="17"/>
  <c r="L45" i="17"/>
  <c r="K45" i="17"/>
  <c r="J45" i="17"/>
  <c r="I45" i="17"/>
  <c r="H45" i="17"/>
  <c r="G45" i="17"/>
  <c r="F45" i="17"/>
  <c r="E45" i="17"/>
  <c r="D45" i="17"/>
  <c r="C45" i="17"/>
  <c r="AD44" i="17"/>
  <c r="AC44" i="17"/>
  <c r="AB44" i="17"/>
  <c r="AA44" i="17"/>
  <c r="Z44" i="17"/>
  <c r="Y44" i="17"/>
  <c r="X44" i="17"/>
  <c r="W44" i="17"/>
  <c r="V44" i="17"/>
  <c r="U44" i="17"/>
  <c r="T44" i="17"/>
  <c r="S44" i="17"/>
  <c r="R44" i="17"/>
  <c r="Q44" i="17"/>
  <c r="P44" i="17"/>
  <c r="O44" i="17"/>
  <c r="N44" i="17"/>
  <c r="M44" i="17"/>
  <c r="L44" i="17"/>
  <c r="K44" i="17"/>
  <c r="J44" i="17"/>
  <c r="I44" i="17"/>
  <c r="H44" i="17"/>
  <c r="G44" i="17"/>
  <c r="F44" i="17"/>
  <c r="E44" i="17"/>
  <c r="D44" i="17"/>
  <c r="C44" i="17"/>
  <c r="AD43" i="17"/>
  <c r="AC43" i="17"/>
  <c r="AB43" i="17"/>
  <c r="AA43" i="17"/>
  <c r="Z43" i="17"/>
  <c r="Y43" i="17"/>
  <c r="X43" i="17"/>
  <c r="W43" i="17"/>
  <c r="V43" i="17"/>
  <c r="U43" i="17"/>
  <c r="T43" i="17"/>
  <c r="S43" i="17"/>
  <c r="R43" i="17"/>
  <c r="Q43" i="17"/>
  <c r="P43" i="17"/>
  <c r="O43" i="17"/>
  <c r="N43" i="17"/>
  <c r="M43" i="17"/>
  <c r="L43" i="17"/>
  <c r="K43" i="17"/>
  <c r="J43" i="17"/>
  <c r="I43" i="17"/>
  <c r="H43" i="17"/>
  <c r="G43" i="17"/>
  <c r="F43" i="17"/>
  <c r="E43" i="17"/>
  <c r="D43" i="17"/>
  <c r="C43" i="17"/>
  <c r="AD42" i="17"/>
  <c r="AC42" i="17"/>
  <c r="AB42" i="17"/>
  <c r="AA42" i="17"/>
  <c r="Z42" i="17"/>
  <c r="Y42" i="17"/>
  <c r="X42" i="17"/>
  <c r="W42" i="17"/>
  <c r="V42" i="17"/>
  <c r="U42" i="17"/>
  <c r="T42" i="17"/>
  <c r="S42" i="17"/>
  <c r="R42" i="17"/>
  <c r="Q42" i="17"/>
  <c r="P42" i="17"/>
  <c r="O42" i="17"/>
  <c r="N42" i="17"/>
  <c r="M42" i="17"/>
  <c r="L42" i="17"/>
  <c r="K42" i="17"/>
  <c r="J42" i="17"/>
  <c r="I42" i="17"/>
  <c r="H42" i="17"/>
  <c r="G42" i="17"/>
  <c r="F42" i="17"/>
  <c r="E42" i="17"/>
  <c r="D42" i="17"/>
  <c r="C42" i="17"/>
  <c r="AD41" i="17"/>
  <c r="AC41" i="17"/>
  <c r="AB41" i="17"/>
  <c r="AA41" i="17"/>
  <c r="Z41" i="17"/>
  <c r="Y41" i="17"/>
  <c r="X41" i="17"/>
  <c r="W41" i="17"/>
  <c r="V41" i="17"/>
  <c r="U41" i="17"/>
  <c r="T41" i="17"/>
  <c r="S41" i="17"/>
  <c r="R41" i="17"/>
  <c r="Q41" i="17"/>
  <c r="P41" i="17"/>
  <c r="O41" i="17"/>
  <c r="N41" i="17"/>
  <c r="M41" i="17"/>
  <c r="L41" i="17"/>
  <c r="K41" i="17"/>
  <c r="J41" i="17"/>
  <c r="I41" i="17"/>
  <c r="H41" i="17"/>
  <c r="G41" i="17"/>
  <c r="F41" i="17"/>
  <c r="E41" i="17"/>
  <c r="D41" i="17"/>
  <c r="C41" i="17"/>
  <c r="AD40" i="17"/>
  <c r="AC40" i="17"/>
  <c r="AB40" i="17"/>
  <c r="AA40" i="17"/>
  <c r="Z40" i="17"/>
  <c r="Y40" i="17"/>
  <c r="X40" i="17"/>
  <c r="W40" i="17"/>
  <c r="V40" i="17"/>
  <c r="U40" i="17"/>
  <c r="T40" i="17"/>
  <c r="S40" i="17"/>
  <c r="R40" i="17"/>
  <c r="Q40" i="17"/>
  <c r="P40" i="17"/>
  <c r="O40" i="17"/>
  <c r="N40" i="17"/>
  <c r="M40" i="17"/>
  <c r="L40" i="17"/>
  <c r="K40" i="17"/>
  <c r="J40" i="17"/>
  <c r="I40" i="17"/>
  <c r="H40" i="17"/>
  <c r="G40" i="17"/>
  <c r="F40" i="17"/>
  <c r="E40" i="17"/>
  <c r="D40" i="17"/>
  <c r="C40" i="17"/>
  <c r="AD39" i="17"/>
  <c r="AC39" i="17"/>
  <c r="AB39" i="17"/>
  <c r="AA39" i="17"/>
  <c r="Z39" i="17"/>
  <c r="Y39" i="17"/>
  <c r="X39" i="17"/>
  <c r="W39" i="17"/>
  <c r="V39" i="17"/>
  <c r="U39" i="17"/>
  <c r="T39" i="17"/>
  <c r="S39" i="17"/>
  <c r="R39" i="17"/>
  <c r="Q39" i="17"/>
  <c r="P39" i="17"/>
  <c r="O39" i="17"/>
  <c r="N39" i="17"/>
  <c r="M39" i="17"/>
  <c r="L39" i="17"/>
  <c r="K39" i="17"/>
  <c r="J39" i="17"/>
  <c r="I39" i="17"/>
  <c r="H39" i="17"/>
  <c r="G39" i="17"/>
  <c r="F39" i="17"/>
  <c r="E39" i="17"/>
  <c r="D39" i="17"/>
  <c r="C39" i="17"/>
  <c r="AG38" i="17"/>
  <c r="AD38" i="17"/>
  <c r="AC38" i="17"/>
  <c r="AB38" i="17"/>
  <c r="AA38" i="17"/>
  <c r="Z38" i="17"/>
  <c r="Y38" i="17"/>
  <c r="X38" i="17"/>
  <c r="W38" i="17"/>
  <c r="V38" i="17"/>
  <c r="U38" i="17"/>
  <c r="T38" i="17"/>
  <c r="S38" i="17"/>
  <c r="R38" i="17"/>
  <c r="Q38" i="17"/>
  <c r="P38" i="17"/>
  <c r="O38" i="17"/>
  <c r="N38" i="17"/>
  <c r="M38" i="17"/>
  <c r="L38" i="17"/>
  <c r="K38" i="17"/>
  <c r="J38" i="17"/>
  <c r="I38" i="17"/>
  <c r="H38" i="17"/>
  <c r="G38" i="17"/>
  <c r="F38" i="17"/>
  <c r="E38" i="17"/>
  <c r="D38" i="17"/>
  <c r="C38" i="17"/>
  <c r="U37" i="17"/>
  <c r="T37" i="17"/>
  <c r="S37" i="17"/>
  <c r="R37" i="17"/>
  <c r="Q37" i="17"/>
  <c r="P37" i="17"/>
  <c r="O37" i="17"/>
  <c r="AD34" i="17"/>
  <c r="AC34" i="17"/>
  <c r="AB34" i="17"/>
  <c r="AA34" i="17"/>
  <c r="Z34" i="17"/>
  <c r="Y34" i="17"/>
  <c r="X34" i="17"/>
  <c r="W34" i="17"/>
  <c r="V34" i="17"/>
  <c r="U34" i="17"/>
  <c r="T34" i="17"/>
  <c r="S34" i="17"/>
  <c r="R34" i="17"/>
  <c r="Q34" i="17"/>
  <c r="P34" i="17"/>
  <c r="O34" i="17"/>
  <c r="N34" i="17"/>
  <c r="M34" i="17"/>
  <c r="L34" i="17"/>
  <c r="K34" i="17"/>
  <c r="J34" i="17"/>
  <c r="I34" i="17"/>
  <c r="H34" i="17"/>
  <c r="G34" i="17"/>
  <c r="F34" i="17"/>
  <c r="E34" i="17"/>
  <c r="D34" i="17"/>
  <c r="C34" i="17"/>
  <c r="AE33" i="17"/>
  <c r="A33" i="17"/>
  <c r="AE32" i="17"/>
  <c r="AE31" i="17"/>
  <c r="A31" i="17"/>
  <c r="A49" i="17" s="1"/>
  <c r="AE30" i="17"/>
  <c r="A30" i="17"/>
  <c r="A48" i="17" s="1"/>
  <c r="AE29" i="17"/>
  <c r="A29" i="17"/>
  <c r="AE28" i="17"/>
  <c r="A28" i="17"/>
  <c r="A46" i="17" s="1"/>
  <c r="AE27" i="17"/>
  <c r="A27" i="17"/>
  <c r="A45" i="17" s="1"/>
  <c r="AE26" i="17"/>
  <c r="A26" i="17"/>
  <c r="A44" i="17" s="1"/>
  <c r="AE25" i="17"/>
  <c r="A25" i="17"/>
  <c r="A43" i="17" s="1"/>
  <c r="AE24" i="17"/>
  <c r="A24" i="17"/>
  <c r="A42" i="17" s="1"/>
  <c r="AE23" i="17"/>
  <c r="A23" i="17"/>
  <c r="A41" i="17" s="1"/>
  <c r="AE22" i="17"/>
  <c r="A22" i="17"/>
  <c r="A40" i="17" s="1"/>
  <c r="AE21" i="17"/>
  <c r="A21" i="17"/>
  <c r="A39" i="17" s="1"/>
  <c r="AE20" i="17"/>
  <c r="A20" i="17"/>
  <c r="A38" i="17" s="1"/>
  <c r="N19" i="17"/>
  <c r="N37" i="17" s="1"/>
  <c r="M19" i="17"/>
  <c r="M37" i="17" s="1"/>
  <c r="L19" i="17"/>
  <c r="L37" i="17" s="1"/>
  <c r="K19" i="17"/>
  <c r="K37" i="17" s="1"/>
  <c r="J19" i="17"/>
  <c r="J37" i="17" s="1"/>
  <c r="I19" i="17"/>
  <c r="I37" i="17" s="1"/>
  <c r="H19" i="17"/>
  <c r="H37" i="17" s="1"/>
  <c r="G19" i="17"/>
  <c r="G37" i="17" s="1"/>
  <c r="F19" i="17"/>
  <c r="F37" i="17" s="1"/>
  <c r="E19" i="17"/>
  <c r="E37" i="17" s="1"/>
  <c r="D19" i="17"/>
  <c r="D37" i="17" s="1"/>
  <c r="C19" i="17"/>
  <c r="C37" i="17" s="1"/>
  <c r="A19" i="17"/>
  <c r="A37" i="17" s="1"/>
  <c r="AD17" i="17"/>
  <c r="AC17" i="17"/>
  <c r="AB17" i="17"/>
  <c r="AA17" i="17"/>
  <c r="Z17" i="17"/>
  <c r="Y17" i="17"/>
  <c r="X17" i="17"/>
  <c r="X52" i="17" s="1"/>
  <c r="W17" i="17"/>
  <c r="V17" i="17"/>
  <c r="U17" i="17"/>
  <c r="T17" i="17"/>
  <c r="S17" i="17"/>
  <c r="R17" i="17"/>
  <c r="Q17" i="17"/>
  <c r="P17" i="17"/>
  <c r="O17" i="17"/>
  <c r="N17" i="17"/>
  <c r="M17" i="17"/>
  <c r="L17" i="17"/>
  <c r="K17" i="17"/>
  <c r="J17" i="17"/>
  <c r="I17" i="17"/>
  <c r="H17" i="17"/>
  <c r="G17" i="17"/>
  <c r="F17" i="17"/>
  <c r="E17" i="17"/>
  <c r="D17" i="17"/>
  <c r="C17" i="17"/>
  <c r="AE16" i="17"/>
  <c r="AE15" i="17"/>
  <c r="AE14" i="17"/>
  <c r="AE13" i="17"/>
  <c r="AE12" i="17"/>
  <c r="AE11" i="17"/>
  <c r="AE10" i="17"/>
  <c r="AE9" i="17"/>
  <c r="AE8" i="17"/>
  <c r="AE7" i="17"/>
  <c r="AE6" i="17"/>
  <c r="AE5" i="17"/>
  <c r="AE4" i="17"/>
  <c r="AE3" i="17"/>
  <c r="J52" i="17" l="1"/>
  <c r="Z52" i="17"/>
  <c r="AD52" i="17"/>
  <c r="AF38" i="18"/>
  <c r="C61" i="18"/>
  <c r="C60" i="18"/>
  <c r="L53" i="18"/>
  <c r="AF40" i="18"/>
  <c r="T53" i="18"/>
  <c r="J53" i="18"/>
  <c r="Z53" i="18"/>
  <c r="AF45" i="18"/>
  <c r="C53" i="18"/>
  <c r="O53" i="18"/>
  <c r="E53" i="18"/>
  <c r="U53" i="18"/>
  <c r="AF48" i="18"/>
  <c r="W53" i="18"/>
  <c r="AB53" i="18"/>
  <c r="AF41" i="18"/>
  <c r="AF50" i="18"/>
  <c r="N53" i="18"/>
  <c r="AD53" i="18"/>
  <c r="AF46" i="18"/>
  <c r="G53" i="18"/>
  <c r="S53" i="18"/>
  <c r="I53" i="18"/>
  <c r="Y53" i="18"/>
  <c r="AF49" i="18"/>
  <c r="K53" i="18"/>
  <c r="AC53" i="18"/>
  <c r="AF39" i="18"/>
  <c r="F53" i="18"/>
  <c r="AF44" i="18"/>
  <c r="AA53" i="18"/>
  <c r="AF47" i="18"/>
  <c r="X53" i="18"/>
  <c r="AF42" i="18"/>
  <c r="AF51" i="18"/>
  <c r="R53" i="18"/>
  <c r="AF43" i="18"/>
  <c r="D53" i="18"/>
  <c r="M53" i="18"/>
  <c r="H53" i="18"/>
  <c r="V53" i="18"/>
  <c r="P53" i="18"/>
  <c r="Q53" i="18"/>
  <c r="AE44" i="17"/>
  <c r="K52" i="17"/>
  <c r="AA52" i="17"/>
  <c r="U52" i="17"/>
  <c r="O52" i="17"/>
  <c r="Q52" i="17"/>
  <c r="D52" i="17"/>
  <c r="L52" i="17"/>
  <c r="P52" i="17"/>
  <c r="T52" i="17"/>
  <c r="AB52" i="17"/>
  <c r="AE51" i="17"/>
  <c r="S52" i="17"/>
  <c r="AC52" i="17"/>
  <c r="AE41" i="17"/>
  <c r="Y52" i="17"/>
  <c r="V52" i="17"/>
  <c r="N52" i="17"/>
  <c r="AE34" i="17"/>
  <c r="C58" i="17" s="1"/>
  <c r="C52" i="17"/>
  <c r="I52" i="17"/>
  <c r="M52" i="17"/>
  <c r="R52" i="17"/>
  <c r="W52" i="17"/>
  <c r="AE50" i="17"/>
  <c r="AE46" i="17"/>
  <c r="AE45" i="17"/>
  <c r="AE42" i="17"/>
  <c r="H52" i="17"/>
  <c r="AE39" i="17"/>
  <c r="AE40" i="17"/>
  <c r="G52" i="17"/>
  <c r="F52" i="17"/>
  <c r="AE43" i="17"/>
  <c r="AE47" i="17"/>
  <c r="E52" i="17"/>
  <c r="AE48" i="17"/>
  <c r="AE49" i="17"/>
  <c r="AE17" i="17"/>
  <c r="C56" i="17" s="1"/>
  <c r="AE38" i="17"/>
  <c r="AD51" i="16"/>
  <c r="AC51" i="16"/>
  <c r="AB51" i="16"/>
  <c r="AA51" i="16"/>
  <c r="Z51" i="16"/>
  <c r="Y51" i="16"/>
  <c r="X51" i="16"/>
  <c r="W51" i="16"/>
  <c r="V51" i="16"/>
  <c r="U51" i="16"/>
  <c r="T51" i="16"/>
  <c r="S51" i="16"/>
  <c r="R51" i="16"/>
  <c r="Q51" i="16"/>
  <c r="P51" i="16"/>
  <c r="O51" i="16"/>
  <c r="N51" i="16"/>
  <c r="M51" i="16"/>
  <c r="L51" i="16"/>
  <c r="K51" i="16"/>
  <c r="J51" i="16"/>
  <c r="I51" i="16"/>
  <c r="H51" i="16"/>
  <c r="G51" i="16"/>
  <c r="F51" i="16"/>
  <c r="E51" i="16"/>
  <c r="D51" i="16"/>
  <c r="C51" i="16"/>
  <c r="AD50" i="16"/>
  <c r="AC50" i="16"/>
  <c r="AB50" i="16"/>
  <c r="AA50" i="16"/>
  <c r="Z50" i="16"/>
  <c r="Y50" i="16"/>
  <c r="X50" i="16"/>
  <c r="W50" i="16"/>
  <c r="V50" i="16"/>
  <c r="U50" i="16"/>
  <c r="T50" i="16"/>
  <c r="S50" i="16"/>
  <c r="R50" i="16"/>
  <c r="Q50" i="16"/>
  <c r="P50" i="16"/>
  <c r="O50" i="16"/>
  <c r="N50" i="16"/>
  <c r="M50" i="16"/>
  <c r="L50" i="16"/>
  <c r="K50" i="16"/>
  <c r="J50" i="16"/>
  <c r="I50" i="16"/>
  <c r="H50" i="16"/>
  <c r="G50" i="16"/>
  <c r="F50" i="16"/>
  <c r="E50" i="16"/>
  <c r="D50" i="16"/>
  <c r="C50" i="16"/>
  <c r="A50" i="16"/>
  <c r="AD49" i="16"/>
  <c r="AC49" i="16"/>
  <c r="AB49" i="16"/>
  <c r="AA49" i="16"/>
  <c r="Z49" i="16"/>
  <c r="Y49" i="16"/>
  <c r="X49" i="16"/>
  <c r="W49" i="16"/>
  <c r="V49" i="16"/>
  <c r="U49" i="16"/>
  <c r="T49" i="16"/>
  <c r="S49" i="16"/>
  <c r="R49" i="16"/>
  <c r="Q49" i="16"/>
  <c r="P49" i="16"/>
  <c r="O49" i="16"/>
  <c r="N49" i="16"/>
  <c r="M49" i="16"/>
  <c r="L49" i="16"/>
  <c r="K49" i="16"/>
  <c r="J49" i="16"/>
  <c r="I49" i="16"/>
  <c r="H49" i="16"/>
  <c r="G49" i="16"/>
  <c r="F49" i="16"/>
  <c r="E49" i="16"/>
  <c r="D49" i="16"/>
  <c r="C49" i="16"/>
  <c r="AD48" i="16"/>
  <c r="AC48" i="16"/>
  <c r="AB48" i="16"/>
  <c r="AA48" i="16"/>
  <c r="Z48" i="16"/>
  <c r="Y48" i="16"/>
  <c r="X48" i="16"/>
  <c r="W48" i="16"/>
  <c r="V48" i="16"/>
  <c r="U48" i="16"/>
  <c r="T48" i="16"/>
  <c r="S48" i="16"/>
  <c r="R48" i="16"/>
  <c r="Q48" i="16"/>
  <c r="P48" i="16"/>
  <c r="O48" i="16"/>
  <c r="N48" i="16"/>
  <c r="M48" i="16"/>
  <c r="L48" i="16"/>
  <c r="K48" i="16"/>
  <c r="J48" i="16"/>
  <c r="I48" i="16"/>
  <c r="H48" i="16"/>
  <c r="G48" i="16"/>
  <c r="F48" i="16"/>
  <c r="E48" i="16"/>
  <c r="D48" i="16"/>
  <c r="C48" i="16"/>
  <c r="AD47" i="16"/>
  <c r="AC47" i="16"/>
  <c r="AB47" i="16"/>
  <c r="AA47" i="16"/>
  <c r="Z47" i="16"/>
  <c r="Y47" i="16"/>
  <c r="X47" i="16"/>
  <c r="W47" i="16"/>
  <c r="V47" i="16"/>
  <c r="U47" i="16"/>
  <c r="T47" i="16"/>
  <c r="S47" i="16"/>
  <c r="R47" i="16"/>
  <c r="Q47" i="16"/>
  <c r="P47" i="16"/>
  <c r="O47" i="16"/>
  <c r="N47" i="16"/>
  <c r="M47" i="16"/>
  <c r="L47" i="16"/>
  <c r="K47" i="16"/>
  <c r="J47" i="16"/>
  <c r="I47" i="16"/>
  <c r="H47" i="16"/>
  <c r="G47" i="16"/>
  <c r="F47" i="16"/>
  <c r="E47" i="16"/>
  <c r="D47" i="16"/>
  <c r="C47" i="16"/>
  <c r="AD46" i="16"/>
  <c r="AC46" i="16"/>
  <c r="AB46" i="16"/>
  <c r="AA46" i="16"/>
  <c r="Z46" i="16"/>
  <c r="Y46" i="16"/>
  <c r="X46" i="16"/>
  <c r="W46" i="16"/>
  <c r="V46" i="16"/>
  <c r="U46" i="16"/>
  <c r="T46" i="16"/>
  <c r="S46" i="16"/>
  <c r="R46" i="16"/>
  <c r="Q46" i="16"/>
  <c r="P46" i="16"/>
  <c r="O46" i="16"/>
  <c r="N46" i="16"/>
  <c r="M46" i="16"/>
  <c r="L46" i="16"/>
  <c r="K46" i="16"/>
  <c r="J46" i="16"/>
  <c r="I46" i="16"/>
  <c r="H46" i="16"/>
  <c r="G46" i="16"/>
  <c r="F46" i="16"/>
  <c r="E46" i="16"/>
  <c r="D46" i="16"/>
  <c r="C46" i="16"/>
  <c r="AD45" i="16"/>
  <c r="AC45" i="16"/>
  <c r="AB45" i="16"/>
  <c r="AA45" i="16"/>
  <c r="Z45" i="16"/>
  <c r="Y45" i="16"/>
  <c r="X45" i="16"/>
  <c r="W45" i="16"/>
  <c r="V45" i="16"/>
  <c r="U45" i="16"/>
  <c r="T45" i="16"/>
  <c r="S45" i="16"/>
  <c r="R45" i="16"/>
  <c r="Q45" i="16"/>
  <c r="P45" i="16"/>
  <c r="O45" i="16"/>
  <c r="N45" i="16"/>
  <c r="M45" i="16"/>
  <c r="L45" i="16"/>
  <c r="K45" i="16"/>
  <c r="J45" i="16"/>
  <c r="I45" i="16"/>
  <c r="H45" i="16"/>
  <c r="G45" i="16"/>
  <c r="F45" i="16"/>
  <c r="E45" i="16"/>
  <c r="D45" i="16"/>
  <c r="C45" i="16"/>
  <c r="AD44" i="16"/>
  <c r="AC44" i="16"/>
  <c r="AB44" i="16"/>
  <c r="AA44" i="16"/>
  <c r="Z44" i="16"/>
  <c r="Y44" i="16"/>
  <c r="X44" i="16"/>
  <c r="W44" i="16"/>
  <c r="V44" i="16"/>
  <c r="U44" i="16"/>
  <c r="T44" i="16"/>
  <c r="S44" i="16"/>
  <c r="R44" i="16"/>
  <c r="Q44" i="16"/>
  <c r="P44" i="16"/>
  <c r="O44" i="16"/>
  <c r="N44" i="16"/>
  <c r="M44" i="16"/>
  <c r="L44" i="16"/>
  <c r="K44" i="16"/>
  <c r="J44" i="16"/>
  <c r="I44" i="16"/>
  <c r="H44" i="16"/>
  <c r="G44" i="16"/>
  <c r="F44" i="16"/>
  <c r="E44" i="16"/>
  <c r="D44" i="16"/>
  <c r="C44" i="16"/>
  <c r="AD43" i="16"/>
  <c r="AC43" i="16"/>
  <c r="AB43" i="16"/>
  <c r="AA43" i="16"/>
  <c r="Z43" i="16"/>
  <c r="Y43" i="16"/>
  <c r="X43" i="16"/>
  <c r="W43" i="16"/>
  <c r="V43" i="16"/>
  <c r="U43" i="16"/>
  <c r="T43" i="16"/>
  <c r="S43" i="16"/>
  <c r="R43" i="16"/>
  <c r="Q43" i="16"/>
  <c r="P43" i="16"/>
  <c r="O43" i="16"/>
  <c r="N43" i="16"/>
  <c r="M43" i="16"/>
  <c r="L43" i="16"/>
  <c r="K43" i="16"/>
  <c r="J43" i="16"/>
  <c r="I43" i="16"/>
  <c r="H43" i="16"/>
  <c r="G43" i="16"/>
  <c r="F43" i="16"/>
  <c r="E43" i="16"/>
  <c r="D43" i="16"/>
  <c r="C43" i="16"/>
  <c r="AD42" i="16"/>
  <c r="AC42" i="16"/>
  <c r="AB42" i="16"/>
  <c r="AA42" i="16"/>
  <c r="Z42" i="16"/>
  <c r="Y42" i="16"/>
  <c r="X42" i="16"/>
  <c r="W42" i="16"/>
  <c r="V42" i="16"/>
  <c r="U42" i="16"/>
  <c r="T42" i="16"/>
  <c r="S42" i="16"/>
  <c r="R42" i="16"/>
  <c r="Q42" i="16"/>
  <c r="P42" i="16"/>
  <c r="O42" i="16"/>
  <c r="N42" i="16"/>
  <c r="M42" i="16"/>
  <c r="L42" i="16"/>
  <c r="K42" i="16"/>
  <c r="J42" i="16"/>
  <c r="I42" i="16"/>
  <c r="H42" i="16"/>
  <c r="G42" i="16"/>
  <c r="F42" i="16"/>
  <c r="E42" i="16"/>
  <c r="D42" i="16"/>
  <c r="C42" i="16"/>
  <c r="AD41" i="16"/>
  <c r="AC41" i="16"/>
  <c r="AB41" i="16"/>
  <c r="AA41" i="16"/>
  <c r="Z41" i="16"/>
  <c r="Y41" i="16"/>
  <c r="X41" i="16"/>
  <c r="W41" i="16"/>
  <c r="V41" i="16"/>
  <c r="U41" i="16"/>
  <c r="T41" i="16"/>
  <c r="S41" i="16"/>
  <c r="R41" i="16"/>
  <c r="Q41" i="16"/>
  <c r="P41" i="16"/>
  <c r="O41" i="16"/>
  <c r="N41" i="16"/>
  <c r="M41" i="16"/>
  <c r="L41" i="16"/>
  <c r="K41" i="16"/>
  <c r="J41" i="16"/>
  <c r="I41" i="16"/>
  <c r="H41" i="16"/>
  <c r="G41" i="16"/>
  <c r="F41" i="16"/>
  <c r="E41" i="16"/>
  <c r="D41" i="16"/>
  <c r="C41" i="16"/>
  <c r="AD40" i="16"/>
  <c r="AC40" i="16"/>
  <c r="AB40" i="16"/>
  <c r="AA40" i="16"/>
  <c r="Z40" i="16"/>
  <c r="Y40" i="16"/>
  <c r="X40" i="16"/>
  <c r="W40" i="16"/>
  <c r="V40" i="16"/>
  <c r="U40" i="16"/>
  <c r="T40" i="16"/>
  <c r="S40" i="16"/>
  <c r="R40" i="16"/>
  <c r="Q40" i="16"/>
  <c r="P40" i="16"/>
  <c r="O40" i="16"/>
  <c r="N40" i="16"/>
  <c r="M40" i="16"/>
  <c r="L40" i="16"/>
  <c r="K40" i="16"/>
  <c r="J40" i="16"/>
  <c r="I40" i="16"/>
  <c r="H40" i="16"/>
  <c r="G40" i="16"/>
  <c r="F40" i="16"/>
  <c r="E40" i="16"/>
  <c r="D40" i="16"/>
  <c r="C40" i="16"/>
  <c r="AD39" i="16"/>
  <c r="AC39" i="16"/>
  <c r="AB39" i="16"/>
  <c r="AA39" i="16"/>
  <c r="Z39" i="16"/>
  <c r="Y39" i="16"/>
  <c r="X39" i="16"/>
  <c r="W39" i="16"/>
  <c r="V39" i="16"/>
  <c r="U39" i="16"/>
  <c r="T39" i="16"/>
  <c r="S39" i="16"/>
  <c r="R39" i="16"/>
  <c r="Q39" i="16"/>
  <c r="P39" i="16"/>
  <c r="O39" i="16"/>
  <c r="N39" i="16"/>
  <c r="M39" i="16"/>
  <c r="L39" i="16"/>
  <c r="K39" i="16"/>
  <c r="J39" i="16"/>
  <c r="I39" i="16"/>
  <c r="H39" i="16"/>
  <c r="G39" i="16"/>
  <c r="F39" i="16"/>
  <c r="E39" i="16"/>
  <c r="D39" i="16"/>
  <c r="C39" i="16"/>
  <c r="AG38" i="16"/>
  <c r="AD38" i="16"/>
  <c r="AC38" i="16"/>
  <c r="AC52" i="16" s="1"/>
  <c r="AB38" i="16"/>
  <c r="AA38" i="16"/>
  <c r="Z38" i="16"/>
  <c r="Y38" i="16"/>
  <c r="X38" i="16"/>
  <c r="W38" i="16"/>
  <c r="V38" i="16"/>
  <c r="U38" i="16"/>
  <c r="T38" i="16"/>
  <c r="S38" i="16"/>
  <c r="R38" i="16"/>
  <c r="Q38" i="16"/>
  <c r="P38" i="16"/>
  <c r="O38" i="16"/>
  <c r="N38" i="16"/>
  <c r="M38" i="16"/>
  <c r="L38" i="16"/>
  <c r="K38" i="16"/>
  <c r="J38" i="16"/>
  <c r="I38" i="16"/>
  <c r="H38" i="16"/>
  <c r="G38" i="16"/>
  <c r="F38" i="16"/>
  <c r="E38" i="16"/>
  <c r="D38" i="16"/>
  <c r="C38" i="16"/>
  <c r="U37" i="16"/>
  <c r="T37" i="16"/>
  <c r="S37" i="16"/>
  <c r="R37" i="16"/>
  <c r="Q37" i="16"/>
  <c r="P37" i="16"/>
  <c r="O37" i="16"/>
  <c r="AD34" i="16"/>
  <c r="AC34" i="16"/>
  <c r="AB34" i="16"/>
  <c r="AA34" i="16"/>
  <c r="Z34" i="16"/>
  <c r="Y34" i="16"/>
  <c r="X34" i="16"/>
  <c r="W34" i="16"/>
  <c r="V34" i="16"/>
  <c r="U34" i="16"/>
  <c r="T34" i="16"/>
  <c r="S34" i="16"/>
  <c r="R34" i="16"/>
  <c r="Q34" i="16"/>
  <c r="P34" i="16"/>
  <c r="O34" i="16"/>
  <c r="N34" i="16"/>
  <c r="M34" i="16"/>
  <c r="L34" i="16"/>
  <c r="K34" i="16"/>
  <c r="J34" i="16"/>
  <c r="I34" i="16"/>
  <c r="H34" i="16"/>
  <c r="G34" i="16"/>
  <c r="F34" i="16"/>
  <c r="E34" i="16"/>
  <c r="D34" i="16"/>
  <c r="C34" i="16"/>
  <c r="AE33" i="16"/>
  <c r="A33" i="16"/>
  <c r="AE32" i="16"/>
  <c r="AE31" i="16"/>
  <c r="A31" i="16"/>
  <c r="A49" i="16" s="1"/>
  <c r="AE30" i="16"/>
  <c r="A30" i="16"/>
  <c r="A48" i="16" s="1"/>
  <c r="AE29" i="16"/>
  <c r="A29" i="16"/>
  <c r="A47" i="16" s="1"/>
  <c r="AE28" i="16"/>
  <c r="A28" i="16"/>
  <c r="A46" i="16" s="1"/>
  <c r="AE27" i="16"/>
  <c r="A27" i="16"/>
  <c r="A45" i="16" s="1"/>
  <c r="AE26" i="16"/>
  <c r="A26" i="16"/>
  <c r="A44" i="16" s="1"/>
  <c r="AE25" i="16"/>
  <c r="A25" i="16"/>
  <c r="A43" i="16" s="1"/>
  <c r="AE24" i="16"/>
  <c r="A24" i="16"/>
  <c r="A42" i="16" s="1"/>
  <c r="AE23" i="16"/>
  <c r="A23" i="16"/>
  <c r="A41" i="16" s="1"/>
  <c r="AE22" i="16"/>
  <c r="A22" i="16"/>
  <c r="A40" i="16" s="1"/>
  <c r="AE21" i="16"/>
  <c r="A21" i="16"/>
  <c r="A39" i="16" s="1"/>
  <c r="AE20" i="16"/>
  <c r="A20" i="16"/>
  <c r="A38" i="16" s="1"/>
  <c r="N19" i="16"/>
  <c r="N37" i="16" s="1"/>
  <c r="M19" i="16"/>
  <c r="M37" i="16" s="1"/>
  <c r="L19" i="16"/>
  <c r="L37" i="16" s="1"/>
  <c r="K19" i="16"/>
  <c r="K37" i="16" s="1"/>
  <c r="J19" i="16"/>
  <c r="J37" i="16" s="1"/>
  <c r="I19" i="16"/>
  <c r="I37" i="16" s="1"/>
  <c r="H19" i="16"/>
  <c r="H37" i="16" s="1"/>
  <c r="G19" i="16"/>
  <c r="G37" i="16" s="1"/>
  <c r="F19" i="16"/>
  <c r="F37" i="16" s="1"/>
  <c r="E19" i="16"/>
  <c r="E37" i="16" s="1"/>
  <c r="D19" i="16"/>
  <c r="D37" i="16" s="1"/>
  <c r="C19" i="16"/>
  <c r="C37" i="16" s="1"/>
  <c r="A19" i="16"/>
  <c r="A37" i="16" s="1"/>
  <c r="AD17" i="16"/>
  <c r="AC17" i="16"/>
  <c r="AB17" i="16"/>
  <c r="AA17" i="16"/>
  <c r="Z17" i="16"/>
  <c r="Y17" i="16"/>
  <c r="X17" i="16"/>
  <c r="X52" i="16" s="1"/>
  <c r="W17" i="16"/>
  <c r="V17" i="16"/>
  <c r="U17" i="16"/>
  <c r="T17" i="16"/>
  <c r="S17" i="16"/>
  <c r="R17" i="16"/>
  <c r="Q17" i="16"/>
  <c r="P17" i="16"/>
  <c r="O17" i="16"/>
  <c r="N17" i="16"/>
  <c r="M17" i="16"/>
  <c r="L17" i="16"/>
  <c r="K17" i="16"/>
  <c r="J17" i="16"/>
  <c r="I17" i="16"/>
  <c r="H17" i="16"/>
  <c r="G17" i="16"/>
  <c r="F17" i="16"/>
  <c r="E17" i="16"/>
  <c r="D17" i="16"/>
  <c r="C17" i="16"/>
  <c r="AE16" i="16"/>
  <c r="AE15" i="16"/>
  <c r="AE14" i="16"/>
  <c r="AE13" i="16"/>
  <c r="AE12" i="16"/>
  <c r="AE11" i="16"/>
  <c r="AE10" i="16"/>
  <c r="AE9" i="16"/>
  <c r="AE8" i="16"/>
  <c r="AE7" i="16"/>
  <c r="AE6" i="16"/>
  <c r="AE5" i="16"/>
  <c r="AE4" i="16"/>
  <c r="AE3" i="16"/>
  <c r="AD51" i="15"/>
  <c r="AC51" i="15"/>
  <c r="AB51" i="15"/>
  <c r="AA51" i="15"/>
  <c r="Z51" i="15"/>
  <c r="Y51" i="15"/>
  <c r="X51" i="15"/>
  <c r="W51" i="15"/>
  <c r="V51" i="15"/>
  <c r="U51" i="15"/>
  <c r="T51" i="15"/>
  <c r="S51" i="15"/>
  <c r="R51" i="15"/>
  <c r="Q51" i="15"/>
  <c r="P51" i="15"/>
  <c r="O51" i="15"/>
  <c r="N51" i="15"/>
  <c r="M51" i="15"/>
  <c r="L51" i="15"/>
  <c r="K51" i="15"/>
  <c r="J51" i="15"/>
  <c r="I51" i="15"/>
  <c r="H51" i="15"/>
  <c r="G51" i="15"/>
  <c r="F51" i="15"/>
  <c r="E51" i="15"/>
  <c r="D51" i="15"/>
  <c r="C51" i="15"/>
  <c r="AD50" i="15"/>
  <c r="AC50" i="15"/>
  <c r="AB50" i="15"/>
  <c r="AA50" i="15"/>
  <c r="Z50" i="15"/>
  <c r="Y50" i="15"/>
  <c r="X50" i="15"/>
  <c r="W50" i="15"/>
  <c r="V50" i="15"/>
  <c r="U50" i="15"/>
  <c r="T50" i="15"/>
  <c r="S50" i="15"/>
  <c r="R50" i="15"/>
  <c r="Q50" i="15"/>
  <c r="P50" i="15"/>
  <c r="O50" i="15"/>
  <c r="N50" i="15"/>
  <c r="M50" i="15"/>
  <c r="L50" i="15"/>
  <c r="K50" i="15"/>
  <c r="J50" i="15"/>
  <c r="I50" i="15"/>
  <c r="H50" i="15"/>
  <c r="G50" i="15"/>
  <c r="F50" i="15"/>
  <c r="E50" i="15"/>
  <c r="D50" i="15"/>
  <c r="C50" i="15"/>
  <c r="A50" i="15"/>
  <c r="AD49" i="15"/>
  <c r="AC49" i="15"/>
  <c r="AB49" i="15"/>
  <c r="AA49" i="15"/>
  <c r="Z49" i="15"/>
  <c r="Y49" i="15"/>
  <c r="X49" i="15"/>
  <c r="W49" i="15"/>
  <c r="V49" i="15"/>
  <c r="U49" i="15"/>
  <c r="T49" i="15"/>
  <c r="S49" i="15"/>
  <c r="R49" i="15"/>
  <c r="Q49" i="15"/>
  <c r="P49" i="15"/>
  <c r="O49" i="15"/>
  <c r="N49" i="15"/>
  <c r="M49" i="15"/>
  <c r="L49" i="15"/>
  <c r="K49" i="15"/>
  <c r="J49" i="15"/>
  <c r="I49" i="15"/>
  <c r="H49" i="15"/>
  <c r="G49" i="15"/>
  <c r="F49" i="15"/>
  <c r="E49" i="15"/>
  <c r="D49" i="15"/>
  <c r="C49" i="15"/>
  <c r="AD48" i="15"/>
  <c r="AC48" i="15"/>
  <c r="AB48" i="15"/>
  <c r="AA48" i="15"/>
  <c r="Z48" i="15"/>
  <c r="Y48" i="15"/>
  <c r="X48" i="15"/>
  <c r="W48" i="15"/>
  <c r="V48" i="15"/>
  <c r="U48" i="15"/>
  <c r="T48" i="15"/>
  <c r="S48" i="15"/>
  <c r="R48" i="15"/>
  <c r="Q48" i="15"/>
  <c r="P48" i="15"/>
  <c r="O48" i="15"/>
  <c r="N48" i="15"/>
  <c r="M48" i="15"/>
  <c r="L48" i="15"/>
  <c r="K48" i="15"/>
  <c r="J48" i="15"/>
  <c r="I48" i="15"/>
  <c r="H48" i="15"/>
  <c r="G48" i="15"/>
  <c r="F48" i="15"/>
  <c r="E48" i="15"/>
  <c r="D48" i="15"/>
  <c r="C48" i="15"/>
  <c r="AD47" i="15"/>
  <c r="AC47" i="15"/>
  <c r="AB47" i="15"/>
  <c r="AA47" i="15"/>
  <c r="Z47" i="15"/>
  <c r="Y47" i="15"/>
  <c r="X47" i="15"/>
  <c r="W47" i="15"/>
  <c r="V47" i="15"/>
  <c r="U47" i="15"/>
  <c r="T47" i="15"/>
  <c r="S47" i="15"/>
  <c r="R47" i="15"/>
  <c r="Q47" i="15"/>
  <c r="P47" i="15"/>
  <c r="O47" i="15"/>
  <c r="N47" i="15"/>
  <c r="M47" i="15"/>
  <c r="L47" i="15"/>
  <c r="K47" i="15"/>
  <c r="J47" i="15"/>
  <c r="I47" i="15"/>
  <c r="H47" i="15"/>
  <c r="G47" i="15"/>
  <c r="F47" i="15"/>
  <c r="E47" i="15"/>
  <c r="D47" i="15"/>
  <c r="C47" i="15"/>
  <c r="AD46" i="15"/>
  <c r="AC46" i="15"/>
  <c r="AB46" i="15"/>
  <c r="AA46" i="15"/>
  <c r="Z46" i="15"/>
  <c r="Y46" i="15"/>
  <c r="X46" i="15"/>
  <c r="W46" i="15"/>
  <c r="V46" i="15"/>
  <c r="U46" i="15"/>
  <c r="T46" i="15"/>
  <c r="S46" i="15"/>
  <c r="R46" i="15"/>
  <c r="Q46" i="15"/>
  <c r="P46" i="15"/>
  <c r="O46" i="15"/>
  <c r="N46" i="15"/>
  <c r="M46" i="15"/>
  <c r="L46" i="15"/>
  <c r="K46" i="15"/>
  <c r="J46" i="15"/>
  <c r="I46" i="15"/>
  <c r="H46" i="15"/>
  <c r="G46" i="15"/>
  <c r="F46" i="15"/>
  <c r="E46" i="15"/>
  <c r="D46" i="15"/>
  <c r="C46" i="15"/>
  <c r="AD45" i="15"/>
  <c r="AC45" i="15"/>
  <c r="AB45" i="15"/>
  <c r="AA45" i="15"/>
  <c r="Z45" i="15"/>
  <c r="Y45" i="15"/>
  <c r="X45" i="15"/>
  <c r="W45" i="15"/>
  <c r="V45" i="15"/>
  <c r="U45" i="15"/>
  <c r="T45" i="15"/>
  <c r="S45" i="15"/>
  <c r="R45" i="15"/>
  <c r="Q45" i="15"/>
  <c r="P45" i="15"/>
  <c r="O45" i="15"/>
  <c r="N45" i="15"/>
  <c r="M45" i="15"/>
  <c r="L45" i="15"/>
  <c r="K45" i="15"/>
  <c r="J45" i="15"/>
  <c r="I45" i="15"/>
  <c r="H45" i="15"/>
  <c r="G45" i="15"/>
  <c r="F45" i="15"/>
  <c r="E45" i="15"/>
  <c r="D45" i="15"/>
  <c r="C45" i="15"/>
  <c r="AD44" i="15"/>
  <c r="AC44" i="15"/>
  <c r="AB44" i="15"/>
  <c r="AA44" i="15"/>
  <c r="Z44" i="15"/>
  <c r="Y44" i="15"/>
  <c r="X44" i="15"/>
  <c r="W44" i="15"/>
  <c r="V44" i="15"/>
  <c r="U44" i="15"/>
  <c r="T44" i="15"/>
  <c r="S44" i="15"/>
  <c r="R44" i="15"/>
  <c r="Q44" i="15"/>
  <c r="P44" i="15"/>
  <c r="O44" i="15"/>
  <c r="N44" i="15"/>
  <c r="M44" i="15"/>
  <c r="L44" i="15"/>
  <c r="K44" i="15"/>
  <c r="J44" i="15"/>
  <c r="I44" i="15"/>
  <c r="H44" i="15"/>
  <c r="G44" i="15"/>
  <c r="F44" i="15"/>
  <c r="E44" i="15"/>
  <c r="D44" i="15"/>
  <c r="C44" i="15"/>
  <c r="AD43" i="15"/>
  <c r="AC43" i="15"/>
  <c r="AB43" i="15"/>
  <c r="AA43" i="15"/>
  <c r="Z43" i="15"/>
  <c r="Y43" i="15"/>
  <c r="X43" i="15"/>
  <c r="W43" i="15"/>
  <c r="V43" i="15"/>
  <c r="U43" i="15"/>
  <c r="T43" i="15"/>
  <c r="S43" i="15"/>
  <c r="R43" i="15"/>
  <c r="Q43" i="15"/>
  <c r="P43" i="15"/>
  <c r="O43" i="15"/>
  <c r="N43" i="15"/>
  <c r="M43" i="15"/>
  <c r="L43" i="15"/>
  <c r="K43" i="15"/>
  <c r="J43" i="15"/>
  <c r="I43" i="15"/>
  <c r="H43" i="15"/>
  <c r="G43" i="15"/>
  <c r="F43" i="15"/>
  <c r="E43" i="15"/>
  <c r="D43" i="15"/>
  <c r="C43" i="15"/>
  <c r="AD42" i="15"/>
  <c r="AC42" i="15"/>
  <c r="AB42" i="15"/>
  <c r="AA42" i="15"/>
  <c r="Z42" i="15"/>
  <c r="Y42" i="15"/>
  <c r="X42" i="15"/>
  <c r="W42" i="15"/>
  <c r="V42" i="15"/>
  <c r="U42" i="15"/>
  <c r="T42" i="15"/>
  <c r="S42" i="15"/>
  <c r="R42" i="15"/>
  <c r="Q42" i="15"/>
  <c r="P42" i="15"/>
  <c r="O42" i="15"/>
  <c r="N42" i="15"/>
  <c r="M42" i="15"/>
  <c r="L42" i="15"/>
  <c r="K42" i="15"/>
  <c r="J42" i="15"/>
  <c r="I42" i="15"/>
  <c r="H42" i="15"/>
  <c r="G42" i="15"/>
  <c r="F42" i="15"/>
  <c r="E42" i="15"/>
  <c r="D42" i="15"/>
  <c r="C42" i="15"/>
  <c r="AD41" i="15"/>
  <c r="AC41" i="15"/>
  <c r="AB41" i="15"/>
  <c r="AA41" i="15"/>
  <c r="Z41" i="15"/>
  <c r="Y41" i="15"/>
  <c r="X41" i="15"/>
  <c r="W41" i="15"/>
  <c r="V41" i="15"/>
  <c r="U41" i="15"/>
  <c r="T41" i="15"/>
  <c r="S41" i="15"/>
  <c r="R41" i="15"/>
  <c r="Q41" i="15"/>
  <c r="P41" i="15"/>
  <c r="O41" i="15"/>
  <c r="N41" i="15"/>
  <c r="M41" i="15"/>
  <c r="L41" i="15"/>
  <c r="K41" i="15"/>
  <c r="J41" i="15"/>
  <c r="I41" i="15"/>
  <c r="H41" i="15"/>
  <c r="G41" i="15"/>
  <c r="F41" i="15"/>
  <c r="E41" i="15"/>
  <c r="D41" i="15"/>
  <c r="C41" i="15"/>
  <c r="AD40" i="15"/>
  <c r="AC40" i="15"/>
  <c r="AB40" i="15"/>
  <c r="AA40" i="15"/>
  <c r="Z40" i="15"/>
  <c r="Y40" i="15"/>
  <c r="X40" i="15"/>
  <c r="W40" i="15"/>
  <c r="V40" i="15"/>
  <c r="U40" i="15"/>
  <c r="T40" i="15"/>
  <c r="S40" i="15"/>
  <c r="R40" i="15"/>
  <c r="Q40" i="15"/>
  <c r="P40" i="15"/>
  <c r="O40" i="15"/>
  <c r="N40" i="15"/>
  <c r="M40" i="15"/>
  <c r="L40" i="15"/>
  <c r="K40" i="15"/>
  <c r="J40" i="15"/>
  <c r="I40" i="15"/>
  <c r="H40" i="15"/>
  <c r="G40" i="15"/>
  <c r="F40" i="15"/>
  <c r="E40" i="15"/>
  <c r="D40" i="15"/>
  <c r="C40" i="15"/>
  <c r="AD39" i="15"/>
  <c r="AC39" i="15"/>
  <c r="AB39" i="15"/>
  <c r="AA39" i="15"/>
  <c r="Z39" i="15"/>
  <c r="Y39" i="15"/>
  <c r="X39" i="15"/>
  <c r="W39" i="15"/>
  <c r="V39" i="15"/>
  <c r="U39" i="15"/>
  <c r="T39" i="15"/>
  <c r="S39" i="15"/>
  <c r="R39" i="15"/>
  <c r="Q39" i="15"/>
  <c r="P39" i="15"/>
  <c r="O39" i="15"/>
  <c r="N39" i="15"/>
  <c r="M39" i="15"/>
  <c r="L39" i="15"/>
  <c r="K39" i="15"/>
  <c r="J39" i="15"/>
  <c r="I39" i="15"/>
  <c r="H39" i="15"/>
  <c r="G39" i="15"/>
  <c r="F39" i="15"/>
  <c r="E39" i="15"/>
  <c r="D39" i="15"/>
  <c r="C39" i="15"/>
  <c r="AG38" i="15"/>
  <c r="AD38" i="15"/>
  <c r="AC38" i="15"/>
  <c r="AB38" i="15"/>
  <c r="AB52" i="15" s="1"/>
  <c r="AA38" i="15"/>
  <c r="Z38" i="15"/>
  <c r="Y38" i="15"/>
  <c r="X38" i="15"/>
  <c r="W38" i="15"/>
  <c r="V38" i="15"/>
  <c r="U38" i="15"/>
  <c r="T38" i="15"/>
  <c r="T52" i="15" s="1"/>
  <c r="S38" i="15"/>
  <c r="R38" i="15"/>
  <c r="Q38" i="15"/>
  <c r="P38" i="15"/>
  <c r="P52" i="15" s="1"/>
  <c r="O38" i="15"/>
  <c r="N38" i="15"/>
  <c r="M38" i="15"/>
  <c r="L38" i="15"/>
  <c r="L52" i="15" s="1"/>
  <c r="K38" i="15"/>
  <c r="J38" i="15"/>
  <c r="I38" i="15"/>
  <c r="H38" i="15"/>
  <c r="H52" i="15" s="1"/>
  <c r="G38" i="15"/>
  <c r="F38" i="15"/>
  <c r="E38" i="15"/>
  <c r="D38" i="15"/>
  <c r="D52" i="15" s="1"/>
  <c r="C38" i="15"/>
  <c r="U37" i="15"/>
  <c r="T37" i="15"/>
  <c r="S37" i="15"/>
  <c r="R37" i="15"/>
  <c r="Q37" i="15"/>
  <c r="P37" i="15"/>
  <c r="O37" i="15"/>
  <c r="AD34" i="15"/>
  <c r="AC34" i="15"/>
  <c r="AB34" i="15"/>
  <c r="AA34" i="15"/>
  <c r="Z34" i="15"/>
  <c r="Y34" i="15"/>
  <c r="X34" i="15"/>
  <c r="W34" i="15"/>
  <c r="V34" i="15"/>
  <c r="U34" i="15"/>
  <c r="T34" i="15"/>
  <c r="S34" i="15"/>
  <c r="R34" i="15"/>
  <c r="Q34" i="15"/>
  <c r="P34" i="15"/>
  <c r="O34" i="15"/>
  <c r="N34" i="15"/>
  <c r="M34" i="15"/>
  <c r="L34" i="15"/>
  <c r="K34" i="15"/>
  <c r="J34" i="15"/>
  <c r="I34" i="15"/>
  <c r="H34" i="15"/>
  <c r="G34" i="15"/>
  <c r="F34" i="15"/>
  <c r="E34" i="15"/>
  <c r="D34" i="15"/>
  <c r="C34" i="15"/>
  <c r="AE33" i="15"/>
  <c r="A33" i="15"/>
  <c r="AE32" i="15"/>
  <c r="AE31" i="15"/>
  <c r="A31" i="15"/>
  <c r="A49" i="15" s="1"/>
  <c r="AE30" i="15"/>
  <c r="A30" i="15"/>
  <c r="A48" i="15" s="1"/>
  <c r="AE29" i="15"/>
  <c r="A29" i="15"/>
  <c r="A47" i="15" s="1"/>
  <c r="AE28" i="15"/>
  <c r="A28" i="15"/>
  <c r="A46" i="15" s="1"/>
  <c r="AE27" i="15"/>
  <c r="A27" i="15"/>
  <c r="A45" i="15" s="1"/>
  <c r="AE26" i="15"/>
  <c r="A26" i="15"/>
  <c r="A44" i="15" s="1"/>
  <c r="AE25" i="15"/>
  <c r="A25" i="15"/>
  <c r="A43" i="15" s="1"/>
  <c r="AE24" i="15"/>
  <c r="A24" i="15"/>
  <c r="A42" i="15" s="1"/>
  <c r="AE23" i="15"/>
  <c r="A23" i="15"/>
  <c r="A41" i="15" s="1"/>
  <c r="AE22" i="15"/>
  <c r="A22" i="15"/>
  <c r="A40" i="15" s="1"/>
  <c r="AE21" i="15"/>
  <c r="A21" i="15"/>
  <c r="A39" i="15" s="1"/>
  <c r="AE20" i="15"/>
  <c r="A20" i="15"/>
  <c r="A38" i="15" s="1"/>
  <c r="N19" i="15"/>
  <c r="N37" i="15" s="1"/>
  <c r="M19" i="15"/>
  <c r="M37" i="15" s="1"/>
  <c r="L19" i="15"/>
  <c r="L37" i="15" s="1"/>
  <c r="K19" i="15"/>
  <c r="K37" i="15" s="1"/>
  <c r="J19" i="15"/>
  <c r="J37" i="15" s="1"/>
  <c r="I19" i="15"/>
  <c r="I37" i="15" s="1"/>
  <c r="H19" i="15"/>
  <c r="H37" i="15" s="1"/>
  <c r="G19" i="15"/>
  <c r="G37" i="15" s="1"/>
  <c r="F19" i="15"/>
  <c r="F37" i="15" s="1"/>
  <c r="E19" i="15"/>
  <c r="E37" i="15" s="1"/>
  <c r="D19" i="15"/>
  <c r="D37" i="15" s="1"/>
  <c r="C19" i="15"/>
  <c r="C37" i="15" s="1"/>
  <c r="A19" i="15"/>
  <c r="A37" i="15" s="1"/>
  <c r="AD17" i="15"/>
  <c r="AC17" i="15"/>
  <c r="AB17" i="15"/>
  <c r="AA17" i="15"/>
  <c r="Z17" i="15"/>
  <c r="Y17" i="15"/>
  <c r="X17" i="15"/>
  <c r="X52" i="15" s="1"/>
  <c r="W17" i="15"/>
  <c r="V17" i="15"/>
  <c r="U17" i="15"/>
  <c r="T17" i="15"/>
  <c r="S17" i="15"/>
  <c r="R17" i="15"/>
  <c r="Q17" i="15"/>
  <c r="P17" i="15"/>
  <c r="O17" i="15"/>
  <c r="N17" i="15"/>
  <c r="M17" i="15"/>
  <c r="L17" i="15"/>
  <c r="K17" i="15"/>
  <c r="J17" i="15"/>
  <c r="I17" i="15"/>
  <c r="H17" i="15"/>
  <c r="G17" i="15"/>
  <c r="F17" i="15"/>
  <c r="E17" i="15"/>
  <c r="D17" i="15"/>
  <c r="C17" i="15"/>
  <c r="AE16" i="15"/>
  <c r="AE15" i="15"/>
  <c r="AE14" i="15"/>
  <c r="AE13" i="15"/>
  <c r="AE12" i="15"/>
  <c r="AE11" i="15"/>
  <c r="AE10" i="15"/>
  <c r="AE9" i="15"/>
  <c r="AE8" i="15"/>
  <c r="AE7" i="15"/>
  <c r="AE6" i="15"/>
  <c r="AE5" i="15"/>
  <c r="AE4" i="15"/>
  <c r="AE3" i="15"/>
  <c r="Z38" i="14"/>
  <c r="AA38" i="14"/>
  <c r="AB38" i="14"/>
  <c r="AC38" i="14"/>
  <c r="AD38" i="14"/>
  <c r="Z39" i="14"/>
  <c r="AA39" i="14"/>
  <c r="AB39" i="14"/>
  <c r="AC39" i="14"/>
  <c r="AD39" i="14"/>
  <c r="Z40" i="14"/>
  <c r="AA40" i="14"/>
  <c r="AB40" i="14"/>
  <c r="AC40" i="14"/>
  <c r="AD40" i="14"/>
  <c r="Z41" i="14"/>
  <c r="AA41" i="14"/>
  <c r="AB41" i="14"/>
  <c r="AC41" i="14"/>
  <c r="AD41" i="14"/>
  <c r="Z42" i="14"/>
  <c r="AA42" i="14"/>
  <c r="AB42" i="14"/>
  <c r="AC42" i="14"/>
  <c r="AD42" i="14"/>
  <c r="Z43" i="14"/>
  <c r="AA43" i="14"/>
  <c r="AB43" i="14"/>
  <c r="AC43" i="14"/>
  <c r="AD43" i="14"/>
  <c r="Z44" i="14"/>
  <c r="AA44" i="14"/>
  <c r="AB44" i="14"/>
  <c r="AC44" i="14"/>
  <c r="AD44" i="14"/>
  <c r="Z45" i="14"/>
  <c r="AA45" i="14"/>
  <c r="AB45" i="14"/>
  <c r="AC45" i="14"/>
  <c r="AD45" i="14"/>
  <c r="Z46" i="14"/>
  <c r="AA46" i="14"/>
  <c r="AB46" i="14"/>
  <c r="AC46" i="14"/>
  <c r="AD46" i="14"/>
  <c r="Z47" i="14"/>
  <c r="AA47" i="14"/>
  <c r="AB47" i="14"/>
  <c r="AC47" i="14"/>
  <c r="AD47" i="14"/>
  <c r="Z48" i="14"/>
  <c r="AA48" i="14"/>
  <c r="AB48" i="14"/>
  <c r="AC48" i="14"/>
  <c r="AD48" i="14"/>
  <c r="Z49" i="14"/>
  <c r="AA49" i="14"/>
  <c r="AB49" i="14"/>
  <c r="AC49" i="14"/>
  <c r="AD49" i="14"/>
  <c r="Z50" i="14"/>
  <c r="AA50" i="14"/>
  <c r="AB50" i="14"/>
  <c r="AC50" i="14"/>
  <c r="AD50" i="14"/>
  <c r="Z51" i="14"/>
  <c r="AA51" i="14"/>
  <c r="AB51" i="14"/>
  <c r="AC51" i="14"/>
  <c r="AD51" i="14"/>
  <c r="AE21" i="14"/>
  <c r="AE22" i="14"/>
  <c r="AE23" i="14"/>
  <c r="AE24" i="14"/>
  <c r="AE25" i="14"/>
  <c r="AE26" i="14"/>
  <c r="AE27" i="14"/>
  <c r="AE28" i="14"/>
  <c r="AE29" i="14"/>
  <c r="AE30" i="14"/>
  <c r="AE31" i="14"/>
  <c r="AE32" i="14"/>
  <c r="AE33" i="14"/>
  <c r="AE20" i="14"/>
  <c r="AE4" i="14"/>
  <c r="AE5" i="14"/>
  <c r="AE6" i="14"/>
  <c r="AE7" i="14"/>
  <c r="AE8" i="14"/>
  <c r="AE9" i="14"/>
  <c r="AE10" i="14"/>
  <c r="AE11" i="14"/>
  <c r="AE12" i="14"/>
  <c r="AE13" i="14"/>
  <c r="AE14" i="14"/>
  <c r="AE15" i="14"/>
  <c r="AE16" i="14"/>
  <c r="AE3" i="14"/>
  <c r="Z34" i="14"/>
  <c r="AA34" i="14"/>
  <c r="AB34" i="14"/>
  <c r="AC34" i="14"/>
  <c r="AD34" i="14"/>
  <c r="Z17" i="14"/>
  <c r="AA17" i="14"/>
  <c r="AB17" i="14"/>
  <c r="AC17" i="14"/>
  <c r="AD17" i="14"/>
  <c r="Y17" i="14"/>
  <c r="Y51" i="14"/>
  <c r="X51" i="14"/>
  <c r="W51" i="14"/>
  <c r="V51" i="14"/>
  <c r="U51" i="14"/>
  <c r="T51" i="14"/>
  <c r="S51" i="14"/>
  <c r="R51" i="14"/>
  <c r="Q51" i="14"/>
  <c r="P51" i="14"/>
  <c r="O51" i="14"/>
  <c r="N51" i="14"/>
  <c r="M51" i="14"/>
  <c r="L51" i="14"/>
  <c r="K51" i="14"/>
  <c r="J51" i="14"/>
  <c r="I51" i="14"/>
  <c r="H51" i="14"/>
  <c r="G51" i="14"/>
  <c r="F51" i="14"/>
  <c r="E51" i="14"/>
  <c r="D51" i="14"/>
  <c r="AE51" i="14" s="1"/>
  <c r="C51" i="14"/>
  <c r="Y50" i="14"/>
  <c r="X50" i="14"/>
  <c r="W50" i="14"/>
  <c r="V50" i="14"/>
  <c r="U50" i="14"/>
  <c r="T50" i="14"/>
  <c r="S50" i="14"/>
  <c r="R50" i="14"/>
  <c r="Q50" i="14"/>
  <c r="P50" i="14"/>
  <c r="O50" i="14"/>
  <c r="N50" i="14"/>
  <c r="M50" i="14"/>
  <c r="L50" i="14"/>
  <c r="K50" i="14"/>
  <c r="J50" i="14"/>
  <c r="I50" i="14"/>
  <c r="H50" i="14"/>
  <c r="G50" i="14"/>
  <c r="F50" i="14"/>
  <c r="E50" i="14"/>
  <c r="D50" i="14"/>
  <c r="C50" i="14"/>
  <c r="A50" i="14"/>
  <c r="Y49" i="14"/>
  <c r="X49" i="14"/>
  <c r="W49" i="14"/>
  <c r="V49" i="14"/>
  <c r="U49" i="14"/>
  <c r="T49" i="14"/>
  <c r="S49" i="14"/>
  <c r="R49" i="14"/>
  <c r="Q49" i="14"/>
  <c r="P49" i="14"/>
  <c r="O49" i="14"/>
  <c r="N49" i="14"/>
  <c r="M49" i="14"/>
  <c r="L49" i="14"/>
  <c r="K49" i="14"/>
  <c r="J49" i="14"/>
  <c r="I49" i="14"/>
  <c r="H49" i="14"/>
  <c r="G49" i="14"/>
  <c r="F49" i="14"/>
  <c r="E49" i="14"/>
  <c r="D49" i="14"/>
  <c r="C49" i="14"/>
  <c r="AE49" i="14" s="1"/>
  <c r="Y48" i="14"/>
  <c r="X48" i="14"/>
  <c r="W48" i="14"/>
  <c r="V48" i="14"/>
  <c r="U48" i="14"/>
  <c r="T48" i="14"/>
  <c r="S48" i="14"/>
  <c r="R48" i="14"/>
  <c r="Q48" i="14"/>
  <c r="P48" i="14"/>
  <c r="O48" i="14"/>
  <c r="N48" i="14"/>
  <c r="M48" i="14"/>
  <c r="L48" i="14"/>
  <c r="K48" i="14"/>
  <c r="J48" i="14"/>
  <c r="I48" i="14"/>
  <c r="H48" i="14"/>
  <c r="G48" i="14"/>
  <c r="F48" i="14"/>
  <c r="E48" i="14"/>
  <c r="D48" i="14"/>
  <c r="C48" i="14"/>
  <c r="Y47" i="14"/>
  <c r="X47" i="14"/>
  <c r="W47" i="14"/>
  <c r="V47" i="14"/>
  <c r="U47" i="14"/>
  <c r="T47" i="14"/>
  <c r="S47" i="14"/>
  <c r="R47" i="14"/>
  <c r="Q47" i="14"/>
  <c r="P47" i="14"/>
  <c r="O47" i="14"/>
  <c r="N47" i="14"/>
  <c r="M47" i="14"/>
  <c r="L47" i="14"/>
  <c r="K47" i="14"/>
  <c r="J47" i="14"/>
  <c r="I47" i="14"/>
  <c r="H47" i="14"/>
  <c r="G47" i="14"/>
  <c r="F47" i="14"/>
  <c r="E47" i="14"/>
  <c r="D47" i="14"/>
  <c r="C47" i="14"/>
  <c r="Y46" i="14"/>
  <c r="X46" i="14"/>
  <c r="W46" i="14"/>
  <c r="V46" i="14"/>
  <c r="U46" i="14"/>
  <c r="T46" i="14"/>
  <c r="S46" i="14"/>
  <c r="R46" i="14"/>
  <c r="Q46" i="14"/>
  <c r="P46" i="14"/>
  <c r="O46" i="14"/>
  <c r="N46" i="14"/>
  <c r="M46" i="14"/>
  <c r="L46" i="14"/>
  <c r="K46" i="14"/>
  <c r="J46" i="14"/>
  <c r="I46" i="14"/>
  <c r="H46" i="14"/>
  <c r="G46" i="14"/>
  <c r="F46" i="14"/>
  <c r="E46" i="14"/>
  <c r="D46" i="14"/>
  <c r="AE46" i="14" s="1"/>
  <c r="C46" i="14"/>
  <c r="Y45" i="14"/>
  <c r="X45" i="14"/>
  <c r="W45" i="14"/>
  <c r="V45" i="14"/>
  <c r="U45" i="14"/>
  <c r="T45" i="14"/>
  <c r="S45" i="14"/>
  <c r="R45" i="14"/>
  <c r="Q45" i="14"/>
  <c r="P45" i="14"/>
  <c r="O45" i="14"/>
  <c r="N45" i="14"/>
  <c r="M45" i="14"/>
  <c r="L45" i="14"/>
  <c r="K45" i="14"/>
  <c r="J45" i="14"/>
  <c r="I45" i="14"/>
  <c r="H45" i="14"/>
  <c r="G45" i="14"/>
  <c r="F45" i="14"/>
  <c r="E45" i="14"/>
  <c r="D45" i="14"/>
  <c r="C45" i="14"/>
  <c r="Y44" i="14"/>
  <c r="X44" i="14"/>
  <c r="W44" i="14"/>
  <c r="V44" i="14"/>
  <c r="U44" i="14"/>
  <c r="T44" i="14"/>
  <c r="S44" i="14"/>
  <c r="R44" i="14"/>
  <c r="Q44" i="14"/>
  <c r="P44" i="14"/>
  <c r="O44" i="14"/>
  <c r="N44" i="14"/>
  <c r="M44" i="14"/>
  <c r="L44" i="14"/>
  <c r="K44" i="14"/>
  <c r="J44" i="14"/>
  <c r="I44" i="14"/>
  <c r="H44" i="14"/>
  <c r="G44" i="14"/>
  <c r="F44" i="14"/>
  <c r="E44" i="14"/>
  <c r="D44" i="14"/>
  <c r="C44" i="14"/>
  <c r="Y43" i="14"/>
  <c r="X43" i="14"/>
  <c r="W43" i="14"/>
  <c r="V43" i="14"/>
  <c r="U43" i="14"/>
  <c r="T43" i="14"/>
  <c r="S43" i="14"/>
  <c r="R43" i="14"/>
  <c r="Q43" i="14"/>
  <c r="P43" i="14"/>
  <c r="O43" i="14"/>
  <c r="N43" i="14"/>
  <c r="M43" i="14"/>
  <c r="L43" i="14"/>
  <c r="K43" i="14"/>
  <c r="J43" i="14"/>
  <c r="I43" i="14"/>
  <c r="H43" i="14"/>
  <c r="G43" i="14"/>
  <c r="F43" i="14"/>
  <c r="E43" i="14"/>
  <c r="D43" i="14"/>
  <c r="C43" i="14"/>
  <c r="Y42" i="14"/>
  <c r="X42" i="14"/>
  <c r="W42" i="14"/>
  <c r="V42" i="14"/>
  <c r="U42" i="14"/>
  <c r="T42" i="14"/>
  <c r="S42" i="14"/>
  <c r="R42" i="14"/>
  <c r="Q42" i="14"/>
  <c r="P42" i="14"/>
  <c r="O42" i="14"/>
  <c r="N42" i="14"/>
  <c r="M42" i="14"/>
  <c r="L42" i="14"/>
  <c r="K42" i="14"/>
  <c r="J42" i="14"/>
  <c r="I42" i="14"/>
  <c r="H42" i="14"/>
  <c r="G42" i="14"/>
  <c r="F42" i="14"/>
  <c r="E42" i="14"/>
  <c r="D42" i="14"/>
  <c r="D52" i="14" s="1"/>
  <c r="C42" i="14"/>
  <c r="Y41" i="14"/>
  <c r="X41" i="14"/>
  <c r="W41" i="14"/>
  <c r="V41" i="14"/>
  <c r="U41" i="14"/>
  <c r="T41" i="14"/>
  <c r="S41" i="14"/>
  <c r="S52" i="14" s="1"/>
  <c r="R41" i="14"/>
  <c r="Q41" i="14"/>
  <c r="P41" i="14"/>
  <c r="O41" i="14"/>
  <c r="N41" i="14"/>
  <c r="M41" i="14"/>
  <c r="L41" i="14"/>
  <c r="K41" i="14"/>
  <c r="J41" i="14"/>
  <c r="I41" i="14"/>
  <c r="H41" i="14"/>
  <c r="G41" i="14"/>
  <c r="F41" i="14"/>
  <c r="E41" i="14"/>
  <c r="D41" i="14"/>
  <c r="C41" i="14"/>
  <c r="C52" i="14" s="1"/>
  <c r="Y40" i="14"/>
  <c r="X40" i="14"/>
  <c r="W40" i="14"/>
  <c r="V40" i="14"/>
  <c r="U40" i="14"/>
  <c r="T40" i="14"/>
  <c r="S40" i="14"/>
  <c r="R40" i="14"/>
  <c r="Q40" i="14"/>
  <c r="P40" i="14"/>
  <c r="O40" i="14"/>
  <c r="N40" i="14"/>
  <c r="M40" i="14"/>
  <c r="L40" i="14"/>
  <c r="K40" i="14"/>
  <c r="J40" i="14"/>
  <c r="I40" i="14"/>
  <c r="H40" i="14"/>
  <c r="G40" i="14"/>
  <c r="F40" i="14"/>
  <c r="E40" i="14"/>
  <c r="D40" i="14"/>
  <c r="C40" i="14"/>
  <c r="Y39" i="14"/>
  <c r="X39" i="14"/>
  <c r="W39" i="14"/>
  <c r="V39" i="14"/>
  <c r="U39" i="14"/>
  <c r="T39" i="14"/>
  <c r="S39" i="14"/>
  <c r="R39" i="14"/>
  <c r="Q39" i="14"/>
  <c r="P39" i="14"/>
  <c r="O39" i="14"/>
  <c r="N39" i="14"/>
  <c r="M39" i="14"/>
  <c r="L39" i="14"/>
  <c r="K39" i="14"/>
  <c r="J39" i="14"/>
  <c r="I39" i="14"/>
  <c r="H39" i="14"/>
  <c r="G39" i="14"/>
  <c r="F39" i="14"/>
  <c r="E39" i="14"/>
  <c r="AE39" i="14" s="1"/>
  <c r="D39" i="14"/>
  <c r="C39" i="14"/>
  <c r="AG38" i="14"/>
  <c r="Y38" i="14"/>
  <c r="Y52" i="14" s="1"/>
  <c r="X38" i="14"/>
  <c r="W38" i="14"/>
  <c r="V38" i="14"/>
  <c r="U38" i="14"/>
  <c r="T38" i="14"/>
  <c r="S38" i="14"/>
  <c r="R38" i="14"/>
  <c r="Q38" i="14"/>
  <c r="P38" i="14"/>
  <c r="O38" i="14"/>
  <c r="N38" i="14"/>
  <c r="M38" i="14"/>
  <c r="L38" i="14"/>
  <c r="K38" i="14"/>
  <c r="J38" i="14"/>
  <c r="I38" i="14"/>
  <c r="H38" i="14"/>
  <c r="G38" i="14"/>
  <c r="G52" i="14" s="1"/>
  <c r="F38" i="14"/>
  <c r="E38" i="14"/>
  <c r="D38" i="14"/>
  <c r="C38" i="14"/>
  <c r="U37" i="14"/>
  <c r="T37" i="14"/>
  <c r="S37" i="14"/>
  <c r="R37" i="14"/>
  <c r="Q37" i="14"/>
  <c r="P37" i="14"/>
  <c r="O37" i="14"/>
  <c r="Y34" i="14"/>
  <c r="X34" i="14"/>
  <c r="W34" i="14"/>
  <c r="V34" i="14"/>
  <c r="U34" i="14"/>
  <c r="T34" i="14"/>
  <c r="S34" i="14"/>
  <c r="R34" i="14"/>
  <c r="Q34" i="14"/>
  <c r="P34" i="14"/>
  <c r="O34" i="14"/>
  <c r="N34" i="14"/>
  <c r="M34" i="14"/>
  <c r="L34" i="14"/>
  <c r="K34" i="14"/>
  <c r="J34" i="14"/>
  <c r="I34" i="14"/>
  <c r="H34" i="14"/>
  <c r="G34" i="14"/>
  <c r="F34" i="14"/>
  <c r="E34" i="14"/>
  <c r="D34" i="14"/>
  <c r="C34" i="14"/>
  <c r="A33" i="14"/>
  <c r="A31" i="14"/>
  <c r="A49" i="14" s="1"/>
  <c r="A30" i="14"/>
  <c r="A48" i="14" s="1"/>
  <c r="A29" i="14"/>
  <c r="A47" i="14" s="1"/>
  <c r="A28" i="14"/>
  <c r="A46" i="14" s="1"/>
  <c r="A27" i="14"/>
  <c r="A45" i="14" s="1"/>
  <c r="A26" i="14"/>
  <c r="A44" i="14"/>
  <c r="A25" i="14"/>
  <c r="A43" i="14" s="1"/>
  <c r="A24" i="14"/>
  <c r="A42" i="14" s="1"/>
  <c r="A23" i="14"/>
  <c r="A41" i="14" s="1"/>
  <c r="A22" i="14"/>
  <c r="A40" i="14" s="1"/>
  <c r="A21" i="14"/>
  <c r="A39" i="14" s="1"/>
  <c r="A20" i="14"/>
  <c r="A38" i="14" s="1"/>
  <c r="N19" i="14"/>
  <c r="N37" i="14" s="1"/>
  <c r="M19" i="14"/>
  <c r="M37" i="14" s="1"/>
  <c r="L19" i="14"/>
  <c r="L37" i="14" s="1"/>
  <c r="K19" i="14"/>
  <c r="K37" i="14" s="1"/>
  <c r="J19" i="14"/>
  <c r="J37" i="14" s="1"/>
  <c r="I19" i="14"/>
  <c r="I37" i="14" s="1"/>
  <c r="H19" i="14"/>
  <c r="H37" i="14" s="1"/>
  <c r="G19" i="14"/>
  <c r="G37" i="14" s="1"/>
  <c r="F19" i="14"/>
  <c r="F37" i="14" s="1"/>
  <c r="E19" i="14"/>
  <c r="E37" i="14" s="1"/>
  <c r="D19" i="14"/>
  <c r="D37" i="14" s="1"/>
  <c r="C19" i="14"/>
  <c r="C37" i="14" s="1"/>
  <c r="A19" i="14"/>
  <c r="A37" i="14" s="1"/>
  <c r="X17" i="14"/>
  <c r="W17" i="14"/>
  <c r="V17" i="14"/>
  <c r="U17" i="14"/>
  <c r="T17" i="14"/>
  <c r="S17" i="14"/>
  <c r="R17" i="14"/>
  <c r="Q17" i="14"/>
  <c r="P17" i="14"/>
  <c r="O17" i="14"/>
  <c r="N17" i="14"/>
  <c r="M17" i="14"/>
  <c r="L17" i="14"/>
  <c r="K17" i="14"/>
  <c r="J17" i="14"/>
  <c r="I17" i="14"/>
  <c r="H17" i="14"/>
  <c r="G17" i="14"/>
  <c r="F17" i="14"/>
  <c r="E17" i="14"/>
  <c r="D17" i="14"/>
  <c r="C17" i="14"/>
  <c r="Y51" i="13"/>
  <c r="X51" i="13"/>
  <c r="W51" i="13"/>
  <c r="V51" i="13"/>
  <c r="U51" i="13"/>
  <c r="T51" i="13"/>
  <c r="S51" i="13"/>
  <c r="R51" i="13"/>
  <c r="Q51" i="13"/>
  <c r="P51" i="13"/>
  <c r="O51" i="13"/>
  <c r="N51" i="13"/>
  <c r="M51" i="13"/>
  <c r="L51" i="13"/>
  <c r="K51" i="13"/>
  <c r="J51" i="13"/>
  <c r="I51" i="13"/>
  <c r="H51" i="13"/>
  <c r="G51" i="13"/>
  <c r="F51" i="13"/>
  <c r="E51" i="13"/>
  <c r="D51" i="13"/>
  <c r="C51" i="13"/>
  <c r="Y50" i="13"/>
  <c r="X50" i="13"/>
  <c r="W50" i="13"/>
  <c r="V50" i="13"/>
  <c r="U50" i="13"/>
  <c r="T50" i="13"/>
  <c r="S50" i="13"/>
  <c r="R50" i="13"/>
  <c r="Q50" i="13"/>
  <c r="P50" i="13"/>
  <c r="O50" i="13"/>
  <c r="N50" i="13"/>
  <c r="M50" i="13"/>
  <c r="L50" i="13"/>
  <c r="K50" i="13"/>
  <c r="J50" i="13"/>
  <c r="I50" i="13"/>
  <c r="H50" i="13"/>
  <c r="G50" i="13"/>
  <c r="F50" i="13"/>
  <c r="E50" i="13"/>
  <c r="D50" i="13"/>
  <c r="C50" i="13"/>
  <c r="A50" i="13"/>
  <c r="Y49" i="13"/>
  <c r="X49" i="13"/>
  <c r="W49" i="13"/>
  <c r="V49" i="13"/>
  <c r="U49" i="13"/>
  <c r="T49" i="13"/>
  <c r="S49" i="13"/>
  <c r="R49" i="13"/>
  <c r="Q49" i="13"/>
  <c r="P49" i="13"/>
  <c r="O49" i="13"/>
  <c r="N49" i="13"/>
  <c r="M49" i="13"/>
  <c r="L49" i="13"/>
  <c r="K49" i="13"/>
  <c r="J49" i="13"/>
  <c r="I49" i="13"/>
  <c r="H49" i="13"/>
  <c r="G49" i="13"/>
  <c r="F49" i="13"/>
  <c r="E49" i="13"/>
  <c r="D49" i="13"/>
  <c r="C49" i="13"/>
  <c r="Y48" i="13"/>
  <c r="X48" i="13"/>
  <c r="W48" i="13"/>
  <c r="V48" i="13"/>
  <c r="U48" i="13"/>
  <c r="T48" i="13"/>
  <c r="S48" i="13"/>
  <c r="R48" i="13"/>
  <c r="Q48" i="13"/>
  <c r="P48" i="13"/>
  <c r="O48" i="13"/>
  <c r="N48" i="13"/>
  <c r="M48" i="13"/>
  <c r="L48" i="13"/>
  <c r="K48" i="13"/>
  <c r="J48" i="13"/>
  <c r="I48" i="13"/>
  <c r="H48" i="13"/>
  <c r="G48" i="13"/>
  <c r="F48" i="13"/>
  <c r="E48" i="13"/>
  <c r="D48" i="13"/>
  <c r="C48" i="13"/>
  <c r="Y47" i="13"/>
  <c r="X47" i="13"/>
  <c r="W47" i="13"/>
  <c r="V47" i="13"/>
  <c r="U47" i="13"/>
  <c r="T47" i="13"/>
  <c r="S47" i="13"/>
  <c r="R47" i="13"/>
  <c r="Q47" i="13"/>
  <c r="P47" i="13"/>
  <c r="O47" i="13"/>
  <c r="N47" i="13"/>
  <c r="M47" i="13"/>
  <c r="L47" i="13"/>
  <c r="K47" i="13"/>
  <c r="J47" i="13"/>
  <c r="I47" i="13"/>
  <c r="H47" i="13"/>
  <c r="G47" i="13"/>
  <c r="F47" i="13"/>
  <c r="E47" i="13"/>
  <c r="D47" i="13"/>
  <c r="C47" i="13"/>
  <c r="Y46" i="13"/>
  <c r="X46" i="13"/>
  <c r="W46" i="13"/>
  <c r="V46" i="13"/>
  <c r="U46" i="13"/>
  <c r="T46" i="13"/>
  <c r="S46" i="13"/>
  <c r="R46" i="13"/>
  <c r="Q46" i="13"/>
  <c r="P46" i="13"/>
  <c r="O46" i="13"/>
  <c r="N46" i="13"/>
  <c r="M46" i="13"/>
  <c r="L46" i="13"/>
  <c r="K46" i="13"/>
  <c r="J46" i="13"/>
  <c r="I46" i="13"/>
  <c r="H46" i="13"/>
  <c r="G46" i="13"/>
  <c r="F46" i="13"/>
  <c r="E46" i="13"/>
  <c r="D46" i="13"/>
  <c r="C46" i="13"/>
  <c r="Y45" i="13"/>
  <c r="X45" i="13"/>
  <c r="W45" i="13"/>
  <c r="V45" i="13"/>
  <c r="U45" i="13"/>
  <c r="T45" i="13"/>
  <c r="S45" i="13"/>
  <c r="R45" i="13"/>
  <c r="Q45" i="13"/>
  <c r="P45" i="13"/>
  <c r="O45" i="13"/>
  <c r="N45" i="13"/>
  <c r="M45" i="13"/>
  <c r="L45" i="13"/>
  <c r="K45" i="13"/>
  <c r="J45" i="13"/>
  <c r="I45" i="13"/>
  <c r="H45" i="13"/>
  <c r="G45" i="13"/>
  <c r="F45" i="13"/>
  <c r="E45" i="13"/>
  <c r="D45" i="13"/>
  <c r="C45" i="13"/>
  <c r="Y44" i="13"/>
  <c r="X44" i="13"/>
  <c r="W44" i="13"/>
  <c r="V44" i="13"/>
  <c r="U44" i="13"/>
  <c r="T44" i="13"/>
  <c r="S44" i="13"/>
  <c r="R44" i="13"/>
  <c r="Q44" i="13"/>
  <c r="P44" i="13"/>
  <c r="O44" i="13"/>
  <c r="N44" i="13"/>
  <c r="M44" i="13"/>
  <c r="L44" i="13"/>
  <c r="K44" i="13"/>
  <c r="J44" i="13"/>
  <c r="I44" i="13"/>
  <c r="H44" i="13"/>
  <c r="G44" i="13"/>
  <c r="F44" i="13"/>
  <c r="E44" i="13"/>
  <c r="D44" i="13"/>
  <c r="C44" i="13"/>
  <c r="Y43" i="13"/>
  <c r="X43" i="13"/>
  <c r="W43" i="13"/>
  <c r="V43" i="13"/>
  <c r="U43" i="13"/>
  <c r="T43" i="13"/>
  <c r="S43" i="13"/>
  <c r="R43" i="13"/>
  <c r="Q43" i="13"/>
  <c r="P43" i="13"/>
  <c r="O43" i="13"/>
  <c r="N43" i="13"/>
  <c r="M43" i="13"/>
  <c r="L43" i="13"/>
  <c r="K43" i="13"/>
  <c r="J43" i="13"/>
  <c r="I43" i="13"/>
  <c r="H43" i="13"/>
  <c r="G43" i="13"/>
  <c r="F43" i="13"/>
  <c r="E43" i="13"/>
  <c r="D43" i="13"/>
  <c r="C43" i="13"/>
  <c r="Y42" i="13"/>
  <c r="X42" i="13"/>
  <c r="W42" i="13"/>
  <c r="V42" i="13"/>
  <c r="U42" i="13"/>
  <c r="T42" i="13"/>
  <c r="S42" i="13"/>
  <c r="R42" i="13"/>
  <c r="Q42" i="13"/>
  <c r="P42" i="13"/>
  <c r="P52" i="13" s="1"/>
  <c r="O42" i="13"/>
  <c r="N42" i="13"/>
  <c r="M42" i="13"/>
  <c r="L42" i="13"/>
  <c r="K42" i="13"/>
  <c r="J42" i="13"/>
  <c r="I42" i="13"/>
  <c r="H42" i="13"/>
  <c r="G42" i="13"/>
  <c r="F42" i="13"/>
  <c r="E42" i="13"/>
  <c r="D42" i="13"/>
  <c r="Z42" i="13" s="1"/>
  <c r="C42" i="13"/>
  <c r="Y41" i="13"/>
  <c r="X41" i="13"/>
  <c r="W41" i="13"/>
  <c r="V41" i="13"/>
  <c r="U41" i="13"/>
  <c r="T41" i="13"/>
  <c r="S41" i="13"/>
  <c r="R41" i="13"/>
  <c r="Q41" i="13"/>
  <c r="P41" i="13"/>
  <c r="O41" i="13"/>
  <c r="N41" i="13"/>
  <c r="M41" i="13"/>
  <c r="L41" i="13"/>
  <c r="K41" i="13"/>
  <c r="J41" i="13"/>
  <c r="I41" i="13"/>
  <c r="H41" i="13"/>
  <c r="G41" i="13"/>
  <c r="F41" i="13"/>
  <c r="E41" i="13"/>
  <c r="D41" i="13"/>
  <c r="C41" i="13"/>
  <c r="Y40" i="13"/>
  <c r="X40" i="13"/>
  <c r="W40" i="13"/>
  <c r="V40" i="13"/>
  <c r="U40" i="13"/>
  <c r="T40" i="13"/>
  <c r="S40" i="13"/>
  <c r="R40" i="13"/>
  <c r="Q40" i="13"/>
  <c r="P40" i="13"/>
  <c r="O40" i="13"/>
  <c r="N40" i="13"/>
  <c r="M40" i="13"/>
  <c r="L40" i="13"/>
  <c r="K40" i="13"/>
  <c r="K52" i="13" s="1"/>
  <c r="J40" i="13"/>
  <c r="I40" i="13"/>
  <c r="H40" i="13"/>
  <c r="G40" i="13"/>
  <c r="F40" i="13"/>
  <c r="E40" i="13"/>
  <c r="D40" i="13"/>
  <c r="C40" i="13"/>
  <c r="Y39" i="13"/>
  <c r="X39" i="13"/>
  <c r="W39" i="13"/>
  <c r="V39" i="13"/>
  <c r="U39" i="13"/>
  <c r="T39" i="13"/>
  <c r="S39" i="13"/>
  <c r="R39" i="13"/>
  <c r="Q39" i="13"/>
  <c r="P39" i="13"/>
  <c r="O39" i="13"/>
  <c r="N39" i="13"/>
  <c r="M39" i="13"/>
  <c r="L39" i="13"/>
  <c r="K39" i="13"/>
  <c r="J39" i="13"/>
  <c r="I39" i="13"/>
  <c r="H39" i="13"/>
  <c r="G39" i="13"/>
  <c r="F39" i="13"/>
  <c r="E39" i="13"/>
  <c r="D39" i="13"/>
  <c r="C39" i="13"/>
  <c r="AB38" i="13"/>
  <c r="Y38" i="13"/>
  <c r="Y52" i="13" s="1"/>
  <c r="X38" i="13"/>
  <c r="W38" i="13"/>
  <c r="V38" i="13"/>
  <c r="U38" i="13"/>
  <c r="T38" i="13"/>
  <c r="S38" i="13"/>
  <c r="R38" i="13"/>
  <c r="Q38" i="13"/>
  <c r="P38" i="13"/>
  <c r="O38" i="13"/>
  <c r="N38" i="13"/>
  <c r="M38" i="13"/>
  <c r="L38" i="13"/>
  <c r="K38" i="13"/>
  <c r="J38" i="13"/>
  <c r="I38" i="13"/>
  <c r="H38" i="13"/>
  <c r="G38" i="13"/>
  <c r="F38" i="13"/>
  <c r="E38" i="13"/>
  <c r="D38" i="13"/>
  <c r="C38" i="13"/>
  <c r="U37" i="13"/>
  <c r="T37" i="13"/>
  <c r="S37" i="13"/>
  <c r="R37" i="13"/>
  <c r="Q37" i="13"/>
  <c r="P37" i="13"/>
  <c r="O37" i="13"/>
  <c r="Y34" i="13"/>
  <c r="X34" i="13"/>
  <c r="W34" i="13"/>
  <c r="V34" i="13"/>
  <c r="U34" i="13"/>
  <c r="T34" i="13"/>
  <c r="S34" i="13"/>
  <c r="R34" i="13"/>
  <c r="Q34" i="13"/>
  <c r="P34" i="13"/>
  <c r="O34" i="13"/>
  <c r="N34" i="13"/>
  <c r="M34" i="13"/>
  <c r="L34" i="13"/>
  <c r="K34" i="13"/>
  <c r="J34" i="13"/>
  <c r="I34" i="13"/>
  <c r="H34" i="13"/>
  <c r="G34" i="13"/>
  <c r="F34" i="13"/>
  <c r="E34" i="13"/>
  <c r="D34" i="13"/>
  <c r="C34" i="13"/>
  <c r="Z33" i="13"/>
  <c r="A33" i="13"/>
  <c r="Z32" i="13"/>
  <c r="Z31" i="13"/>
  <c r="A31" i="13"/>
  <c r="A49" i="13" s="1"/>
  <c r="Z30" i="13"/>
  <c r="A30" i="13"/>
  <c r="A48" i="13" s="1"/>
  <c r="Z29" i="13"/>
  <c r="A29" i="13"/>
  <c r="A47" i="13"/>
  <c r="Z28" i="13"/>
  <c r="A28" i="13"/>
  <c r="A46" i="13" s="1"/>
  <c r="Z27" i="13"/>
  <c r="A27" i="13"/>
  <c r="A45" i="13" s="1"/>
  <c r="Z26" i="13"/>
  <c r="A26" i="13"/>
  <c r="A44" i="13" s="1"/>
  <c r="Z25" i="13"/>
  <c r="A25" i="13"/>
  <c r="A43" i="13" s="1"/>
  <c r="Z24" i="13"/>
  <c r="A24" i="13"/>
  <c r="A42" i="13" s="1"/>
  <c r="Z23" i="13"/>
  <c r="A23" i="13"/>
  <c r="A41" i="13" s="1"/>
  <c r="Z22" i="13"/>
  <c r="A22" i="13"/>
  <c r="A40" i="13" s="1"/>
  <c r="Z21" i="13"/>
  <c r="A21" i="13"/>
  <c r="A39" i="13"/>
  <c r="Z20" i="13"/>
  <c r="A20" i="13"/>
  <c r="A38" i="13" s="1"/>
  <c r="N19" i="13"/>
  <c r="N37" i="13" s="1"/>
  <c r="M19" i="13"/>
  <c r="M37" i="13" s="1"/>
  <c r="L19" i="13"/>
  <c r="L37" i="13" s="1"/>
  <c r="K19" i="13"/>
  <c r="K37" i="13" s="1"/>
  <c r="J19" i="13"/>
  <c r="J37" i="13" s="1"/>
  <c r="I19" i="13"/>
  <c r="I37" i="13" s="1"/>
  <c r="H19" i="13"/>
  <c r="H37" i="13" s="1"/>
  <c r="G19" i="13"/>
  <c r="G37" i="13" s="1"/>
  <c r="F19" i="13"/>
  <c r="F37" i="13" s="1"/>
  <c r="E19" i="13"/>
  <c r="E37" i="13" s="1"/>
  <c r="D19" i="13"/>
  <c r="D37" i="13" s="1"/>
  <c r="C19" i="13"/>
  <c r="C37" i="13" s="1"/>
  <c r="A19" i="13"/>
  <c r="A37" i="13" s="1"/>
  <c r="Y17" i="13"/>
  <c r="X17" i="13"/>
  <c r="X52" i="13" s="1"/>
  <c r="W17" i="13"/>
  <c r="V17" i="13"/>
  <c r="U17" i="13"/>
  <c r="T17" i="13"/>
  <c r="S17" i="13"/>
  <c r="R17" i="13"/>
  <c r="Q17" i="13"/>
  <c r="P17" i="13"/>
  <c r="O17" i="13"/>
  <c r="N17" i="13"/>
  <c r="M17" i="13"/>
  <c r="L17" i="13"/>
  <c r="K17" i="13"/>
  <c r="J17" i="13"/>
  <c r="I17" i="13"/>
  <c r="H17" i="13"/>
  <c r="G17" i="13"/>
  <c r="F17" i="13"/>
  <c r="E17" i="13"/>
  <c r="D17" i="13"/>
  <c r="C17" i="13"/>
  <c r="Z16" i="13"/>
  <c r="Z15" i="13"/>
  <c r="Z14" i="13"/>
  <c r="Z13" i="13"/>
  <c r="Z12" i="13"/>
  <c r="Z11" i="13"/>
  <c r="Z10" i="13"/>
  <c r="Z9" i="13"/>
  <c r="Z8" i="13"/>
  <c r="Z7" i="13"/>
  <c r="Z6" i="13"/>
  <c r="Z5" i="13"/>
  <c r="Z4" i="13"/>
  <c r="Z3" i="13"/>
  <c r="Y51" i="12"/>
  <c r="X51" i="12"/>
  <c r="Y50" i="12"/>
  <c r="X50" i="12"/>
  <c r="Y49" i="12"/>
  <c r="X49" i="12"/>
  <c r="Y48" i="12"/>
  <c r="X48" i="12"/>
  <c r="Y47" i="12"/>
  <c r="X47" i="12"/>
  <c r="Y46" i="12"/>
  <c r="X46" i="12"/>
  <c r="Y45" i="12"/>
  <c r="X45" i="12"/>
  <c r="Y44" i="12"/>
  <c r="X44" i="12"/>
  <c r="Y43" i="12"/>
  <c r="X43" i="12"/>
  <c r="Y42" i="12"/>
  <c r="X42" i="12"/>
  <c r="Y41" i="12"/>
  <c r="X41" i="12"/>
  <c r="Y40" i="12"/>
  <c r="X40" i="12"/>
  <c r="Y39" i="12"/>
  <c r="X39" i="12"/>
  <c r="Y38" i="12"/>
  <c r="X38" i="12"/>
  <c r="W51" i="12"/>
  <c r="V51" i="12"/>
  <c r="U51" i="12"/>
  <c r="T51" i="12"/>
  <c r="S51" i="12"/>
  <c r="R51" i="12"/>
  <c r="Q51" i="12"/>
  <c r="P51" i="12"/>
  <c r="O51" i="12"/>
  <c r="N51" i="12"/>
  <c r="M51" i="12"/>
  <c r="L51" i="12"/>
  <c r="K51" i="12"/>
  <c r="J51" i="12"/>
  <c r="I51" i="12"/>
  <c r="H51" i="12"/>
  <c r="G51" i="12"/>
  <c r="F51" i="12"/>
  <c r="E51" i="12"/>
  <c r="D51" i="12"/>
  <c r="C51" i="12"/>
  <c r="W50" i="12"/>
  <c r="V50" i="12"/>
  <c r="U50" i="12"/>
  <c r="T50" i="12"/>
  <c r="S50" i="12"/>
  <c r="R50" i="12"/>
  <c r="Q50" i="12"/>
  <c r="P50" i="12"/>
  <c r="O50" i="12"/>
  <c r="N50" i="12"/>
  <c r="M50" i="12"/>
  <c r="L50" i="12"/>
  <c r="K50" i="12"/>
  <c r="J50" i="12"/>
  <c r="I50" i="12"/>
  <c r="H50" i="12"/>
  <c r="G50" i="12"/>
  <c r="F50" i="12"/>
  <c r="E50" i="12"/>
  <c r="D50" i="12"/>
  <c r="C50" i="12"/>
  <c r="A50" i="12"/>
  <c r="W49" i="12"/>
  <c r="V49" i="12"/>
  <c r="U49" i="12"/>
  <c r="T49" i="12"/>
  <c r="S49" i="12"/>
  <c r="R49" i="12"/>
  <c r="Q49" i="12"/>
  <c r="P49" i="12"/>
  <c r="O49" i="12"/>
  <c r="N49" i="12"/>
  <c r="M49" i="12"/>
  <c r="L49" i="12"/>
  <c r="K49" i="12"/>
  <c r="J49" i="12"/>
  <c r="I49" i="12"/>
  <c r="H49" i="12"/>
  <c r="G49" i="12"/>
  <c r="F49" i="12"/>
  <c r="E49" i="12"/>
  <c r="D49" i="12"/>
  <c r="C49" i="12"/>
  <c r="W48" i="12"/>
  <c r="V48" i="12"/>
  <c r="U48" i="12"/>
  <c r="T48" i="12"/>
  <c r="S48" i="12"/>
  <c r="R48" i="12"/>
  <c r="Q48" i="12"/>
  <c r="P48" i="12"/>
  <c r="O48" i="12"/>
  <c r="N48" i="12"/>
  <c r="M48" i="12"/>
  <c r="L48" i="12"/>
  <c r="K48" i="12"/>
  <c r="J48" i="12"/>
  <c r="I48" i="12"/>
  <c r="H48" i="12"/>
  <c r="G48" i="12"/>
  <c r="F48" i="12"/>
  <c r="E48" i="12"/>
  <c r="D48" i="12"/>
  <c r="C48" i="12"/>
  <c r="W47" i="12"/>
  <c r="V47" i="12"/>
  <c r="U47" i="12"/>
  <c r="T47" i="12"/>
  <c r="S47" i="12"/>
  <c r="R47" i="12"/>
  <c r="Q47" i="12"/>
  <c r="P47" i="12"/>
  <c r="O47" i="12"/>
  <c r="N47" i="12"/>
  <c r="M47" i="12"/>
  <c r="L47" i="12"/>
  <c r="K47" i="12"/>
  <c r="J47" i="12"/>
  <c r="I47" i="12"/>
  <c r="H47" i="12"/>
  <c r="G47" i="12"/>
  <c r="F47" i="12"/>
  <c r="E47" i="12"/>
  <c r="D47" i="12"/>
  <c r="C47" i="12"/>
  <c r="W46" i="12"/>
  <c r="V46" i="12"/>
  <c r="U46" i="12"/>
  <c r="T46" i="12"/>
  <c r="S46" i="12"/>
  <c r="R46" i="12"/>
  <c r="Q46" i="12"/>
  <c r="P46" i="12"/>
  <c r="O46" i="12"/>
  <c r="N46" i="12"/>
  <c r="M46" i="12"/>
  <c r="L46" i="12"/>
  <c r="K46" i="12"/>
  <c r="J46" i="12"/>
  <c r="I46" i="12"/>
  <c r="H46" i="12"/>
  <c r="G46" i="12"/>
  <c r="F46" i="12"/>
  <c r="E46" i="12"/>
  <c r="D46" i="12"/>
  <c r="C46" i="12"/>
  <c r="W45" i="12"/>
  <c r="V45" i="12"/>
  <c r="U45" i="12"/>
  <c r="T45" i="12"/>
  <c r="S45" i="12"/>
  <c r="R45" i="12"/>
  <c r="Q45" i="12"/>
  <c r="P45" i="12"/>
  <c r="O45" i="12"/>
  <c r="N45" i="12"/>
  <c r="M45" i="12"/>
  <c r="L45" i="12"/>
  <c r="K45" i="12"/>
  <c r="J45" i="12"/>
  <c r="I45" i="12"/>
  <c r="H45" i="12"/>
  <c r="G45" i="12"/>
  <c r="F45" i="12"/>
  <c r="E45" i="12"/>
  <c r="D45" i="12"/>
  <c r="C45" i="12"/>
  <c r="W44" i="12"/>
  <c r="V44" i="12"/>
  <c r="U44" i="12"/>
  <c r="T44" i="12"/>
  <c r="S44" i="12"/>
  <c r="R44" i="12"/>
  <c r="Q44" i="12"/>
  <c r="P44" i="12"/>
  <c r="O44" i="12"/>
  <c r="N44" i="12"/>
  <c r="M44" i="12"/>
  <c r="L44" i="12"/>
  <c r="K44" i="12"/>
  <c r="J44" i="12"/>
  <c r="I44" i="12"/>
  <c r="H44" i="12"/>
  <c r="G44" i="12"/>
  <c r="F44" i="12"/>
  <c r="E44" i="12"/>
  <c r="D44" i="12"/>
  <c r="C44" i="12"/>
  <c r="W43" i="12"/>
  <c r="V43" i="12"/>
  <c r="U43" i="12"/>
  <c r="T43" i="12"/>
  <c r="S43" i="12"/>
  <c r="R43" i="12"/>
  <c r="Q43" i="12"/>
  <c r="P43" i="12"/>
  <c r="O43" i="12"/>
  <c r="N43" i="12"/>
  <c r="M43" i="12"/>
  <c r="L43" i="12"/>
  <c r="K43" i="12"/>
  <c r="J43" i="12"/>
  <c r="I43" i="12"/>
  <c r="H43" i="12"/>
  <c r="G43" i="12"/>
  <c r="F43" i="12"/>
  <c r="E43" i="12"/>
  <c r="D43" i="12"/>
  <c r="C43" i="12"/>
  <c r="W42" i="12"/>
  <c r="V42" i="12"/>
  <c r="U42" i="12"/>
  <c r="T42" i="12"/>
  <c r="S42" i="12"/>
  <c r="R42" i="12"/>
  <c r="Q42" i="12"/>
  <c r="P42" i="12"/>
  <c r="O42" i="12"/>
  <c r="N42" i="12"/>
  <c r="M42" i="12"/>
  <c r="L42" i="12"/>
  <c r="K42" i="12"/>
  <c r="J42" i="12"/>
  <c r="I42" i="12"/>
  <c r="H42" i="12"/>
  <c r="G42" i="12"/>
  <c r="F42" i="12"/>
  <c r="E42" i="12"/>
  <c r="D42" i="12"/>
  <c r="C42" i="12"/>
  <c r="W41" i="12"/>
  <c r="V41" i="12"/>
  <c r="U41" i="12"/>
  <c r="T41" i="12"/>
  <c r="S41" i="12"/>
  <c r="R41" i="12"/>
  <c r="Q41" i="12"/>
  <c r="P41" i="12"/>
  <c r="O41" i="12"/>
  <c r="N41" i="12"/>
  <c r="M41" i="12"/>
  <c r="L41" i="12"/>
  <c r="K41" i="12"/>
  <c r="J41" i="12"/>
  <c r="I41" i="12"/>
  <c r="H41" i="12"/>
  <c r="G41" i="12"/>
  <c r="F41" i="12"/>
  <c r="E41" i="12"/>
  <c r="D41" i="12"/>
  <c r="C41" i="12"/>
  <c r="W40" i="12"/>
  <c r="V40" i="12"/>
  <c r="U40" i="12"/>
  <c r="T40" i="12"/>
  <c r="S40" i="12"/>
  <c r="R40" i="12"/>
  <c r="Q40" i="12"/>
  <c r="P40" i="12"/>
  <c r="O40" i="12"/>
  <c r="N40" i="12"/>
  <c r="M40" i="12"/>
  <c r="L40" i="12"/>
  <c r="K40" i="12"/>
  <c r="J40" i="12"/>
  <c r="I40" i="12"/>
  <c r="H40" i="12"/>
  <c r="G40" i="12"/>
  <c r="F40" i="12"/>
  <c r="E40" i="12"/>
  <c r="D40" i="12"/>
  <c r="C40" i="12"/>
  <c r="W39" i="12"/>
  <c r="V39" i="12"/>
  <c r="U39" i="12"/>
  <c r="T39" i="12"/>
  <c r="S39" i="12"/>
  <c r="R39" i="12"/>
  <c r="Q39" i="12"/>
  <c r="P39" i="12"/>
  <c r="O39" i="12"/>
  <c r="N39" i="12"/>
  <c r="M39" i="12"/>
  <c r="L39" i="12"/>
  <c r="K39" i="12"/>
  <c r="J39" i="12"/>
  <c r="I39" i="12"/>
  <c r="H39" i="12"/>
  <c r="G39" i="12"/>
  <c r="F39" i="12"/>
  <c r="E39" i="12"/>
  <c r="D39" i="12"/>
  <c r="C39" i="12"/>
  <c r="AB38" i="12"/>
  <c r="W38" i="12"/>
  <c r="V38" i="12"/>
  <c r="U38" i="12"/>
  <c r="T38" i="12"/>
  <c r="S38" i="12"/>
  <c r="R38" i="12"/>
  <c r="Q38" i="12"/>
  <c r="P38" i="12"/>
  <c r="O38" i="12"/>
  <c r="N38" i="12"/>
  <c r="M38" i="12"/>
  <c r="L38" i="12"/>
  <c r="K38" i="12"/>
  <c r="K52" i="12" s="1"/>
  <c r="J38" i="12"/>
  <c r="I38" i="12"/>
  <c r="H38" i="12"/>
  <c r="G38" i="12"/>
  <c r="F38" i="12"/>
  <c r="E38" i="12"/>
  <c r="D38" i="12"/>
  <c r="C38" i="12"/>
  <c r="U37" i="12"/>
  <c r="T37" i="12"/>
  <c r="S37" i="12"/>
  <c r="R37" i="12"/>
  <c r="Q37" i="12"/>
  <c r="P37" i="12"/>
  <c r="O37" i="12"/>
  <c r="Y34" i="12"/>
  <c r="X34" i="12"/>
  <c r="X52" i="12" s="1"/>
  <c r="W34" i="12"/>
  <c r="V34" i="12"/>
  <c r="U34" i="12"/>
  <c r="T34" i="12"/>
  <c r="S34" i="12"/>
  <c r="R34" i="12"/>
  <c r="Q34" i="12"/>
  <c r="P34" i="12"/>
  <c r="O34" i="12"/>
  <c r="N34" i="12"/>
  <c r="M34" i="12"/>
  <c r="L34" i="12"/>
  <c r="K34" i="12"/>
  <c r="J34" i="12"/>
  <c r="I34" i="12"/>
  <c r="H34" i="12"/>
  <c r="G34" i="12"/>
  <c r="F34" i="12"/>
  <c r="E34" i="12"/>
  <c r="D34" i="12"/>
  <c r="C34" i="12"/>
  <c r="Z33" i="12"/>
  <c r="A33" i="12"/>
  <c r="Z32" i="12"/>
  <c r="Z31" i="12"/>
  <c r="A31" i="12"/>
  <c r="A49" i="12" s="1"/>
  <c r="Z30" i="12"/>
  <c r="A30" i="12"/>
  <c r="A48" i="12" s="1"/>
  <c r="Z29" i="12"/>
  <c r="A29" i="12"/>
  <c r="A47" i="12" s="1"/>
  <c r="Z28" i="12"/>
  <c r="A28" i="12"/>
  <c r="A46" i="12" s="1"/>
  <c r="Z27" i="12"/>
  <c r="A27" i="12"/>
  <c r="A45" i="12" s="1"/>
  <c r="Z26" i="12"/>
  <c r="A26" i="12"/>
  <c r="A44" i="12" s="1"/>
  <c r="Z25" i="12"/>
  <c r="A25" i="12"/>
  <c r="A43" i="12" s="1"/>
  <c r="Z24" i="12"/>
  <c r="A24" i="12"/>
  <c r="A42" i="12" s="1"/>
  <c r="Z23" i="12"/>
  <c r="A23" i="12"/>
  <c r="A41" i="12" s="1"/>
  <c r="Z22" i="12"/>
  <c r="A22" i="12"/>
  <c r="A40" i="12"/>
  <c r="Z21" i="12"/>
  <c r="A21" i="12"/>
  <c r="A39" i="12" s="1"/>
  <c r="Z20" i="12"/>
  <c r="A20" i="12"/>
  <c r="A38" i="12" s="1"/>
  <c r="N19" i="12"/>
  <c r="N37" i="12" s="1"/>
  <c r="M19" i="12"/>
  <c r="M37" i="12" s="1"/>
  <c r="L19" i="12"/>
  <c r="L37" i="12" s="1"/>
  <c r="K19" i="12"/>
  <c r="K37" i="12" s="1"/>
  <c r="J19" i="12"/>
  <c r="J37" i="12" s="1"/>
  <c r="I19" i="12"/>
  <c r="I37" i="12" s="1"/>
  <c r="H19" i="12"/>
  <c r="H37" i="12" s="1"/>
  <c r="G19" i="12"/>
  <c r="G37" i="12" s="1"/>
  <c r="F19" i="12"/>
  <c r="F37" i="12" s="1"/>
  <c r="E19" i="12"/>
  <c r="E37" i="12" s="1"/>
  <c r="D19" i="12"/>
  <c r="D37" i="12" s="1"/>
  <c r="C19" i="12"/>
  <c r="C37" i="12"/>
  <c r="A19" i="12"/>
  <c r="A37" i="12" s="1"/>
  <c r="Y17" i="12"/>
  <c r="X17" i="12"/>
  <c r="W17" i="12"/>
  <c r="V17" i="12"/>
  <c r="U17" i="12"/>
  <c r="T17" i="12"/>
  <c r="S17" i="12"/>
  <c r="R17" i="12"/>
  <c r="Q17" i="12"/>
  <c r="P17" i="12"/>
  <c r="O17" i="12"/>
  <c r="N17" i="12"/>
  <c r="M17" i="12"/>
  <c r="L17" i="12"/>
  <c r="K17" i="12"/>
  <c r="J17" i="12"/>
  <c r="I17" i="12"/>
  <c r="H17" i="12"/>
  <c r="G17" i="12"/>
  <c r="F17" i="12"/>
  <c r="E17" i="12"/>
  <c r="D17" i="12"/>
  <c r="C17" i="12"/>
  <c r="Z16" i="12"/>
  <c r="Z15" i="12"/>
  <c r="Z14" i="12"/>
  <c r="Z13" i="12"/>
  <c r="Z12" i="12"/>
  <c r="Z11" i="12"/>
  <c r="Z10" i="12"/>
  <c r="Z9" i="12"/>
  <c r="Z8" i="12"/>
  <c r="Z7" i="12"/>
  <c r="Z6" i="12"/>
  <c r="Z5" i="12"/>
  <c r="Z4" i="12"/>
  <c r="Z3" i="12"/>
  <c r="Y52" i="11"/>
  <c r="W51" i="11"/>
  <c r="V51" i="11"/>
  <c r="U51" i="11"/>
  <c r="T51" i="11"/>
  <c r="S51" i="11"/>
  <c r="R51" i="11"/>
  <c r="Q51" i="11"/>
  <c r="P51" i="11"/>
  <c r="O51" i="11"/>
  <c r="N51" i="11"/>
  <c r="M51" i="11"/>
  <c r="L51" i="11"/>
  <c r="K51" i="11"/>
  <c r="J51" i="11"/>
  <c r="I51" i="11"/>
  <c r="H51" i="11"/>
  <c r="G51" i="11"/>
  <c r="F51" i="11"/>
  <c r="E51" i="11"/>
  <c r="D51" i="11"/>
  <c r="C51" i="11"/>
  <c r="W50" i="11"/>
  <c r="V50" i="11"/>
  <c r="U50" i="11"/>
  <c r="T50" i="11"/>
  <c r="S50" i="11"/>
  <c r="R50" i="11"/>
  <c r="Q50" i="11"/>
  <c r="P50" i="11"/>
  <c r="O50" i="11"/>
  <c r="N50" i="11"/>
  <c r="M50" i="11"/>
  <c r="L50" i="11"/>
  <c r="K50" i="11"/>
  <c r="J50" i="11"/>
  <c r="I50" i="11"/>
  <c r="H50" i="11"/>
  <c r="G50" i="11"/>
  <c r="F50" i="11"/>
  <c r="E50" i="11"/>
  <c r="D50" i="11"/>
  <c r="C50" i="11"/>
  <c r="W49" i="11"/>
  <c r="V49" i="11"/>
  <c r="U49" i="11"/>
  <c r="T49" i="11"/>
  <c r="S49" i="11"/>
  <c r="R49" i="11"/>
  <c r="Q49" i="11"/>
  <c r="P49" i="11"/>
  <c r="O49" i="11"/>
  <c r="N49" i="11"/>
  <c r="M49" i="11"/>
  <c r="L49" i="11"/>
  <c r="K49" i="11"/>
  <c r="J49" i="11"/>
  <c r="I49" i="11"/>
  <c r="H49" i="11"/>
  <c r="G49" i="11"/>
  <c r="F49" i="11"/>
  <c r="E49" i="11"/>
  <c r="D49" i="11"/>
  <c r="C49" i="11"/>
  <c r="W48" i="11"/>
  <c r="V48" i="11"/>
  <c r="U48" i="11"/>
  <c r="T48" i="11"/>
  <c r="S48" i="11"/>
  <c r="R48" i="11"/>
  <c r="Q48" i="11"/>
  <c r="P48" i="11"/>
  <c r="O48" i="11"/>
  <c r="N48" i="11"/>
  <c r="M48" i="11"/>
  <c r="L48" i="11"/>
  <c r="K48" i="11"/>
  <c r="J48" i="11"/>
  <c r="I48" i="11"/>
  <c r="H48" i="11"/>
  <c r="G48" i="11"/>
  <c r="F48" i="11"/>
  <c r="E48" i="11"/>
  <c r="D48" i="11"/>
  <c r="C48" i="11"/>
  <c r="W47" i="11"/>
  <c r="V47" i="11"/>
  <c r="U47" i="11"/>
  <c r="T47" i="11"/>
  <c r="S47" i="11"/>
  <c r="R47" i="11"/>
  <c r="Q47" i="11"/>
  <c r="P47" i="11"/>
  <c r="O47" i="11"/>
  <c r="N47" i="11"/>
  <c r="M47" i="11"/>
  <c r="L47" i="11"/>
  <c r="K47" i="11"/>
  <c r="J47" i="11"/>
  <c r="I47" i="11"/>
  <c r="H47" i="11"/>
  <c r="G47" i="11"/>
  <c r="F47" i="11"/>
  <c r="E47" i="11"/>
  <c r="D47" i="11"/>
  <c r="C47" i="11"/>
  <c r="Z47" i="11" s="1"/>
  <c r="W46" i="11"/>
  <c r="V46" i="11"/>
  <c r="U46" i="11"/>
  <c r="T46" i="11"/>
  <c r="S46" i="11"/>
  <c r="R46" i="11"/>
  <c r="Q46" i="11"/>
  <c r="P46" i="11"/>
  <c r="O46" i="11"/>
  <c r="N46" i="11"/>
  <c r="M46" i="11"/>
  <c r="L46" i="11"/>
  <c r="K46" i="11"/>
  <c r="J46" i="11"/>
  <c r="I46" i="11"/>
  <c r="H46" i="11"/>
  <c r="G46" i="11"/>
  <c r="F46" i="11"/>
  <c r="E46" i="11"/>
  <c r="D46" i="11"/>
  <c r="C46" i="11"/>
  <c r="W45" i="11"/>
  <c r="V45" i="11"/>
  <c r="U45" i="11"/>
  <c r="T45" i="11"/>
  <c r="S45" i="11"/>
  <c r="R45" i="11"/>
  <c r="Q45" i="11"/>
  <c r="P45" i="11"/>
  <c r="O45" i="11"/>
  <c r="N45" i="11"/>
  <c r="M45" i="11"/>
  <c r="L45" i="11"/>
  <c r="K45" i="11"/>
  <c r="J45" i="11"/>
  <c r="I45" i="11"/>
  <c r="H45" i="11"/>
  <c r="G45" i="11"/>
  <c r="F45" i="11"/>
  <c r="E45" i="11"/>
  <c r="D45" i="11"/>
  <c r="C45" i="11"/>
  <c r="W44" i="11"/>
  <c r="V44" i="11"/>
  <c r="U44" i="11"/>
  <c r="T44" i="11"/>
  <c r="S44" i="11"/>
  <c r="R44" i="11"/>
  <c r="Q44" i="11"/>
  <c r="P44" i="11"/>
  <c r="O44" i="11"/>
  <c r="N44" i="11"/>
  <c r="M44" i="11"/>
  <c r="L44" i="11"/>
  <c r="K44" i="11"/>
  <c r="J44" i="11"/>
  <c r="I44" i="11"/>
  <c r="H44" i="11"/>
  <c r="G44" i="11"/>
  <c r="F44" i="11"/>
  <c r="E44" i="11"/>
  <c r="D44" i="11"/>
  <c r="C44" i="11"/>
  <c r="W43" i="11"/>
  <c r="V43" i="11"/>
  <c r="U43" i="11"/>
  <c r="T43" i="11"/>
  <c r="S43" i="11"/>
  <c r="R43" i="11"/>
  <c r="Q43" i="11"/>
  <c r="P43" i="11"/>
  <c r="O43" i="11"/>
  <c r="N43" i="11"/>
  <c r="M43" i="11"/>
  <c r="L43" i="11"/>
  <c r="K43" i="11"/>
  <c r="J43" i="11"/>
  <c r="I43" i="11"/>
  <c r="H43" i="11"/>
  <c r="G43" i="11"/>
  <c r="F43" i="11"/>
  <c r="E43" i="11"/>
  <c r="D43" i="11"/>
  <c r="C43" i="11"/>
  <c r="W42" i="11"/>
  <c r="V42" i="11"/>
  <c r="U42" i="11"/>
  <c r="T42" i="11"/>
  <c r="S42" i="11"/>
  <c r="R42" i="11"/>
  <c r="Q42" i="11"/>
  <c r="P42" i="11"/>
  <c r="O42" i="11"/>
  <c r="N42" i="11"/>
  <c r="M42" i="11"/>
  <c r="L42" i="11"/>
  <c r="K42" i="11"/>
  <c r="J42" i="11"/>
  <c r="I42" i="11"/>
  <c r="H42" i="11"/>
  <c r="G42" i="11"/>
  <c r="F42" i="11"/>
  <c r="E42" i="11"/>
  <c r="D42" i="11"/>
  <c r="C42" i="11"/>
  <c r="W41" i="11"/>
  <c r="V41" i="11"/>
  <c r="U41" i="11"/>
  <c r="T41" i="11"/>
  <c r="S41" i="11"/>
  <c r="R41" i="11"/>
  <c r="Q41" i="11"/>
  <c r="P41" i="11"/>
  <c r="O41" i="11"/>
  <c r="N41" i="11"/>
  <c r="M41" i="11"/>
  <c r="L41" i="11"/>
  <c r="K41" i="11"/>
  <c r="J41" i="11"/>
  <c r="I41" i="11"/>
  <c r="H41" i="11"/>
  <c r="G41" i="11"/>
  <c r="F41" i="11"/>
  <c r="E41" i="11"/>
  <c r="D41" i="11"/>
  <c r="C41" i="11"/>
  <c r="W40" i="11"/>
  <c r="V40" i="11"/>
  <c r="U40" i="11"/>
  <c r="T40" i="11"/>
  <c r="S40" i="11"/>
  <c r="R40" i="11"/>
  <c r="Q40" i="11"/>
  <c r="P40" i="11"/>
  <c r="O40" i="11"/>
  <c r="N40" i="11"/>
  <c r="M40" i="11"/>
  <c r="L40" i="11"/>
  <c r="K40" i="11"/>
  <c r="J40" i="11"/>
  <c r="I40" i="11"/>
  <c r="H40" i="11"/>
  <c r="G40" i="11"/>
  <c r="F40" i="11"/>
  <c r="E40" i="11"/>
  <c r="D40" i="11"/>
  <c r="C40" i="11"/>
  <c r="W39" i="11"/>
  <c r="V39" i="11"/>
  <c r="U39" i="11"/>
  <c r="T39" i="11"/>
  <c r="S39" i="11"/>
  <c r="R39" i="11"/>
  <c r="Q39" i="11"/>
  <c r="P39" i="11"/>
  <c r="O39" i="11"/>
  <c r="N39" i="11"/>
  <c r="M39" i="11"/>
  <c r="L39" i="11"/>
  <c r="K39" i="11"/>
  <c r="J39" i="11"/>
  <c r="I39" i="11"/>
  <c r="H39" i="11"/>
  <c r="G39" i="11"/>
  <c r="F39" i="11"/>
  <c r="E39" i="11"/>
  <c r="D39" i="11"/>
  <c r="C39" i="11"/>
  <c r="AB38" i="11"/>
  <c r="W38" i="11"/>
  <c r="V38" i="11"/>
  <c r="U38" i="11"/>
  <c r="T38" i="11"/>
  <c r="S38" i="11"/>
  <c r="R38" i="11"/>
  <c r="Q38" i="11"/>
  <c r="P38" i="11"/>
  <c r="O38" i="11"/>
  <c r="N38" i="11"/>
  <c r="M38" i="11"/>
  <c r="L38" i="11"/>
  <c r="K38" i="11"/>
  <c r="J38" i="11"/>
  <c r="I38" i="11"/>
  <c r="H38" i="11"/>
  <c r="G38" i="11"/>
  <c r="F38" i="11"/>
  <c r="E38" i="11"/>
  <c r="D38" i="11"/>
  <c r="C38" i="11"/>
  <c r="U37" i="11"/>
  <c r="T37" i="11"/>
  <c r="S37" i="11"/>
  <c r="R37" i="11"/>
  <c r="Q37" i="11"/>
  <c r="P37" i="11"/>
  <c r="O37" i="11"/>
  <c r="Y34" i="11"/>
  <c r="X34" i="11"/>
  <c r="W34" i="11"/>
  <c r="V34" i="11"/>
  <c r="U34" i="11"/>
  <c r="T34" i="11"/>
  <c r="S34" i="11"/>
  <c r="R34" i="11"/>
  <c r="Q34" i="11"/>
  <c r="P34" i="11"/>
  <c r="O34" i="11"/>
  <c r="N34" i="11"/>
  <c r="M34" i="11"/>
  <c r="L34" i="11"/>
  <c r="K34" i="11"/>
  <c r="J34" i="11"/>
  <c r="I34" i="11"/>
  <c r="H34" i="11"/>
  <c r="G34" i="11"/>
  <c r="F34" i="11"/>
  <c r="E34" i="11"/>
  <c r="D34" i="11"/>
  <c r="C34" i="11"/>
  <c r="Z33" i="11"/>
  <c r="A33" i="11"/>
  <c r="Z32" i="11"/>
  <c r="A50" i="11"/>
  <c r="Z31" i="11"/>
  <c r="A31" i="11"/>
  <c r="A49" i="11" s="1"/>
  <c r="Z30" i="11"/>
  <c r="A30" i="11"/>
  <c r="A48" i="11" s="1"/>
  <c r="Z29" i="11"/>
  <c r="A29" i="11"/>
  <c r="A47" i="11" s="1"/>
  <c r="Z28" i="11"/>
  <c r="A28" i="11"/>
  <c r="A46" i="11" s="1"/>
  <c r="Z27" i="11"/>
  <c r="A27" i="11"/>
  <c r="A45" i="11" s="1"/>
  <c r="Z26" i="11"/>
  <c r="A26" i="11"/>
  <c r="A44" i="11" s="1"/>
  <c r="Z25" i="11"/>
  <c r="A25" i="11"/>
  <c r="A43" i="11" s="1"/>
  <c r="Z24" i="11"/>
  <c r="A24" i="11"/>
  <c r="A42" i="11" s="1"/>
  <c r="Z23" i="11"/>
  <c r="A23" i="11"/>
  <c r="A41" i="11" s="1"/>
  <c r="Z22" i="11"/>
  <c r="A22" i="11"/>
  <c r="A40" i="11" s="1"/>
  <c r="Z21" i="11"/>
  <c r="A21" i="11"/>
  <c r="A39" i="11" s="1"/>
  <c r="Z20" i="11"/>
  <c r="A20" i="11"/>
  <c r="A38" i="11" s="1"/>
  <c r="N19" i="11"/>
  <c r="N37" i="11"/>
  <c r="M19" i="11"/>
  <c r="M37" i="11" s="1"/>
  <c r="L19" i="11"/>
  <c r="L37" i="11" s="1"/>
  <c r="K19" i="11"/>
  <c r="K37" i="11" s="1"/>
  <c r="J19" i="11"/>
  <c r="J37" i="11" s="1"/>
  <c r="I19" i="11"/>
  <c r="I37" i="11" s="1"/>
  <c r="H19" i="11"/>
  <c r="H37" i="11" s="1"/>
  <c r="G19" i="11"/>
  <c r="G37" i="11" s="1"/>
  <c r="F19" i="11"/>
  <c r="F37" i="11"/>
  <c r="E19" i="11"/>
  <c r="E37" i="11" s="1"/>
  <c r="D19" i="11"/>
  <c r="D37" i="11" s="1"/>
  <c r="C19" i="11"/>
  <c r="C37" i="11" s="1"/>
  <c r="A19" i="11"/>
  <c r="A37" i="11" s="1"/>
  <c r="Y17" i="11"/>
  <c r="X17" i="11"/>
  <c r="W17" i="11"/>
  <c r="V17" i="11"/>
  <c r="U17" i="11"/>
  <c r="T17" i="11"/>
  <c r="S17" i="11"/>
  <c r="R17" i="11"/>
  <c r="Q17" i="11"/>
  <c r="P17" i="11"/>
  <c r="O17" i="11"/>
  <c r="N17" i="11"/>
  <c r="M17" i="11"/>
  <c r="L17" i="11"/>
  <c r="K17" i="11"/>
  <c r="J17" i="11"/>
  <c r="I17" i="11"/>
  <c r="H17" i="11"/>
  <c r="G17" i="11"/>
  <c r="F17" i="11"/>
  <c r="E17" i="11"/>
  <c r="D17" i="11"/>
  <c r="C17" i="11"/>
  <c r="Z16" i="11"/>
  <c r="Z15" i="11"/>
  <c r="Z14" i="11"/>
  <c r="Z13" i="11"/>
  <c r="Z12" i="11"/>
  <c r="Z11" i="11"/>
  <c r="Z10" i="11"/>
  <c r="Z9" i="11"/>
  <c r="Z8" i="11"/>
  <c r="Z7" i="11"/>
  <c r="Z6" i="11"/>
  <c r="Z5" i="11"/>
  <c r="Z4" i="11"/>
  <c r="Z3" i="11"/>
  <c r="O6" i="1"/>
  <c r="O7" i="1"/>
  <c r="O8" i="1"/>
  <c r="O9" i="1"/>
  <c r="O10" i="1"/>
  <c r="O11" i="1"/>
  <c r="O12" i="1"/>
  <c r="O13" i="1"/>
  <c r="O14" i="1"/>
  <c r="O15" i="1"/>
  <c r="O16" i="1"/>
  <c r="O17" i="1"/>
  <c r="C19" i="1"/>
  <c r="D19" i="1"/>
  <c r="E19" i="1"/>
  <c r="F19" i="1"/>
  <c r="G19" i="1"/>
  <c r="H19" i="1"/>
  <c r="I19" i="1"/>
  <c r="J19" i="1"/>
  <c r="K19" i="1"/>
  <c r="L19" i="1"/>
  <c r="M19" i="1"/>
  <c r="N19" i="1"/>
  <c r="O26" i="1"/>
  <c r="O27" i="1"/>
  <c r="O28" i="1"/>
  <c r="O29" i="1"/>
  <c r="O30" i="1"/>
  <c r="O31" i="1"/>
  <c r="O32" i="1"/>
  <c r="O33" i="1"/>
  <c r="O34" i="1"/>
  <c r="O35" i="1"/>
  <c r="O36" i="1"/>
  <c r="C38" i="1"/>
  <c r="D38" i="1"/>
  <c r="E38" i="1"/>
  <c r="F38" i="1"/>
  <c r="G38" i="1"/>
  <c r="H38" i="1"/>
  <c r="I38" i="1"/>
  <c r="J38" i="1"/>
  <c r="K38" i="1"/>
  <c r="L38" i="1"/>
  <c r="M38" i="1"/>
  <c r="N38" i="1"/>
  <c r="O6" i="2"/>
  <c r="O7" i="2"/>
  <c r="O8" i="2"/>
  <c r="O9" i="2"/>
  <c r="O10" i="2"/>
  <c r="O11" i="2"/>
  <c r="O12" i="2"/>
  <c r="O13" i="2"/>
  <c r="O14" i="2"/>
  <c r="O15" i="2"/>
  <c r="O16" i="2"/>
  <c r="O17" i="2"/>
  <c r="C19" i="2"/>
  <c r="D19" i="2"/>
  <c r="E19" i="2"/>
  <c r="H19" i="2"/>
  <c r="I19" i="2"/>
  <c r="J19" i="2"/>
  <c r="M19" i="2"/>
  <c r="N19" i="2"/>
  <c r="O26" i="2"/>
  <c r="O27" i="2"/>
  <c r="O28" i="2"/>
  <c r="O29" i="2"/>
  <c r="O30" i="2"/>
  <c r="O31" i="2"/>
  <c r="O32" i="2"/>
  <c r="O33" i="2"/>
  <c r="O34" i="2"/>
  <c r="O35" i="2"/>
  <c r="O36" i="2"/>
  <c r="C38" i="2"/>
  <c r="H38" i="2"/>
  <c r="M38" i="2"/>
  <c r="O6" i="3"/>
  <c r="O7" i="3"/>
  <c r="O8" i="3"/>
  <c r="O9" i="3"/>
  <c r="O10" i="3"/>
  <c r="O11" i="3"/>
  <c r="O12" i="3"/>
  <c r="O13" i="3"/>
  <c r="O14" i="3"/>
  <c r="O15" i="3"/>
  <c r="O16" i="3"/>
  <c r="O17" i="3"/>
  <c r="C19" i="3"/>
  <c r="D19" i="3"/>
  <c r="E19" i="3"/>
  <c r="H19" i="3"/>
  <c r="I19" i="3"/>
  <c r="J19" i="3"/>
  <c r="M19" i="3"/>
  <c r="N19" i="3"/>
  <c r="O26" i="3"/>
  <c r="O27" i="3"/>
  <c r="O28" i="3"/>
  <c r="O29" i="3"/>
  <c r="O30" i="3"/>
  <c r="O31" i="3"/>
  <c r="O32" i="3"/>
  <c r="O33" i="3"/>
  <c r="O34" i="3"/>
  <c r="O35" i="3"/>
  <c r="O36" i="3"/>
  <c r="C38" i="3"/>
  <c r="H38" i="3"/>
  <c r="M38" i="3"/>
  <c r="O3" i="4"/>
  <c r="O4" i="4"/>
  <c r="O5" i="4"/>
  <c r="O6" i="4"/>
  <c r="O7" i="4"/>
  <c r="O8" i="4"/>
  <c r="O9" i="4"/>
  <c r="O10" i="4"/>
  <c r="O11" i="4"/>
  <c r="O12" i="4"/>
  <c r="O13" i="4"/>
  <c r="O14" i="4"/>
  <c r="O15" i="4"/>
  <c r="O16" i="4"/>
  <c r="C17" i="4"/>
  <c r="D17" i="4"/>
  <c r="E17" i="4"/>
  <c r="F17" i="4"/>
  <c r="G17" i="4"/>
  <c r="H17" i="4"/>
  <c r="I17" i="4"/>
  <c r="J17" i="4"/>
  <c r="K17" i="4"/>
  <c r="L17" i="4"/>
  <c r="M17" i="4"/>
  <c r="N17" i="4"/>
  <c r="A19" i="4"/>
  <c r="A36" i="4" s="1"/>
  <c r="C19" i="4"/>
  <c r="C36" i="4" s="1"/>
  <c r="D19" i="4"/>
  <c r="D36" i="4" s="1"/>
  <c r="E19" i="4"/>
  <c r="F19" i="4"/>
  <c r="F36" i="4" s="1"/>
  <c r="G19" i="4"/>
  <c r="G36" i="4" s="1"/>
  <c r="H19" i="4"/>
  <c r="H36" i="4" s="1"/>
  <c r="I19" i="4"/>
  <c r="I36" i="4" s="1"/>
  <c r="J19" i="4"/>
  <c r="J36" i="4" s="1"/>
  <c r="K19" i="4"/>
  <c r="K36" i="4" s="1"/>
  <c r="L19" i="4"/>
  <c r="L36" i="4" s="1"/>
  <c r="M19" i="4"/>
  <c r="M36" i="4" s="1"/>
  <c r="N19" i="4"/>
  <c r="N36" i="4" s="1"/>
  <c r="A20" i="4"/>
  <c r="A37" i="4" s="1"/>
  <c r="O20" i="4"/>
  <c r="A21" i="4"/>
  <c r="A38" i="4" s="1"/>
  <c r="O21" i="4"/>
  <c r="A22" i="4"/>
  <c r="A39" i="4" s="1"/>
  <c r="O22" i="4"/>
  <c r="A23" i="4"/>
  <c r="A40" i="4" s="1"/>
  <c r="O23" i="4"/>
  <c r="A24" i="4"/>
  <c r="A41" i="4" s="1"/>
  <c r="O24" i="4"/>
  <c r="A25" i="4"/>
  <c r="A42" i="4" s="1"/>
  <c r="O25" i="4"/>
  <c r="A26" i="4"/>
  <c r="A43" i="4" s="1"/>
  <c r="O26" i="4"/>
  <c r="A27" i="4"/>
  <c r="A44" i="4" s="1"/>
  <c r="O27" i="4"/>
  <c r="A28" i="4"/>
  <c r="A45" i="4" s="1"/>
  <c r="O28" i="4"/>
  <c r="A29" i="4"/>
  <c r="A46" i="4" s="1"/>
  <c r="O29" i="4"/>
  <c r="A30" i="4"/>
  <c r="A47" i="4" s="1"/>
  <c r="O30" i="4"/>
  <c r="A31" i="4"/>
  <c r="A48" i="4" s="1"/>
  <c r="O31" i="4"/>
  <c r="A32" i="4"/>
  <c r="A49" i="4" s="1"/>
  <c r="O32" i="4"/>
  <c r="A33" i="4"/>
  <c r="O33" i="4"/>
  <c r="C34" i="4"/>
  <c r="D34" i="4"/>
  <c r="E34" i="4"/>
  <c r="F34" i="4"/>
  <c r="G34" i="4"/>
  <c r="H34" i="4"/>
  <c r="I34" i="4"/>
  <c r="J34" i="4"/>
  <c r="K34" i="4"/>
  <c r="L34" i="4"/>
  <c r="M34" i="4"/>
  <c r="N34" i="4"/>
  <c r="E36" i="4"/>
  <c r="C37" i="4"/>
  <c r="D37" i="4"/>
  <c r="E37" i="4"/>
  <c r="F37" i="4"/>
  <c r="G37" i="4"/>
  <c r="H37" i="4"/>
  <c r="I37" i="4"/>
  <c r="J37" i="4"/>
  <c r="K37" i="4"/>
  <c r="L37" i="4"/>
  <c r="M37" i="4"/>
  <c r="N37" i="4"/>
  <c r="C38" i="4"/>
  <c r="D38" i="4"/>
  <c r="E38" i="4"/>
  <c r="F38" i="4"/>
  <c r="G38" i="4"/>
  <c r="H38" i="4"/>
  <c r="I38" i="4"/>
  <c r="J38" i="4"/>
  <c r="K38" i="4"/>
  <c r="L38" i="4"/>
  <c r="M38" i="4"/>
  <c r="N38" i="4"/>
  <c r="C39" i="4"/>
  <c r="D39" i="4"/>
  <c r="E39" i="4"/>
  <c r="F39" i="4"/>
  <c r="G39" i="4"/>
  <c r="H39" i="4"/>
  <c r="I39" i="4"/>
  <c r="J39" i="4"/>
  <c r="K39" i="4"/>
  <c r="L39" i="4"/>
  <c r="M39" i="4"/>
  <c r="N39" i="4"/>
  <c r="C40" i="4"/>
  <c r="D40" i="4"/>
  <c r="E40" i="4"/>
  <c r="F40" i="4"/>
  <c r="G40" i="4"/>
  <c r="H40" i="4"/>
  <c r="I40" i="4"/>
  <c r="J40" i="4"/>
  <c r="K40" i="4"/>
  <c r="L40" i="4"/>
  <c r="M40" i="4"/>
  <c r="N40" i="4"/>
  <c r="C41" i="4"/>
  <c r="D41" i="4"/>
  <c r="E41" i="4"/>
  <c r="F41" i="4"/>
  <c r="G41" i="4"/>
  <c r="H41" i="4"/>
  <c r="I41" i="4"/>
  <c r="J41" i="4"/>
  <c r="K41" i="4"/>
  <c r="L41" i="4"/>
  <c r="M41" i="4"/>
  <c r="N41" i="4"/>
  <c r="C42" i="4"/>
  <c r="D42" i="4"/>
  <c r="E42" i="4"/>
  <c r="F42" i="4"/>
  <c r="G42" i="4"/>
  <c r="H42" i="4"/>
  <c r="I42" i="4"/>
  <c r="J42" i="4"/>
  <c r="K42" i="4"/>
  <c r="L42" i="4"/>
  <c r="M42" i="4"/>
  <c r="N42" i="4"/>
  <c r="C43" i="4"/>
  <c r="D43" i="4"/>
  <c r="E43" i="4"/>
  <c r="F43" i="4"/>
  <c r="G43" i="4"/>
  <c r="H43" i="4"/>
  <c r="I43" i="4"/>
  <c r="J43" i="4"/>
  <c r="K43" i="4"/>
  <c r="L43" i="4"/>
  <c r="M43" i="4"/>
  <c r="N43" i="4"/>
  <c r="C44" i="4"/>
  <c r="D44" i="4"/>
  <c r="E44" i="4"/>
  <c r="F44" i="4"/>
  <c r="G44" i="4"/>
  <c r="H44" i="4"/>
  <c r="I44" i="4"/>
  <c r="J44" i="4"/>
  <c r="K44" i="4"/>
  <c r="L44" i="4"/>
  <c r="M44" i="4"/>
  <c r="N44" i="4"/>
  <c r="C45" i="4"/>
  <c r="D45" i="4"/>
  <c r="E45" i="4"/>
  <c r="F45" i="4"/>
  <c r="G45" i="4"/>
  <c r="H45" i="4"/>
  <c r="I45" i="4"/>
  <c r="J45" i="4"/>
  <c r="K45" i="4"/>
  <c r="L45" i="4"/>
  <c r="M45" i="4"/>
  <c r="N45" i="4"/>
  <c r="C46" i="4"/>
  <c r="D46" i="4"/>
  <c r="E46" i="4"/>
  <c r="F46" i="4"/>
  <c r="G46" i="4"/>
  <c r="H46" i="4"/>
  <c r="I46" i="4"/>
  <c r="J46" i="4"/>
  <c r="K46" i="4"/>
  <c r="L46" i="4"/>
  <c r="M46" i="4"/>
  <c r="N46" i="4"/>
  <c r="C47" i="4"/>
  <c r="D47" i="4"/>
  <c r="E47" i="4"/>
  <c r="F47" i="4"/>
  <c r="G47" i="4"/>
  <c r="H47" i="4"/>
  <c r="I47" i="4"/>
  <c r="J47" i="4"/>
  <c r="K47" i="4"/>
  <c r="L47" i="4"/>
  <c r="M47" i="4"/>
  <c r="N47" i="4"/>
  <c r="C48" i="4"/>
  <c r="D48" i="4"/>
  <c r="E48" i="4"/>
  <c r="F48" i="4"/>
  <c r="G48" i="4"/>
  <c r="H48" i="4"/>
  <c r="I48" i="4"/>
  <c r="J48" i="4"/>
  <c r="K48" i="4"/>
  <c r="L48" i="4"/>
  <c r="M48" i="4"/>
  <c r="N48" i="4"/>
  <c r="C49" i="4"/>
  <c r="D49" i="4"/>
  <c r="E49" i="4"/>
  <c r="F49" i="4"/>
  <c r="G49" i="4"/>
  <c r="H49" i="4"/>
  <c r="I49" i="4"/>
  <c r="J49" i="4"/>
  <c r="K49" i="4"/>
  <c r="L49" i="4"/>
  <c r="M49" i="4"/>
  <c r="N49" i="4"/>
  <c r="C50" i="4"/>
  <c r="D50" i="4"/>
  <c r="E50" i="4"/>
  <c r="F50" i="4"/>
  <c r="G50" i="4"/>
  <c r="H50" i="4"/>
  <c r="I50" i="4"/>
  <c r="J50" i="4"/>
  <c r="K50" i="4"/>
  <c r="L50" i="4"/>
  <c r="M50" i="4"/>
  <c r="N50" i="4"/>
  <c r="D58" i="4"/>
  <c r="V3" i="5"/>
  <c r="V4" i="5"/>
  <c r="V5" i="5"/>
  <c r="V6" i="5"/>
  <c r="V7" i="5"/>
  <c r="V8" i="5"/>
  <c r="V9" i="5"/>
  <c r="V10" i="5"/>
  <c r="V11" i="5"/>
  <c r="V12" i="5"/>
  <c r="V13" i="5"/>
  <c r="V14" i="5"/>
  <c r="V15" i="5"/>
  <c r="V16" i="5"/>
  <c r="C17" i="5"/>
  <c r="D17" i="5"/>
  <c r="E17" i="5"/>
  <c r="F17" i="5"/>
  <c r="G17" i="5"/>
  <c r="H17" i="5"/>
  <c r="I17" i="5"/>
  <c r="J17" i="5"/>
  <c r="K17" i="5"/>
  <c r="L17" i="5"/>
  <c r="M17" i="5"/>
  <c r="N17" i="5"/>
  <c r="O17" i="5"/>
  <c r="P17" i="5"/>
  <c r="Q17" i="5"/>
  <c r="R17" i="5"/>
  <c r="S17" i="5"/>
  <c r="T17" i="5"/>
  <c r="U17" i="5"/>
  <c r="A19" i="5"/>
  <c r="C19" i="5"/>
  <c r="C36" i="5" s="1"/>
  <c r="D19" i="5"/>
  <c r="D36" i="5" s="1"/>
  <c r="E19" i="5"/>
  <c r="E36" i="5" s="1"/>
  <c r="F19" i="5"/>
  <c r="F36" i="5" s="1"/>
  <c r="G19" i="5"/>
  <c r="G36" i="5" s="1"/>
  <c r="H19" i="5"/>
  <c r="H36" i="5" s="1"/>
  <c r="I19" i="5"/>
  <c r="I36" i="5" s="1"/>
  <c r="J19" i="5"/>
  <c r="J36" i="5" s="1"/>
  <c r="K19" i="5"/>
  <c r="K36" i="5" s="1"/>
  <c r="L19" i="5"/>
  <c r="L36" i="5" s="1"/>
  <c r="M19" i="5"/>
  <c r="M36" i="5" s="1"/>
  <c r="N19" i="5"/>
  <c r="N36" i="5" s="1"/>
  <c r="A20" i="5"/>
  <c r="A37" i="5" s="1"/>
  <c r="V20" i="5"/>
  <c r="A21" i="5"/>
  <c r="A38" i="5" s="1"/>
  <c r="V21" i="5"/>
  <c r="A22" i="5"/>
  <c r="V22" i="5"/>
  <c r="A23" i="5"/>
  <c r="A40" i="5" s="1"/>
  <c r="V23" i="5"/>
  <c r="A24" i="5"/>
  <c r="A41" i="5" s="1"/>
  <c r="V24" i="5"/>
  <c r="A25" i="5"/>
  <c r="A42" i="5" s="1"/>
  <c r="V25" i="5"/>
  <c r="A26" i="5"/>
  <c r="A43" i="5" s="1"/>
  <c r="V26" i="5"/>
  <c r="A27" i="5"/>
  <c r="A44" i="5" s="1"/>
  <c r="V27" i="5"/>
  <c r="A28" i="5"/>
  <c r="A45" i="5" s="1"/>
  <c r="V28" i="5"/>
  <c r="A29" i="5"/>
  <c r="A46" i="5" s="1"/>
  <c r="V29" i="5"/>
  <c r="A30" i="5"/>
  <c r="V30" i="5"/>
  <c r="A31" i="5"/>
  <c r="A48" i="5" s="1"/>
  <c r="V31" i="5"/>
  <c r="A32" i="5"/>
  <c r="V32" i="5"/>
  <c r="A33" i="5"/>
  <c r="V33" i="5"/>
  <c r="C34" i="5"/>
  <c r="D34" i="5"/>
  <c r="E34" i="5"/>
  <c r="F34" i="5"/>
  <c r="G34" i="5"/>
  <c r="H34" i="5"/>
  <c r="I34" i="5"/>
  <c r="J34" i="5"/>
  <c r="K34" i="5"/>
  <c r="L34" i="5"/>
  <c r="M34" i="5"/>
  <c r="N34" i="5"/>
  <c r="O34" i="5"/>
  <c r="P34" i="5"/>
  <c r="Q34" i="5"/>
  <c r="R34" i="5"/>
  <c r="S34" i="5"/>
  <c r="T34" i="5"/>
  <c r="U34" i="5"/>
  <c r="A36" i="5"/>
  <c r="O36" i="5"/>
  <c r="P36" i="5"/>
  <c r="Q36" i="5"/>
  <c r="R36" i="5"/>
  <c r="S36" i="5"/>
  <c r="T36" i="5"/>
  <c r="U36" i="5"/>
  <c r="C37" i="5"/>
  <c r="D37" i="5"/>
  <c r="E37" i="5"/>
  <c r="F37" i="5"/>
  <c r="G37" i="5"/>
  <c r="H37" i="5"/>
  <c r="I37" i="5"/>
  <c r="J37" i="5"/>
  <c r="K37" i="5"/>
  <c r="L37" i="5"/>
  <c r="M37" i="5"/>
  <c r="N37" i="5"/>
  <c r="O37" i="5"/>
  <c r="P37" i="5"/>
  <c r="Q37" i="5"/>
  <c r="R37" i="5"/>
  <c r="S37" i="5"/>
  <c r="T37" i="5"/>
  <c r="U37" i="5"/>
  <c r="X37" i="5"/>
  <c r="C38" i="5"/>
  <c r="D38" i="5"/>
  <c r="E38" i="5"/>
  <c r="F38" i="5"/>
  <c r="G38" i="5"/>
  <c r="H38" i="5"/>
  <c r="I38" i="5"/>
  <c r="J38" i="5"/>
  <c r="K38" i="5"/>
  <c r="L38" i="5"/>
  <c r="M38" i="5"/>
  <c r="N38" i="5"/>
  <c r="O38" i="5"/>
  <c r="P38" i="5"/>
  <c r="Q38" i="5"/>
  <c r="R38" i="5"/>
  <c r="S38" i="5"/>
  <c r="T38" i="5"/>
  <c r="U38" i="5"/>
  <c r="X38" i="5"/>
  <c r="A39" i="5"/>
  <c r="C39" i="5"/>
  <c r="D39" i="5"/>
  <c r="E39" i="5"/>
  <c r="F39" i="5"/>
  <c r="G39" i="5"/>
  <c r="H39" i="5"/>
  <c r="I39" i="5"/>
  <c r="J39" i="5"/>
  <c r="K39" i="5"/>
  <c r="L39" i="5"/>
  <c r="M39" i="5"/>
  <c r="N39" i="5"/>
  <c r="O39" i="5"/>
  <c r="P39" i="5"/>
  <c r="Q39" i="5"/>
  <c r="R39" i="5"/>
  <c r="S39" i="5"/>
  <c r="T39" i="5"/>
  <c r="U39" i="5"/>
  <c r="X39" i="5"/>
  <c r="C40" i="5"/>
  <c r="D40" i="5"/>
  <c r="E40" i="5"/>
  <c r="F40" i="5"/>
  <c r="G40" i="5"/>
  <c r="H40" i="5"/>
  <c r="I40" i="5"/>
  <c r="J40" i="5"/>
  <c r="K40" i="5"/>
  <c r="L40" i="5"/>
  <c r="M40" i="5"/>
  <c r="N40" i="5"/>
  <c r="O40" i="5"/>
  <c r="P40" i="5"/>
  <c r="Q40" i="5"/>
  <c r="R40" i="5"/>
  <c r="S40" i="5"/>
  <c r="T40" i="5"/>
  <c r="U40" i="5"/>
  <c r="X40" i="5"/>
  <c r="C41" i="5"/>
  <c r="D41" i="5"/>
  <c r="E41" i="5"/>
  <c r="F41" i="5"/>
  <c r="G41" i="5"/>
  <c r="H41" i="5"/>
  <c r="I41" i="5"/>
  <c r="J41" i="5"/>
  <c r="K41" i="5"/>
  <c r="L41" i="5"/>
  <c r="M41" i="5"/>
  <c r="N41" i="5"/>
  <c r="O41" i="5"/>
  <c r="P41" i="5"/>
  <c r="Q41" i="5"/>
  <c r="R41" i="5"/>
  <c r="S41" i="5"/>
  <c r="T41" i="5"/>
  <c r="U41" i="5"/>
  <c r="X41" i="5"/>
  <c r="C42" i="5"/>
  <c r="D42" i="5"/>
  <c r="E42" i="5"/>
  <c r="F42" i="5"/>
  <c r="G42" i="5"/>
  <c r="H42" i="5"/>
  <c r="I42" i="5"/>
  <c r="J42" i="5"/>
  <c r="K42" i="5"/>
  <c r="L42" i="5"/>
  <c r="M42" i="5"/>
  <c r="N42" i="5"/>
  <c r="O42" i="5"/>
  <c r="P42" i="5"/>
  <c r="Q42" i="5"/>
  <c r="R42" i="5"/>
  <c r="S42" i="5"/>
  <c r="T42" i="5"/>
  <c r="U42" i="5"/>
  <c r="X42" i="5"/>
  <c r="C43" i="5"/>
  <c r="D43" i="5"/>
  <c r="E43" i="5"/>
  <c r="F43" i="5"/>
  <c r="G43" i="5"/>
  <c r="H43" i="5"/>
  <c r="I43" i="5"/>
  <c r="J43" i="5"/>
  <c r="K43" i="5"/>
  <c r="L43" i="5"/>
  <c r="M43" i="5"/>
  <c r="N43" i="5"/>
  <c r="O43" i="5"/>
  <c r="P43" i="5"/>
  <c r="Q43" i="5"/>
  <c r="R43" i="5"/>
  <c r="S43" i="5"/>
  <c r="T43" i="5"/>
  <c r="U43" i="5"/>
  <c r="X43" i="5"/>
  <c r="C44" i="5"/>
  <c r="D44" i="5"/>
  <c r="E44" i="5"/>
  <c r="F44" i="5"/>
  <c r="G44" i="5"/>
  <c r="H44" i="5"/>
  <c r="I44" i="5"/>
  <c r="J44" i="5"/>
  <c r="K44" i="5"/>
  <c r="L44" i="5"/>
  <c r="M44" i="5"/>
  <c r="N44" i="5"/>
  <c r="O44" i="5"/>
  <c r="P44" i="5"/>
  <c r="Q44" i="5"/>
  <c r="R44" i="5"/>
  <c r="S44" i="5"/>
  <c r="T44" i="5"/>
  <c r="U44" i="5"/>
  <c r="X44" i="5"/>
  <c r="C45" i="5"/>
  <c r="D45" i="5"/>
  <c r="E45" i="5"/>
  <c r="F45" i="5"/>
  <c r="G45" i="5"/>
  <c r="H45" i="5"/>
  <c r="I45" i="5"/>
  <c r="J45" i="5"/>
  <c r="K45" i="5"/>
  <c r="L45" i="5"/>
  <c r="M45" i="5"/>
  <c r="N45" i="5"/>
  <c r="O45" i="5"/>
  <c r="P45" i="5"/>
  <c r="Q45" i="5"/>
  <c r="R45" i="5"/>
  <c r="S45" i="5"/>
  <c r="T45" i="5"/>
  <c r="U45" i="5"/>
  <c r="X45" i="5"/>
  <c r="C46" i="5"/>
  <c r="D46" i="5"/>
  <c r="E46" i="5"/>
  <c r="F46" i="5"/>
  <c r="G46" i="5"/>
  <c r="H46" i="5"/>
  <c r="I46" i="5"/>
  <c r="J46" i="5"/>
  <c r="K46" i="5"/>
  <c r="L46" i="5"/>
  <c r="M46" i="5"/>
  <c r="N46" i="5"/>
  <c r="O46" i="5"/>
  <c r="P46" i="5"/>
  <c r="Q46" i="5"/>
  <c r="R46" i="5"/>
  <c r="S46" i="5"/>
  <c r="T46" i="5"/>
  <c r="U46" i="5"/>
  <c r="X46" i="5"/>
  <c r="A47" i="5"/>
  <c r="C47" i="5"/>
  <c r="D47" i="5"/>
  <c r="E47" i="5"/>
  <c r="F47" i="5"/>
  <c r="G47" i="5"/>
  <c r="H47" i="5"/>
  <c r="I47" i="5"/>
  <c r="J47" i="5"/>
  <c r="K47" i="5"/>
  <c r="L47" i="5"/>
  <c r="M47" i="5"/>
  <c r="N47" i="5"/>
  <c r="O47" i="5"/>
  <c r="P47" i="5"/>
  <c r="Q47" i="5"/>
  <c r="R47" i="5"/>
  <c r="S47" i="5"/>
  <c r="T47" i="5"/>
  <c r="U47" i="5"/>
  <c r="X47" i="5"/>
  <c r="C48" i="5"/>
  <c r="D48" i="5"/>
  <c r="E48" i="5"/>
  <c r="F48" i="5"/>
  <c r="G48" i="5"/>
  <c r="H48" i="5"/>
  <c r="I48" i="5"/>
  <c r="J48" i="5"/>
  <c r="K48" i="5"/>
  <c r="L48" i="5"/>
  <c r="M48" i="5"/>
  <c r="N48" i="5"/>
  <c r="O48" i="5"/>
  <c r="P48" i="5"/>
  <c r="Q48" i="5"/>
  <c r="R48" i="5"/>
  <c r="S48" i="5"/>
  <c r="T48" i="5"/>
  <c r="U48" i="5"/>
  <c r="X48" i="5"/>
  <c r="A49" i="5"/>
  <c r="C49" i="5"/>
  <c r="D49" i="5"/>
  <c r="E49" i="5"/>
  <c r="F49" i="5"/>
  <c r="G49" i="5"/>
  <c r="H49" i="5"/>
  <c r="I49" i="5"/>
  <c r="J49" i="5"/>
  <c r="K49" i="5"/>
  <c r="L49" i="5"/>
  <c r="M49" i="5"/>
  <c r="N49" i="5"/>
  <c r="O49" i="5"/>
  <c r="P49" i="5"/>
  <c r="Q49" i="5"/>
  <c r="R49" i="5"/>
  <c r="S49" i="5"/>
  <c r="T49" i="5"/>
  <c r="U49" i="5"/>
  <c r="X49" i="5"/>
  <c r="C50" i="5"/>
  <c r="D50" i="5"/>
  <c r="E50" i="5"/>
  <c r="F50" i="5"/>
  <c r="G50" i="5"/>
  <c r="H50" i="5"/>
  <c r="I50" i="5"/>
  <c r="J50" i="5"/>
  <c r="K50" i="5"/>
  <c r="L50" i="5"/>
  <c r="M50" i="5"/>
  <c r="N50" i="5"/>
  <c r="O50" i="5"/>
  <c r="P50" i="5"/>
  <c r="Q50" i="5"/>
  <c r="R50" i="5"/>
  <c r="S50" i="5"/>
  <c r="T50" i="5"/>
  <c r="U50" i="5"/>
  <c r="X50" i="5"/>
  <c r="D58" i="5"/>
  <c r="F59" i="5"/>
  <c r="F60" i="5"/>
  <c r="F61" i="5"/>
  <c r="X3" i="6"/>
  <c r="X4" i="6"/>
  <c r="X5" i="6"/>
  <c r="X6" i="6"/>
  <c r="X7" i="6"/>
  <c r="X8" i="6"/>
  <c r="X9" i="6"/>
  <c r="X10" i="6"/>
  <c r="X11" i="6"/>
  <c r="X12" i="6"/>
  <c r="X13" i="6"/>
  <c r="X14" i="6"/>
  <c r="X15" i="6"/>
  <c r="X16" i="6"/>
  <c r="C17" i="6"/>
  <c r="D17" i="6"/>
  <c r="E17" i="6"/>
  <c r="F17" i="6"/>
  <c r="G17" i="6"/>
  <c r="H17" i="6"/>
  <c r="I17" i="6"/>
  <c r="J17" i="6"/>
  <c r="K17" i="6"/>
  <c r="L17" i="6"/>
  <c r="M17" i="6"/>
  <c r="N17" i="6"/>
  <c r="O17" i="6"/>
  <c r="P17" i="6"/>
  <c r="Q17" i="6"/>
  <c r="R17" i="6"/>
  <c r="S17" i="6"/>
  <c r="T17" i="6"/>
  <c r="U17" i="6"/>
  <c r="V17" i="6"/>
  <c r="W17" i="6"/>
  <c r="A19" i="6"/>
  <c r="A36" i="6" s="1"/>
  <c r="C19" i="6"/>
  <c r="C36" i="6" s="1"/>
  <c r="D19" i="6"/>
  <c r="D36" i="6" s="1"/>
  <c r="E19" i="6"/>
  <c r="E36" i="6" s="1"/>
  <c r="F19" i="6"/>
  <c r="F36" i="6" s="1"/>
  <c r="G19" i="6"/>
  <c r="G36" i="6" s="1"/>
  <c r="H19" i="6"/>
  <c r="H36" i="6" s="1"/>
  <c r="I19" i="6"/>
  <c r="I36" i="6" s="1"/>
  <c r="J19" i="6"/>
  <c r="J36" i="6" s="1"/>
  <c r="K19" i="6"/>
  <c r="K36" i="6" s="1"/>
  <c r="L19" i="6"/>
  <c r="L36" i="6" s="1"/>
  <c r="M19" i="6"/>
  <c r="M36" i="6" s="1"/>
  <c r="N19" i="6"/>
  <c r="N36" i="6" s="1"/>
  <c r="A20" i="6"/>
  <c r="A37" i="6" s="1"/>
  <c r="X20" i="6"/>
  <c r="A21" i="6"/>
  <c r="A38" i="6" s="1"/>
  <c r="X21" i="6"/>
  <c r="A22" i="6"/>
  <c r="A39" i="6" s="1"/>
  <c r="X22" i="6"/>
  <c r="A23" i="6"/>
  <c r="A40" i="6" s="1"/>
  <c r="X23" i="6"/>
  <c r="A24" i="6"/>
  <c r="A41" i="6" s="1"/>
  <c r="X24" i="6"/>
  <c r="A25" i="6"/>
  <c r="A42" i="6" s="1"/>
  <c r="W25" i="6"/>
  <c r="W34" i="6" s="1"/>
  <c r="A26" i="6"/>
  <c r="X26" i="6"/>
  <c r="A27" i="6"/>
  <c r="A44" i="6" s="1"/>
  <c r="X27" i="6"/>
  <c r="A28" i="6"/>
  <c r="A45" i="6" s="1"/>
  <c r="X28" i="6"/>
  <c r="A29" i="6"/>
  <c r="A46" i="6" s="1"/>
  <c r="S29" i="6"/>
  <c r="A30" i="6"/>
  <c r="A47" i="6" s="1"/>
  <c r="P30" i="6"/>
  <c r="P47" i="6" s="1"/>
  <c r="S30" i="6"/>
  <c r="A31" i="6"/>
  <c r="A48" i="6" s="1"/>
  <c r="X31" i="6"/>
  <c r="A32" i="6"/>
  <c r="A49" i="6" s="1"/>
  <c r="X32" i="6"/>
  <c r="A33" i="6"/>
  <c r="X33" i="6"/>
  <c r="C34" i="6"/>
  <c r="D34" i="6"/>
  <c r="E34" i="6"/>
  <c r="F34" i="6"/>
  <c r="G34" i="6"/>
  <c r="H34" i="6"/>
  <c r="I34" i="6"/>
  <c r="J34" i="6"/>
  <c r="K34" i="6"/>
  <c r="L34" i="6"/>
  <c r="M34" i="6"/>
  <c r="N34" i="6"/>
  <c r="O34" i="6"/>
  <c r="P34" i="6"/>
  <c r="Q34" i="6"/>
  <c r="R34" i="6"/>
  <c r="T34" i="6"/>
  <c r="U34" i="6"/>
  <c r="V34" i="6"/>
  <c r="O36" i="6"/>
  <c r="P36" i="6"/>
  <c r="Q36" i="6"/>
  <c r="R36" i="6"/>
  <c r="S36" i="6"/>
  <c r="T36" i="6"/>
  <c r="U36" i="6"/>
  <c r="C37" i="6"/>
  <c r="D37" i="6"/>
  <c r="E37" i="6"/>
  <c r="F37" i="6"/>
  <c r="G37" i="6"/>
  <c r="H37" i="6"/>
  <c r="I37" i="6"/>
  <c r="J37" i="6"/>
  <c r="K37" i="6"/>
  <c r="L37" i="6"/>
  <c r="M37" i="6"/>
  <c r="N37" i="6"/>
  <c r="O37" i="6"/>
  <c r="P37" i="6"/>
  <c r="Q37" i="6"/>
  <c r="R37" i="6"/>
  <c r="S37" i="6"/>
  <c r="T37" i="6"/>
  <c r="U37" i="6"/>
  <c r="V37" i="6"/>
  <c r="W37" i="6"/>
  <c r="Z37" i="6"/>
  <c r="C38" i="6"/>
  <c r="D38" i="6"/>
  <c r="E38" i="6"/>
  <c r="F38" i="6"/>
  <c r="G38" i="6"/>
  <c r="H38" i="6"/>
  <c r="I38" i="6"/>
  <c r="J38" i="6"/>
  <c r="K38" i="6"/>
  <c r="L38" i="6"/>
  <c r="M38" i="6"/>
  <c r="N38" i="6"/>
  <c r="O38" i="6"/>
  <c r="P38" i="6"/>
  <c r="Q38" i="6"/>
  <c r="R38" i="6"/>
  <c r="S38" i="6"/>
  <c r="T38" i="6"/>
  <c r="U38" i="6"/>
  <c r="V38" i="6"/>
  <c r="W38" i="6"/>
  <c r="Z38" i="6"/>
  <c r="C39" i="6"/>
  <c r="D39" i="6"/>
  <c r="E39" i="6"/>
  <c r="F39" i="6"/>
  <c r="G39" i="6"/>
  <c r="H39" i="6"/>
  <c r="I39" i="6"/>
  <c r="J39" i="6"/>
  <c r="K39" i="6"/>
  <c r="L39" i="6"/>
  <c r="M39" i="6"/>
  <c r="N39" i="6"/>
  <c r="O39" i="6"/>
  <c r="P39" i="6"/>
  <c r="Q39" i="6"/>
  <c r="R39" i="6"/>
  <c r="S39" i="6"/>
  <c r="T39" i="6"/>
  <c r="U39" i="6"/>
  <c r="V39" i="6"/>
  <c r="W39" i="6"/>
  <c r="Z39" i="6"/>
  <c r="C40" i="6"/>
  <c r="D40" i="6"/>
  <c r="E40" i="6"/>
  <c r="F40" i="6"/>
  <c r="G40" i="6"/>
  <c r="H40" i="6"/>
  <c r="I40" i="6"/>
  <c r="J40" i="6"/>
  <c r="K40" i="6"/>
  <c r="L40" i="6"/>
  <c r="M40" i="6"/>
  <c r="N40" i="6"/>
  <c r="O40" i="6"/>
  <c r="P40" i="6"/>
  <c r="Q40" i="6"/>
  <c r="R40" i="6"/>
  <c r="S40" i="6"/>
  <c r="T40" i="6"/>
  <c r="U40" i="6"/>
  <c r="V40" i="6"/>
  <c r="W40" i="6"/>
  <c r="Z40" i="6"/>
  <c r="C41" i="6"/>
  <c r="D41" i="6"/>
  <c r="E41" i="6"/>
  <c r="F41" i="6"/>
  <c r="G41" i="6"/>
  <c r="H41" i="6"/>
  <c r="I41" i="6"/>
  <c r="J41" i="6"/>
  <c r="K41" i="6"/>
  <c r="L41" i="6"/>
  <c r="M41" i="6"/>
  <c r="N41" i="6"/>
  <c r="O41" i="6"/>
  <c r="P41" i="6"/>
  <c r="Q41" i="6"/>
  <c r="R41" i="6"/>
  <c r="S41" i="6"/>
  <c r="T41" i="6"/>
  <c r="U41" i="6"/>
  <c r="V41" i="6"/>
  <c r="W41" i="6"/>
  <c r="Z41" i="6"/>
  <c r="C42" i="6"/>
  <c r="D42" i="6"/>
  <c r="E42" i="6"/>
  <c r="F42" i="6"/>
  <c r="G42" i="6"/>
  <c r="H42" i="6"/>
  <c r="I42" i="6"/>
  <c r="J42" i="6"/>
  <c r="K42" i="6"/>
  <c r="L42" i="6"/>
  <c r="M42" i="6"/>
  <c r="N42" i="6"/>
  <c r="O42" i="6"/>
  <c r="P42" i="6"/>
  <c r="Q42" i="6"/>
  <c r="R42" i="6"/>
  <c r="S42" i="6"/>
  <c r="T42" i="6"/>
  <c r="U42" i="6"/>
  <c r="V42" i="6"/>
  <c r="Z42" i="6"/>
  <c r="A43" i="6"/>
  <c r="C43" i="6"/>
  <c r="D43" i="6"/>
  <c r="E43" i="6"/>
  <c r="F43" i="6"/>
  <c r="G43" i="6"/>
  <c r="H43" i="6"/>
  <c r="I43" i="6"/>
  <c r="J43" i="6"/>
  <c r="K43" i="6"/>
  <c r="L43" i="6"/>
  <c r="M43" i="6"/>
  <c r="N43" i="6"/>
  <c r="O43" i="6"/>
  <c r="P43" i="6"/>
  <c r="Q43" i="6"/>
  <c r="R43" i="6"/>
  <c r="S43" i="6"/>
  <c r="T43" i="6"/>
  <c r="U43" i="6"/>
  <c r="V43" i="6"/>
  <c r="W43" i="6"/>
  <c r="Z43" i="6"/>
  <c r="C44" i="6"/>
  <c r="D44" i="6"/>
  <c r="E44" i="6"/>
  <c r="F44" i="6"/>
  <c r="G44" i="6"/>
  <c r="H44" i="6"/>
  <c r="I44" i="6"/>
  <c r="J44" i="6"/>
  <c r="K44" i="6"/>
  <c r="L44" i="6"/>
  <c r="M44" i="6"/>
  <c r="N44" i="6"/>
  <c r="O44" i="6"/>
  <c r="P44" i="6"/>
  <c r="Q44" i="6"/>
  <c r="R44" i="6"/>
  <c r="S44" i="6"/>
  <c r="T44" i="6"/>
  <c r="U44" i="6"/>
  <c r="V44" i="6"/>
  <c r="W44" i="6"/>
  <c r="Z44" i="6"/>
  <c r="C45" i="6"/>
  <c r="D45" i="6"/>
  <c r="E45" i="6"/>
  <c r="F45" i="6"/>
  <c r="G45" i="6"/>
  <c r="H45" i="6"/>
  <c r="I45" i="6"/>
  <c r="J45" i="6"/>
  <c r="K45" i="6"/>
  <c r="L45" i="6"/>
  <c r="M45" i="6"/>
  <c r="N45" i="6"/>
  <c r="O45" i="6"/>
  <c r="P45" i="6"/>
  <c r="Q45" i="6"/>
  <c r="R45" i="6"/>
  <c r="S45" i="6"/>
  <c r="T45" i="6"/>
  <c r="U45" i="6"/>
  <c r="V45" i="6"/>
  <c r="W45" i="6"/>
  <c r="Z45" i="6"/>
  <c r="C46" i="6"/>
  <c r="D46" i="6"/>
  <c r="E46" i="6"/>
  <c r="F46" i="6"/>
  <c r="G46" i="6"/>
  <c r="H46" i="6"/>
  <c r="I46" i="6"/>
  <c r="J46" i="6"/>
  <c r="K46" i="6"/>
  <c r="L46" i="6"/>
  <c r="M46" i="6"/>
  <c r="N46" i="6"/>
  <c r="O46" i="6"/>
  <c r="P46" i="6"/>
  <c r="Q46" i="6"/>
  <c r="R46" i="6"/>
  <c r="T46" i="6"/>
  <c r="U46" i="6"/>
  <c r="V46" i="6"/>
  <c r="W46" i="6"/>
  <c r="Z46" i="6"/>
  <c r="C47" i="6"/>
  <c r="D47" i="6"/>
  <c r="E47" i="6"/>
  <c r="F47" i="6"/>
  <c r="G47" i="6"/>
  <c r="H47" i="6"/>
  <c r="I47" i="6"/>
  <c r="J47" i="6"/>
  <c r="K47" i="6"/>
  <c r="L47" i="6"/>
  <c r="M47" i="6"/>
  <c r="N47" i="6"/>
  <c r="O47" i="6"/>
  <c r="Q47" i="6"/>
  <c r="R47" i="6"/>
  <c r="T47" i="6"/>
  <c r="U47" i="6"/>
  <c r="V47" i="6"/>
  <c r="W47" i="6"/>
  <c r="Z47" i="6"/>
  <c r="C48" i="6"/>
  <c r="D48" i="6"/>
  <c r="E48" i="6"/>
  <c r="F48" i="6"/>
  <c r="G48" i="6"/>
  <c r="H48" i="6"/>
  <c r="I48" i="6"/>
  <c r="J48" i="6"/>
  <c r="K48" i="6"/>
  <c r="L48" i="6"/>
  <c r="M48" i="6"/>
  <c r="N48" i="6"/>
  <c r="O48" i="6"/>
  <c r="P48" i="6"/>
  <c r="Q48" i="6"/>
  <c r="R48" i="6"/>
  <c r="S48" i="6"/>
  <c r="T48" i="6"/>
  <c r="U48" i="6"/>
  <c r="V48" i="6"/>
  <c r="W48" i="6"/>
  <c r="Z48" i="6"/>
  <c r="C49" i="6"/>
  <c r="D49" i="6"/>
  <c r="E49" i="6"/>
  <c r="F49" i="6"/>
  <c r="G49" i="6"/>
  <c r="H49" i="6"/>
  <c r="I49" i="6"/>
  <c r="J49" i="6"/>
  <c r="K49" i="6"/>
  <c r="L49" i="6"/>
  <c r="M49" i="6"/>
  <c r="N49" i="6"/>
  <c r="O49" i="6"/>
  <c r="P49" i="6"/>
  <c r="Q49" i="6"/>
  <c r="R49" i="6"/>
  <c r="S49" i="6"/>
  <c r="T49" i="6"/>
  <c r="U49" i="6"/>
  <c r="V49" i="6"/>
  <c r="W49" i="6"/>
  <c r="Z49" i="6"/>
  <c r="C50" i="6"/>
  <c r="D50" i="6"/>
  <c r="E50" i="6"/>
  <c r="F50" i="6"/>
  <c r="G50" i="6"/>
  <c r="H50" i="6"/>
  <c r="I50" i="6"/>
  <c r="J50" i="6"/>
  <c r="K50" i="6"/>
  <c r="L50" i="6"/>
  <c r="M50" i="6"/>
  <c r="N50" i="6"/>
  <c r="O50" i="6"/>
  <c r="P50" i="6"/>
  <c r="Q50" i="6"/>
  <c r="R50" i="6"/>
  <c r="S50" i="6"/>
  <c r="T50" i="6"/>
  <c r="U50" i="6"/>
  <c r="V50" i="6"/>
  <c r="W50" i="6"/>
  <c r="Z50" i="6"/>
  <c r="D58" i="6"/>
  <c r="F58" i="6"/>
  <c r="F59" i="6"/>
  <c r="F60" i="6"/>
  <c r="X3" i="7"/>
  <c r="X4" i="7"/>
  <c r="X5" i="7"/>
  <c r="X6" i="7"/>
  <c r="X7" i="7"/>
  <c r="X8" i="7"/>
  <c r="X9" i="7"/>
  <c r="X10" i="7"/>
  <c r="X11" i="7"/>
  <c r="X12" i="7"/>
  <c r="X13" i="7"/>
  <c r="X14" i="7"/>
  <c r="X15" i="7"/>
  <c r="X16" i="7"/>
  <c r="C17" i="7"/>
  <c r="D17" i="7"/>
  <c r="E17" i="7"/>
  <c r="F17" i="7"/>
  <c r="G17" i="7"/>
  <c r="H17" i="7"/>
  <c r="I17" i="7"/>
  <c r="J17" i="7"/>
  <c r="K17" i="7"/>
  <c r="L17" i="7"/>
  <c r="M17" i="7"/>
  <c r="N17" i="7"/>
  <c r="O17" i="7"/>
  <c r="P17" i="7"/>
  <c r="Q17" i="7"/>
  <c r="R17" i="7"/>
  <c r="S17" i="7"/>
  <c r="T17" i="7"/>
  <c r="U17" i="7"/>
  <c r="V17" i="7"/>
  <c r="W17" i="7"/>
  <c r="A19" i="7"/>
  <c r="A37" i="7" s="1"/>
  <c r="C19" i="7"/>
  <c r="C37" i="7" s="1"/>
  <c r="D19" i="7"/>
  <c r="D37" i="7" s="1"/>
  <c r="E19" i="7"/>
  <c r="E37" i="7" s="1"/>
  <c r="F19" i="7"/>
  <c r="F37" i="7" s="1"/>
  <c r="G19" i="7"/>
  <c r="H19" i="7"/>
  <c r="H37" i="7" s="1"/>
  <c r="I19" i="7"/>
  <c r="I37" i="7" s="1"/>
  <c r="J19" i="7"/>
  <c r="J37" i="7" s="1"/>
  <c r="K19" i="7"/>
  <c r="K37" i="7" s="1"/>
  <c r="L19" i="7"/>
  <c r="L37" i="7" s="1"/>
  <c r="M19" i="7"/>
  <c r="M37" i="7" s="1"/>
  <c r="N19" i="7"/>
  <c r="N37" i="7" s="1"/>
  <c r="A20" i="7"/>
  <c r="A38" i="7" s="1"/>
  <c r="X20" i="7"/>
  <c r="A21" i="7"/>
  <c r="A39" i="7" s="1"/>
  <c r="X21" i="7"/>
  <c r="A22" i="7"/>
  <c r="X22" i="7"/>
  <c r="A23" i="7"/>
  <c r="A41" i="7" s="1"/>
  <c r="X23" i="7"/>
  <c r="A24" i="7"/>
  <c r="A42" i="7" s="1"/>
  <c r="X24" i="7"/>
  <c r="A25" i="7"/>
  <c r="A43" i="7" s="1"/>
  <c r="X25" i="7"/>
  <c r="A26" i="7"/>
  <c r="A44" i="7" s="1"/>
  <c r="X26" i="7"/>
  <c r="A27" i="7"/>
  <c r="A45" i="7" s="1"/>
  <c r="X27" i="7"/>
  <c r="A28" i="7"/>
  <c r="A46" i="7" s="1"/>
  <c r="X28" i="7"/>
  <c r="A29" i="7"/>
  <c r="A47" i="7" s="1"/>
  <c r="X29" i="7"/>
  <c r="A30" i="7"/>
  <c r="A48" i="7" s="1"/>
  <c r="X30" i="7"/>
  <c r="A31" i="7"/>
  <c r="A49" i="7" s="1"/>
  <c r="X31" i="7"/>
  <c r="A32" i="7"/>
  <c r="A50" i="7" s="1"/>
  <c r="X32" i="7"/>
  <c r="A33" i="7"/>
  <c r="X33" i="7"/>
  <c r="C34" i="7"/>
  <c r="D34" i="7"/>
  <c r="E34" i="7"/>
  <c r="F34" i="7"/>
  <c r="G34" i="7"/>
  <c r="H34" i="7"/>
  <c r="I34" i="7"/>
  <c r="J34" i="7"/>
  <c r="K34" i="7"/>
  <c r="L34" i="7"/>
  <c r="M34" i="7"/>
  <c r="N34" i="7"/>
  <c r="O34" i="7"/>
  <c r="P34" i="7"/>
  <c r="Q34" i="7"/>
  <c r="R34" i="7"/>
  <c r="S34" i="7"/>
  <c r="T34" i="7"/>
  <c r="U34" i="7"/>
  <c r="V34" i="7"/>
  <c r="W34" i="7"/>
  <c r="G37" i="7"/>
  <c r="O37" i="7"/>
  <c r="P37" i="7"/>
  <c r="Q37" i="7"/>
  <c r="R37" i="7"/>
  <c r="S37" i="7"/>
  <c r="T37" i="7"/>
  <c r="U37" i="7"/>
  <c r="C38" i="7"/>
  <c r="D38" i="7"/>
  <c r="E38" i="7"/>
  <c r="F38" i="7"/>
  <c r="G38" i="7"/>
  <c r="H38" i="7"/>
  <c r="I38" i="7"/>
  <c r="J38" i="7"/>
  <c r="K38" i="7"/>
  <c r="L38" i="7"/>
  <c r="M38" i="7"/>
  <c r="N38" i="7"/>
  <c r="O38" i="7"/>
  <c r="P38" i="7"/>
  <c r="Q38" i="7"/>
  <c r="R38" i="7"/>
  <c r="S38" i="7"/>
  <c r="T38" i="7"/>
  <c r="U38" i="7"/>
  <c r="V38" i="7"/>
  <c r="W38" i="7"/>
  <c r="Z38" i="7"/>
  <c r="C39" i="7"/>
  <c r="D39" i="7"/>
  <c r="E39" i="7"/>
  <c r="F39" i="7"/>
  <c r="G39" i="7"/>
  <c r="H39" i="7"/>
  <c r="I39" i="7"/>
  <c r="J39" i="7"/>
  <c r="K39" i="7"/>
  <c r="L39" i="7"/>
  <c r="M39" i="7"/>
  <c r="N39" i="7"/>
  <c r="O39" i="7"/>
  <c r="P39" i="7"/>
  <c r="Q39" i="7"/>
  <c r="R39" i="7"/>
  <c r="S39" i="7"/>
  <c r="T39" i="7"/>
  <c r="U39" i="7"/>
  <c r="V39" i="7"/>
  <c r="W39" i="7"/>
  <c r="A40" i="7"/>
  <c r="C40" i="7"/>
  <c r="D40" i="7"/>
  <c r="E40" i="7"/>
  <c r="F40" i="7"/>
  <c r="G40" i="7"/>
  <c r="H40" i="7"/>
  <c r="I40" i="7"/>
  <c r="J40" i="7"/>
  <c r="K40" i="7"/>
  <c r="L40" i="7"/>
  <c r="M40" i="7"/>
  <c r="N40" i="7"/>
  <c r="O40" i="7"/>
  <c r="P40" i="7"/>
  <c r="Q40" i="7"/>
  <c r="R40" i="7"/>
  <c r="S40" i="7"/>
  <c r="T40" i="7"/>
  <c r="U40" i="7"/>
  <c r="V40" i="7"/>
  <c r="W40" i="7"/>
  <c r="C41" i="7"/>
  <c r="D41" i="7"/>
  <c r="E41" i="7"/>
  <c r="F41" i="7"/>
  <c r="G41" i="7"/>
  <c r="H41" i="7"/>
  <c r="I41" i="7"/>
  <c r="J41" i="7"/>
  <c r="K41" i="7"/>
  <c r="L41" i="7"/>
  <c r="M41" i="7"/>
  <c r="N41" i="7"/>
  <c r="O41" i="7"/>
  <c r="P41" i="7"/>
  <c r="Q41" i="7"/>
  <c r="R41" i="7"/>
  <c r="S41" i="7"/>
  <c r="T41" i="7"/>
  <c r="U41" i="7"/>
  <c r="V41" i="7"/>
  <c r="W41" i="7"/>
  <c r="C42" i="7"/>
  <c r="D42" i="7"/>
  <c r="E42" i="7"/>
  <c r="F42" i="7"/>
  <c r="G42" i="7"/>
  <c r="H42" i="7"/>
  <c r="I42" i="7"/>
  <c r="J42" i="7"/>
  <c r="K42" i="7"/>
  <c r="L42" i="7"/>
  <c r="M42" i="7"/>
  <c r="N42" i="7"/>
  <c r="O42" i="7"/>
  <c r="P42" i="7"/>
  <c r="Q42" i="7"/>
  <c r="R42" i="7"/>
  <c r="S42" i="7"/>
  <c r="T42" i="7"/>
  <c r="U42" i="7"/>
  <c r="V42" i="7"/>
  <c r="W42" i="7"/>
  <c r="C43" i="7"/>
  <c r="D43" i="7"/>
  <c r="E43" i="7"/>
  <c r="F43" i="7"/>
  <c r="G43" i="7"/>
  <c r="H43" i="7"/>
  <c r="I43" i="7"/>
  <c r="J43" i="7"/>
  <c r="K43" i="7"/>
  <c r="L43" i="7"/>
  <c r="M43" i="7"/>
  <c r="N43" i="7"/>
  <c r="O43" i="7"/>
  <c r="P43" i="7"/>
  <c r="Q43" i="7"/>
  <c r="R43" i="7"/>
  <c r="S43" i="7"/>
  <c r="T43" i="7"/>
  <c r="U43" i="7"/>
  <c r="V43" i="7"/>
  <c r="W43" i="7"/>
  <c r="C44" i="7"/>
  <c r="D44" i="7"/>
  <c r="E44" i="7"/>
  <c r="F44" i="7"/>
  <c r="G44" i="7"/>
  <c r="H44" i="7"/>
  <c r="I44" i="7"/>
  <c r="J44" i="7"/>
  <c r="K44" i="7"/>
  <c r="L44" i="7"/>
  <c r="M44" i="7"/>
  <c r="N44" i="7"/>
  <c r="O44" i="7"/>
  <c r="P44" i="7"/>
  <c r="Q44" i="7"/>
  <c r="R44" i="7"/>
  <c r="S44" i="7"/>
  <c r="T44" i="7"/>
  <c r="U44" i="7"/>
  <c r="V44" i="7"/>
  <c r="W44" i="7"/>
  <c r="C45" i="7"/>
  <c r="D45" i="7"/>
  <c r="E45" i="7"/>
  <c r="F45" i="7"/>
  <c r="G45" i="7"/>
  <c r="H45" i="7"/>
  <c r="I45" i="7"/>
  <c r="J45" i="7"/>
  <c r="K45" i="7"/>
  <c r="L45" i="7"/>
  <c r="M45" i="7"/>
  <c r="N45" i="7"/>
  <c r="O45" i="7"/>
  <c r="P45" i="7"/>
  <c r="Q45" i="7"/>
  <c r="R45" i="7"/>
  <c r="S45" i="7"/>
  <c r="T45" i="7"/>
  <c r="U45" i="7"/>
  <c r="V45" i="7"/>
  <c r="W45" i="7"/>
  <c r="C46" i="7"/>
  <c r="D46" i="7"/>
  <c r="E46" i="7"/>
  <c r="F46" i="7"/>
  <c r="G46" i="7"/>
  <c r="H46" i="7"/>
  <c r="I46" i="7"/>
  <c r="J46" i="7"/>
  <c r="K46" i="7"/>
  <c r="L46" i="7"/>
  <c r="M46" i="7"/>
  <c r="N46" i="7"/>
  <c r="O46" i="7"/>
  <c r="P46" i="7"/>
  <c r="Q46" i="7"/>
  <c r="R46" i="7"/>
  <c r="S46" i="7"/>
  <c r="T46" i="7"/>
  <c r="U46" i="7"/>
  <c r="V46" i="7"/>
  <c r="W46" i="7"/>
  <c r="C47" i="7"/>
  <c r="D47" i="7"/>
  <c r="E47" i="7"/>
  <c r="F47" i="7"/>
  <c r="G47" i="7"/>
  <c r="H47" i="7"/>
  <c r="I47" i="7"/>
  <c r="J47" i="7"/>
  <c r="K47" i="7"/>
  <c r="L47" i="7"/>
  <c r="M47" i="7"/>
  <c r="N47" i="7"/>
  <c r="O47" i="7"/>
  <c r="P47" i="7"/>
  <c r="Q47" i="7"/>
  <c r="R47" i="7"/>
  <c r="S47" i="7"/>
  <c r="T47" i="7"/>
  <c r="U47" i="7"/>
  <c r="V47" i="7"/>
  <c r="W47" i="7"/>
  <c r="C48" i="7"/>
  <c r="D48" i="7"/>
  <c r="E48" i="7"/>
  <c r="F48" i="7"/>
  <c r="G48" i="7"/>
  <c r="H48" i="7"/>
  <c r="I48" i="7"/>
  <c r="J48" i="7"/>
  <c r="K48" i="7"/>
  <c r="L48" i="7"/>
  <c r="M48" i="7"/>
  <c r="N48" i="7"/>
  <c r="O48" i="7"/>
  <c r="P48" i="7"/>
  <c r="Q48" i="7"/>
  <c r="R48" i="7"/>
  <c r="S48" i="7"/>
  <c r="T48" i="7"/>
  <c r="U48" i="7"/>
  <c r="V48" i="7"/>
  <c r="W48" i="7"/>
  <c r="C49" i="7"/>
  <c r="D49" i="7"/>
  <c r="E49" i="7"/>
  <c r="F49" i="7"/>
  <c r="G49" i="7"/>
  <c r="H49" i="7"/>
  <c r="I49" i="7"/>
  <c r="J49" i="7"/>
  <c r="K49" i="7"/>
  <c r="L49" i="7"/>
  <c r="M49" i="7"/>
  <c r="N49" i="7"/>
  <c r="O49" i="7"/>
  <c r="P49" i="7"/>
  <c r="Q49" i="7"/>
  <c r="R49" i="7"/>
  <c r="S49" i="7"/>
  <c r="T49" i="7"/>
  <c r="U49" i="7"/>
  <c r="V49" i="7"/>
  <c r="W49" i="7"/>
  <c r="C50" i="7"/>
  <c r="D50" i="7"/>
  <c r="E50" i="7"/>
  <c r="F50" i="7"/>
  <c r="G50" i="7"/>
  <c r="H50" i="7"/>
  <c r="I50" i="7"/>
  <c r="J50" i="7"/>
  <c r="K50" i="7"/>
  <c r="L50" i="7"/>
  <c r="M50" i="7"/>
  <c r="N50" i="7"/>
  <c r="O50" i="7"/>
  <c r="P50" i="7"/>
  <c r="Q50" i="7"/>
  <c r="R50" i="7"/>
  <c r="S50" i="7"/>
  <c r="T50" i="7"/>
  <c r="U50" i="7"/>
  <c r="V50" i="7"/>
  <c r="W50" i="7"/>
  <c r="C51" i="7"/>
  <c r="D51" i="7"/>
  <c r="E51" i="7"/>
  <c r="F51" i="7"/>
  <c r="G51" i="7"/>
  <c r="H51" i="7"/>
  <c r="I51" i="7"/>
  <c r="J51" i="7"/>
  <c r="K51" i="7"/>
  <c r="L51" i="7"/>
  <c r="M51" i="7"/>
  <c r="N51" i="7"/>
  <c r="O51" i="7"/>
  <c r="P51" i="7"/>
  <c r="Q51" i="7"/>
  <c r="R51" i="7"/>
  <c r="S51" i="7"/>
  <c r="T51" i="7"/>
  <c r="U51" i="7"/>
  <c r="V51" i="7"/>
  <c r="W51" i="7"/>
  <c r="D59" i="7"/>
  <c r="F59" i="7"/>
  <c r="F60" i="7"/>
  <c r="F61" i="7"/>
  <c r="X3" i="8"/>
  <c r="X4" i="8"/>
  <c r="X5" i="8"/>
  <c r="X6" i="8"/>
  <c r="X7" i="8"/>
  <c r="X8" i="8"/>
  <c r="X9" i="8"/>
  <c r="X10" i="8"/>
  <c r="X11" i="8"/>
  <c r="X12" i="8"/>
  <c r="X13" i="8"/>
  <c r="X14" i="8"/>
  <c r="X15" i="8"/>
  <c r="X16" i="8"/>
  <c r="C17" i="8"/>
  <c r="D17" i="8"/>
  <c r="E17" i="8"/>
  <c r="F17" i="8"/>
  <c r="G17" i="8"/>
  <c r="H17" i="8"/>
  <c r="I17" i="8"/>
  <c r="J17" i="8"/>
  <c r="K17" i="8"/>
  <c r="L17" i="8"/>
  <c r="M17" i="8"/>
  <c r="N17" i="8"/>
  <c r="O17" i="8"/>
  <c r="P17" i="8"/>
  <c r="Q17" i="8"/>
  <c r="R17" i="8"/>
  <c r="S17" i="8"/>
  <c r="T17" i="8"/>
  <c r="U17" i="8"/>
  <c r="V17" i="8"/>
  <c r="W17" i="8"/>
  <c r="A19" i="8"/>
  <c r="A37" i="8" s="1"/>
  <c r="C19" i="8"/>
  <c r="C37" i="8" s="1"/>
  <c r="D19" i="8"/>
  <c r="D37" i="8" s="1"/>
  <c r="E19" i="8"/>
  <c r="E37" i="8" s="1"/>
  <c r="F19" i="8"/>
  <c r="F37" i="8" s="1"/>
  <c r="G19" i="8"/>
  <c r="G37" i="8" s="1"/>
  <c r="H19" i="8"/>
  <c r="H37" i="8" s="1"/>
  <c r="I19" i="8"/>
  <c r="I37" i="8" s="1"/>
  <c r="J19" i="8"/>
  <c r="J37" i="8" s="1"/>
  <c r="K19" i="8"/>
  <c r="K37" i="8" s="1"/>
  <c r="L19" i="8"/>
  <c r="M19" i="8"/>
  <c r="M37" i="8" s="1"/>
  <c r="N19" i="8"/>
  <c r="N37" i="8" s="1"/>
  <c r="A20" i="8"/>
  <c r="A38" i="8" s="1"/>
  <c r="X20" i="8"/>
  <c r="A21" i="8"/>
  <c r="A39" i="8" s="1"/>
  <c r="X21" i="8"/>
  <c r="A22" i="8"/>
  <c r="A40" i="8" s="1"/>
  <c r="X22" i="8"/>
  <c r="A23" i="8"/>
  <c r="A41" i="8" s="1"/>
  <c r="X23" i="8"/>
  <c r="A24" i="8"/>
  <c r="A42" i="8" s="1"/>
  <c r="X24" i="8"/>
  <c r="A25" i="8"/>
  <c r="A43" i="8" s="1"/>
  <c r="X25" i="8"/>
  <c r="A26" i="8"/>
  <c r="A44" i="8" s="1"/>
  <c r="X26" i="8"/>
  <c r="A27" i="8"/>
  <c r="X27" i="8"/>
  <c r="A28" i="8"/>
  <c r="A46" i="8" s="1"/>
  <c r="X28" i="8"/>
  <c r="A29" i="8"/>
  <c r="A47" i="8" s="1"/>
  <c r="X29" i="8"/>
  <c r="A30" i="8"/>
  <c r="A48" i="8" s="1"/>
  <c r="X30" i="8"/>
  <c r="A31" i="8"/>
  <c r="A49" i="8" s="1"/>
  <c r="X31" i="8"/>
  <c r="A32" i="8"/>
  <c r="A50" i="8" s="1"/>
  <c r="X32" i="8"/>
  <c r="A33" i="8"/>
  <c r="X33" i="8"/>
  <c r="C34" i="8"/>
  <c r="D34" i="8"/>
  <c r="E34" i="8"/>
  <c r="F34" i="8"/>
  <c r="G34" i="8"/>
  <c r="H34" i="8"/>
  <c r="I34" i="8"/>
  <c r="J34" i="8"/>
  <c r="K34" i="8"/>
  <c r="L34" i="8"/>
  <c r="M34" i="8"/>
  <c r="N34" i="8"/>
  <c r="O34" i="8"/>
  <c r="P34" i="8"/>
  <c r="Q34" i="8"/>
  <c r="R34" i="8"/>
  <c r="S34" i="8"/>
  <c r="T34" i="8"/>
  <c r="U34" i="8"/>
  <c r="V34" i="8"/>
  <c r="W34" i="8"/>
  <c r="L37" i="8"/>
  <c r="O37" i="8"/>
  <c r="P37" i="8"/>
  <c r="Q37" i="8"/>
  <c r="R37" i="8"/>
  <c r="S37" i="8"/>
  <c r="T37" i="8"/>
  <c r="U37" i="8"/>
  <c r="C38" i="8"/>
  <c r="D38" i="8"/>
  <c r="E38" i="8"/>
  <c r="F38" i="8"/>
  <c r="G38" i="8"/>
  <c r="H38" i="8"/>
  <c r="I38" i="8"/>
  <c r="J38" i="8"/>
  <c r="K38" i="8"/>
  <c r="L38" i="8"/>
  <c r="M38" i="8"/>
  <c r="N38" i="8"/>
  <c r="O38" i="8"/>
  <c r="P38" i="8"/>
  <c r="Q38" i="8"/>
  <c r="R38" i="8"/>
  <c r="S38" i="8"/>
  <c r="T38" i="8"/>
  <c r="U38" i="8"/>
  <c r="V38" i="8"/>
  <c r="W38" i="8"/>
  <c r="Z38" i="8"/>
  <c r="C39" i="8"/>
  <c r="D39" i="8"/>
  <c r="E39" i="8"/>
  <c r="F39" i="8"/>
  <c r="G39" i="8"/>
  <c r="H39" i="8"/>
  <c r="I39" i="8"/>
  <c r="J39" i="8"/>
  <c r="K39" i="8"/>
  <c r="L39" i="8"/>
  <c r="M39" i="8"/>
  <c r="N39" i="8"/>
  <c r="O39" i="8"/>
  <c r="P39" i="8"/>
  <c r="Q39" i="8"/>
  <c r="R39" i="8"/>
  <c r="S39" i="8"/>
  <c r="T39" i="8"/>
  <c r="U39" i="8"/>
  <c r="V39" i="8"/>
  <c r="W39" i="8"/>
  <c r="C40" i="8"/>
  <c r="D40" i="8"/>
  <c r="E40" i="8"/>
  <c r="F40" i="8"/>
  <c r="G40" i="8"/>
  <c r="H40" i="8"/>
  <c r="I40" i="8"/>
  <c r="J40" i="8"/>
  <c r="K40" i="8"/>
  <c r="L40" i="8"/>
  <c r="M40" i="8"/>
  <c r="N40" i="8"/>
  <c r="O40" i="8"/>
  <c r="P40" i="8"/>
  <c r="Q40" i="8"/>
  <c r="R40" i="8"/>
  <c r="S40" i="8"/>
  <c r="T40" i="8"/>
  <c r="U40" i="8"/>
  <c r="V40" i="8"/>
  <c r="W40" i="8"/>
  <c r="C41" i="8"/>
  <c r="D41" i="8"/>
  <c r="E41" i="8"/>
  <c r="F41" i="8"/>
  <c r="G41" i="8"/>
  <c r="H41" i="8"/>
  <c r="I41" i="8"/>
  <c r="J41" i="8"/>
  <c r="K41" i="8"/>
  <c r="L41" i="8"/>
  <c r="M41" i="8"/>
  <c r="N41" i="8"/>
  <c r="O41" i="8"/>
  <c r="P41" i="8"/>
  <c r="Q41" i="8"/>
  <c r="R41" i="8"/>
  <c r="S41" i="8"/>
  <c r="T41" i="8"/>
  <c r="U41" i="8"/>
  <c r="V41" i="8"/>
  <c r="W41" i="8"/>
  <c r="C42" i="8"/>
  <c r="D42" i="8"/>
  <c r="E42" i="8"/>
  <c r="F42" i="8"/>
  <c r="G42" i="8"/>
  <c r="H42" i="8"/>
  <c r="I42" i="8"/>
  <c r="J42" i="8"/>
  <c r="K42" i="8"/>
  <c r="L42" i="8"/>
  <c r="M42" i="8"/>
  <c r="N42" i="8"/>
  <c r="O42" i="8"/>
  <c r="P42" i="8"/>
  <c r="Q42" i="8"/>
  <c r="R42" i="8"/>
  <c r="S42" i="8"/>
  <c r="T42" i="8"/>
  <c r="U42" i="8"/>
  <c r="V42" i="8"/>
  <c r="W42" i="8"/>
  <c r="C43" i="8"/>
  <c r="D43" i="8"/>
  <c r="E43" i="8"/>
  <c r="F43" i="8"/>
  <c r="G43" i="8"/>
  <c r="H43" i="8"/>
  <c r="I43" i="8"/>
  <c r="J43" i="8"/>
  <c r="K43" i="8"/>
  <c r="L43" i="8"/>
  <c r="M43" i="8"/>
  <c r="N43" i="8"/>
  <c r="O43" i="8"/>
  <c r="P43" i="8"/>
  <c r="Q43" i="8"/>
  <c r="R43" i="8"/>
  <c r="S43" i="8"/>
  <c r="T43" i="8"/>
  <c r="U43" i="8"/>
  <c r="V43" i="8"/>
  <c r="W43" i="8"/>
  <c r="C44" i="8"/>
  <c r="D44" i="8"/>
  <c r="E44" i="8"/>
  <c r="F44" i="8"/>
  <c r="G44" i="8"/>
  <c r="H44" i="8"/>
  <c r="I44" i="8"/>
  <c r="J44" i="8"/>
  <c r="K44" i="8"/>
  <c r="L44" i="8"/>
  <c r="M44" i="8"/>
  <c r="N44" i="8"/>
  <c r="O44" i="8"/>
  <c r="P44" i="8"/>
  <c r="Q44" i="8"/>
  <c r="R44" i="8"/>
  <c r="S44" i="8"/>
  <c r="T44" i="8"/>
  <c r="U44" i="8"/>
  <c r="V44" i="8"/>
  <c r="W44" i="8"/>
  <c r="A45" i="8"/>
  <c r="C45" i="8"/>
  <c r="D45" i="8"/>
  <c r="E45" i="8"/>
  <c r="F45" i="8"/>
  <c r="G45" i="8"/>
  <c r="H45" i="8"/>
  <c r="I45" i="8"/>
  <c r="J45" i="8"/>
  <c r="K45" i="8"/>
  <c r="L45" i="8"/>
  <c r="M45" i="8"/>
  <c r="N45" i="8"/>
  <c r="O45" i="8"/>
  <c r="P45" i="8"/>
  <c r="Q45" i="8"/>
  <c r="R45" i="8"/>
  <c r="S45" i="8"/>
  <c r="T45" i="8"/>
  <c r="U45" i="8"/>
  <c r="V45" i="8"/>
  <c r="W45" i="8"/>
  <c r="C46" i="8"/>
  <c r="D46" i="8"/>
  <c r="E46" i="8"/>
  <c r="F46" i="8"/>
  <c r="G46" i="8"/>
  <c r="H46" i="8"/>
  <c r="I46" i="8"/>
  <c r="J46" i="8"/>
  <c r="K46" i="8"/>
  <c r="L46" i="8"/>
  <c r="M46" i="8"/>
  <c r="N46" i="8"/>
  <c r="O46" i="8"/>
  <c r="P46" i="8"/>
  <c r="Q46" i="8"/>
  <c r="R46" i="8"/>
  <c r="S46" i="8"/>
  <c r="T46" i="8"/>
  <c r="U46" i="8"/>
  <c r="V46" i="8"/>
  <c r="W46" i="8"/>
  <c r="C47" i="8"/>
  <c r="D47" i="8"/>
  <c r="E47" i="8"/>
  <c r="F47" i="8"/>
  <c r="G47" i="8"/>
  <c r="H47" i="8"/>
  <c r="I47" i="8"/>
  <c r="J47" i="8"/>
  <c r="K47" i="8"/>
  <c r="L47" i="8"/>
  <c r="M47" i="8"/>
  <c r="N47" i="8"/>
  <c r="O47" i="8"/>
  <c r="P47" i="8"/>
  <c r="Q47" i="8"/>
  <c r="R47" i="8"/>
  <c r="S47" i="8"/>
  <c r="T47" i="8"/>
  <c r="U47" i="8"/>
  <c r="V47" i="8"/>
  <c r="W47" i="8"/>
  <c r="C48" i="8"/>
  <c r="D48" i="8"/>
  <c r="E48" i="8"/>
  <c r="F48" i="8"/>
  <c r="G48" i="8"/>
  <c r="H48" i="8"/>
  <c r="I48" i="8"/>
  <c r="J48" i="8"/>
  <c r="K48" i="8"/>
  <c r="L48" i="8"/>
  <c r="M48" i="8"/>
  <c r="N48" i="8"/>
  <c r="O48" i="8"/>
  <c r="P48" i="8"/>
  <c r="Q48" i="8"/>
  <c r="R48" i="8"/>
  <c r="S48" i="8"/>
  <c r="T48" i="8"/>
  <c r="U48" i="8"/>
  <c r="V48" i="8"/>
  <c r="W48" i="8"/>
  <c r="C49" i="8"/>
  <c r="D49" i="8"/>
  <c r="E49" i="8"/>
  <c r="F49" i="8"/>
  <c r="G49" i="8"/>
  <c r="H49" i="8"/>
  <c r="I49" i="8"/>
  <c r="J49" i="8"/>
  <c r="K49" i="8"/>
  <c r="L49" i="8"/>
  <c r="M49" i="8"/>
  <c r="N49" i="8"/>
  <c r="O49" i="8"/>
  <c r="P49" i="8"/>
  <c r="Q49" i="8"/>
  <c r="R49" i="8"/>
  <c r="S49" i="8"/>
  <c r="T49" i="8"/>
  <c r="U49" i="8"/>
  <c r="V49" i="8"/>
  <c r="W49" i="8"/>
  <c r="C50" i="8"/>
  <c r="D50" i="8"/>
  <c r="E50" i="8"/>
  <c r="F50" i="8"/>
  <c r="G50" i="8"/>
  <c r="H50" i="8"/>
  <c r="I50" i="8"/>
  <c r="J50" i="8"/>
  <c r="K50" i="8"/>
  <c r="L50" i="8"/>
  <c r="M50" i="8"/>
  <c r="N50" i="8"/>
  <c r="O50" i="8"/>
  <c r="P50" i="8"/>
  <c r="Q50" i="8"/>
  <c r="R50" i="8"/>
  <c r="S50" i="8"/>
  <c r="T50" i="8"/>
  <c r="U50" i="8"/>
  <c r="V50" i="8"/>
  <c r="W50" i="8"/>
  <c r="C51" i="8"/>
  <c r="D51" i="8"/>
  <c r="E51" i="8"/>
  <c r="F51" i="8"/>
  <c r="G51" i="8"/>
  <c r="H51" i="8"/>
  <c r="I51" i="8"/>
  <c r="J51" i="8"/>
  <c r="K51" i="8"/>
  <c r="L51" i="8"/>
  <c r="M51" i="8"/>
  <c r="N51" i="8"/>
  <c r="O51" i="8"/>
  <c r="P51" i="8"/>
  <c r="Q51" i="8"/>
  <c r="R51" i="8"/>
  <c r="S51" i="8"/>
  <c r="T51" i="8"/>
  <c r="U51" i="8"/>
  <c r="V51" i="8"/>
  <c r="W51" i="8"/>
  <c r="D59" i="8"/>
  <c r="F59" i="8"/>
  <c r="L59" i="8"/>
  <c r="F60" i="8"/>
  <c r="F61" i="8"/>
  <c r="Z3" i="9"/>
  <c r="Z4" i="9"/>
  <c r="Z5" i="9"/>
  <c r="Z6" i="9"/>
  <c r="Z7" i="9"/>
  <c r="Z8" i="9"/>
  <c r="Z9" i="9"/>
  <c r="Z10" i="9"/>
  <c r="Z11" i="9"/>
  <c r="Z12" i="9"/>
  <c r="Z13" i="9"/>
  <c r="Z14" i="9"/>
  <c r="Z15" i="9"/>
  <c r="Z16" i="9"/>
  <c r="C17" i="9"/>
  <c r="D17" i="9"/>
  <c r="E17" i="9"/>
  <c r="F17" i="9"/>
  <c r="G17" i="9"/>
  <c r="H17" i="9"/>
  <c r="I17" i="9"/>
  <c r="J17" i="9"/>
  <c r="K17" i="9"/>
  <c r="L17" i="9"/>
  <c r="M17" i="9"/>
  <c r="N17" i="9"/>
  <c r="O17" i="9"/>
  <c r="P17" i="9"/>
  <c r="Q17" i="9"/>
  <c r="R17" i="9"/>
  <c r="S17" i="9"/>
  <c r="T17" i="9"/>
  <c r="U17" i="9"/>
  <c r="V17" i="9"/>
  <c r="W17" i="9"/>
  <c r="X17" i="9"/>
  <c r="Y17" i="9"/>
  <c r="A19" i="9"/>
  <c r="A37" i="9" s="1"/>
  <c r="C19" i="9"/>
  <c r="C37" i="9" s="1"/>
  <c r="D19" i="9"/>
  <c r="D37" i="9" s="1"/>
  <c r="E19" i="9"/>
  <c r="E37" i="9" s="1"/>
  <c r="F19" i="9"/>
  <c r="F37" i="9" s="1"/>
  <c r="G19" i="9"/>
  <c r="G37" i="9" s="1"/>
  <c r="H19" i="9"/>
  <c r="H37" i="9" s="1"/>
  <c r="I19" i="9"/>
  <c r="I37" i="9" s="1"/>
  <c r="J19" i="9"/>
  <c r="J37" i="9" s="1"/>
  <c r="K19" i="9"/>
  <c r="K37" i="9" s="1"/>
  <c r="L19" i="9"/>
  <c r="L37" i="9" s="1"/>
  <c r="M19" i="9"/>
  <c r="M37" i="9" s="1"/>
  <c r="N19" i="9"/>
  <c r="N37" i="9" s="1"/>
  <c r="A20" i="9"/>
  <c r="A38" i="9" s="1"/>
  <c r="Z20" i="9"/>
  <c r="A21" i="9"/>
  <c r="A39" i="9" s="1"/>
  <c r="Z21" i="9"/>
  <c r="A22" i="9"/>
  <c r="A40" i="9" s="1"/>
  <c r="Z22" i="9"/>
  <c r="A23" i="9"/>
  <c r="A41" i="9" s="1"/>
  <c r="Z23" i="9"/>
  <c r="A24" i="9"/>
  <c r="A42" i="9" s="1"/>
  <c r="Z24" i="9"/>
  <c r="A25" i="9"/>
  <c r="A43" i="9" s="1"/>
  <c r="Z25" i="9"/>
  <c r="A26" i="9"/>
  <c r="A44" i="9"/>
  <c r="Z26" i="9"/>
  <c r="A27" i="9"/>
  <c r="A45" i="9" s="1"/>
  <c r="Z27" i="9"/>
  <c r="A28" i="9"/>
  <c r="A46" i="9" s="1"/>
  <c r="Z28" i="9"/>
  <c r="A29" i="9"/>
  <c r="A47" i="9" s="1"/>
  <c r="Z29" i="9"/>
  <c r="A30" i="9"/>
  <c r="A48" i="9" s="1"/>
  <c r="Z30" i="9"/>
  <c r="A31" i="9"/>
  <c r="A49" i="9" s="1"/>
  <c r="Z31" i="9"/>
  <c r="A32" i="9"/>
  <c r="A50" i="9" s="1"/>
  <c r="Z32" i="9"/>
  <c r="A33" i="9"/>
  <c r="Z33" i="9"/>
  <c r="C34" i="9"/>
  <c r="D34" i="9"/>
  <c r="E34" i="9"/>
  <c r="F34" i="9"/>
  <c r="G34" i="9"/>
  <c r="H34" i="9"/>
  <c r="I34" i="9"/>
  <c r="J34" i="9"/>
  <c r="K34" i="9"/>
  <c r="L34" i="9"/>
  <c r="M34" i="9"/>
  <c r="N34" i="9"/>
  <c r="O34" i="9"/>
  <c r="P34" i="9"/>
  <c r="Q34" i="9"/>
  <c r="R34" i="9"/>
  <c r="S34" i="9"/>
  <c r="T34" i="9"/>
  <c r="U34" i="9"/>
  <c r="V34" i="9"/>
  <c r="W34" i="9"/>
  <c r="X34" i="9"/>
  <c r="Y34" i="9"/>
  <c r="O37" i="9"/>
  <c r="P37" i="9"/>
  <c r="Q37" i="9"/>
  <c r="R37" i="9"/>
  <c r="S37" i="9"/>
  <c r="T37" i="9"/>
  <c r="U37" i="9"/>
  <c r="C38" i="9"/>
  <c r="D38" i="9"/>
  <c r="E38" i="9"/>
  <c r="F38" i="9"/>
  <c r="G38" i="9"/>
  <c r="H38" i="9"/>
  <c r="I38" i="9"/>
  <c r="J38" i="9"/>
  <c r="K38" i="9"/>
  <c r="L38" i="9"/>
  <c r="M38" i="9"/>
  <c r="N38" i="9"/>
  <c r="O38" i="9"/>
  <c r="P38" i="9"/>
  <c r="Q38" i="9"/>
  <c r="R38" i="9"/>
  <c r="S38" i="9"/>
  <c r="T38" i="9"/>
  <c r="U38" i="9"/>
  <c r="V38" i="9"/>
  <c r="W38" i="9"/>
  <c r="AB38" i="9"/>
  <c r="C39" i="9"/>
  <c r="D39" i="9"/>
  <c r="E39" i="9"/>
  <c r="F39" i="9"/>
  <c r="G39" i="9"/>
  <c r="H39" i="9"/>
  <c r="I39" i="9"/>
  <c r="J39" i="9"/>
  <c r="K39" i="9"/>
  <c r="L39" i="9"/>
  <c r="M39" i="9"/>
  <c r="N39" i="9"/>
  <c r="O39" i="9"/>
  <c r="P39" i="9"/>
  <c r="Q39" i="9"/>
  <c r="R39" i="9"/>
  <c r="S39" i="9"/>
  <c r="T39" i="9"/>
  <c r="U39" i="9"/>
  <c r="V39" i="9"/>
  <c r="W39" i="9"/>
  <c r="C40" i="9"/>
  <c r="D40" i="9"/>
  <c r="E40" i="9"/>
  <c r="F40" i="9"/>
  <c r="G40" i="9"/>
  <c r="H40" i="9"/>
  <c r="I40" i="9"/>
  <c r="J40" i="9"/>
  <c r="K40" i="9"/>
  <c r="L40" i="9"/>
  <c r="M40" i="9"/>
  <c r="N40" i="9"/>
  <c r="O40" i="9"/>
  <c r="P40" i="9"/>
  <c r="Q40" i="9"/>
  <c r="R40" i="9"/>
  <c r="S40" i="9"/>
  <c r="T40" i="9"/>
  <c r="U40" i="9"/>
  <c r="V40" i="9"/>
  <c r="W40" i="9"/>
  <c r="C41" i="9"/>
  <c r="D41" i="9"/>
  <c r="E41" i="9"/>
  <c r="F41" i="9"/>
  <c r="G41" i="9"/>
  <c r="H41" i="9"/>
  <c r="I41" i="9"/>
  <c r="J41" i="9"/>
  <c r="K41" i="9"/>
  <c r="L41" i="9"/>
  <c r="M41" i="9"/>
  <c r="N41" i="9"/>
  <c r="O41" i="9"/>
  <c r="P41" i="9"/>
  <c r="Q41" i="9"/>
  <c r="R41" i="9"/>
  <c r="S41" i="9"/>
  <c r="T41" i="9"/>
  <c r="U41" i="9"/>
  <c r="V41" i="9"/>
  <c r="W41" i="9"/>
  <c r="C42" i="9"/>
  <c r="D42" i="9"/>
  <c r="E42" i="9"/>
  <c r="F42" i="9"/>
  <c r="G42" i="9"/>
  <c r="H42" i="9"/>
  <c r="I42" i="9"/>
  <c r="J42" i="9"/>
  <c r="K42" i="9"/>
  <c r="L42" i="9"/>
  <c r="M42" i="9"/>
  <c r="N42" i="9"/>
  <c r="O42" i="9"/>
  <c r="P42" i="9"/>
  <c r="Q42" i="9"/>
  <c r="R42" i="9"/>
  <c r="S42" i="9"/>
  <c r="T42" i="9"/>
  <c r="U42" i="9"/>
  <c r="V42" i="9"/>
  <c r="W42" i="9"/>
  <c r="C43" i="9"/>
  <c r="D43" i="9"/>
  <c r="E43" i="9"/>
  <c r="F43" i="9"/>
  <c r="G43" i="9"/>
  <c r="H43" i="9"/>
  <c r="I43" i="9"/>
  <c r="J43" i="9"/>
  <c r="K43" i="9"/>
  <c r="L43" i="9"/>
  <c r="M43" i="9"/>
  <c r="N43" i="9"/>
  <c r="O43" i="9"/>
  <c r="P43" i="9"/>
  <c r="Q43" i="9"/>
  <c r="R43" i="9"/>
  <c r="S43" i="9"/>
  <c r="T43" i="9"/>
  <c r="U43" i="9"/>
  <c r="V43" i="9"/>
  <c r="W43" i="9"/>
  <c r="C44" i="9"/>
  <c r="D44" i="9"/>
  <c r="E44" i="9"/>
  <c r="F44" i="9"/>
  <c r="G44" i="9"/>
  <c r="H44" i="9"/>
  <c r="I44" i="9"/>
  <c r="J44" i="9"/>
  <c r="K44" i="9"/>
  <c r="L44" i="9"/>
  <c r="M44" i="9"/>
  <c r="N44" i="9"/>
  <c r="O44" i="9"/>
  <c r="P44" i="9"/>
  <c r="Q44" i="9"/>
  <c r="R44" i="9"/>
  <c r="S44" i="9"/>
  <c r="T44" i="9"/>
  <c r="U44" i="9"/>
  <c r="V44" i="9"/>
  <c r="W44" i="9"/>
  <c r="C45" i="9"/>
  <c r="D45" i="9"/>
  <c r="E45" i="9"/>
  <c r="F45" i="9"/>
  <c r="G45" i="9"/>
  <c r="H45" i="9"/>
  <c r="I45" i="9"/>
  <c r="J45" i="9"/>
  <c r="K45" i="9"/>
  <c r="L45" i="9"/>
  <c r="M45" i="9"/>
  <c r="N45" i="9"/>
  <c r="O45" i="9"/>
  <c r="P45" i="9"/>
  <c r="Q45" i="9"/>
  <c r="R45" i="9"/>
  <c r="S45" i="9"/>
  <c r="T45" i="9"/>
  <c r="U45" i="9"/>
  <c r="V45" i="9"/>
  <c r="W45" i="9"/>
  <c r="C46" i="9"/>
  <c r="D46" i="9"/>
  <c r="E46" i="9"/>
  <c r="F46" i="9"/>
  <c r="G46" i="9"/>
  <c r="H46" i="9"/>
  <c r="I46" i="9"/>
  <c r="J46" i="9"/>
  <c r="K46" i="9"/>
  <c r="L46" i="9"/>
  <c r="M46" i="9"/>
  <c r="N46" i="9"/>
  <c r="O46" i="9"/>
  <c r="P46" i="9"/>
  <c r="Q46" i="9"/>
  <c r="R46" i="9"/>
  <c r="S46" i="9"/>
  <c r="T46" i="9"/>
  <c r="U46" i="9"/>
  <c r="V46" i="9"/>
  <c r="W46" i="9"/>
  <c r="C47" i="9"/>
  <c r="D47" i="9"/>
  <c r="E47" i="9"/>
  <c r="F47" i="9"/>
  <c r="G47" i="9"/>
  <c r="H47" i="9"/>
  <c r="I47" i="9"/>
  <c r="J47" i="9"/>
  <c r="K47" i="9"/>
  <c r="L47" i="9"/>
  <c r="M47" i="9"/>
  <c r="N47" i="9"/>
  <c r="O47" i="9"/>
  <c r="P47" i="9"/>
  <c r="Q47" i="9"/>
  <c r="R47" i="9"/>
  <c r="S47" i="9"/>
  <c r="T47" i="9"/>
  <c r="U47" i="9"/>
  <c r="V47" i="9"/>
  <c r="W47" i="9"/>
  <c r="C48" i="9"/>
  <c r="D48" i="9"/>
  <c r="E48" i="9"/>
  <c r="F48" i="9"/>
  <c r="G48" i="9"/>
  <c r="H48" i="9"/>
  <c r="I48" i="9"/>
  <c r="J48" i="9"/>
  <c r="K48" i="9"/>
  <c r="L48" i="9"/>
  <c r="M48" i="9"/>
  <c r="N48" i="9"/>
  <c r="O48" i="9"/>
  <c r="P48" i="9"/>
  <c r="Q48" i="9"/>
  <c r="R48" i="9"/>
  <c r="S48" i="9"/>
  <c r="T48" i="9"/>
  <c r="U48" i="9"/>
  <c r="V48" i="9"/>
  <c r="W48" i="9"/>
  <c r="C49" i="9"/>
  <c r="D49" i="9"/>
  <c r="E49" i="9"/>
  <c r="F49" i="9"/>
  <c r="G49" i="9"/>
  <c r="H49" i="9"/>
  <c r="I49" i="9"/>
  <c r="J49" i="9"/>
  <c r="K49" i="9"/>
  <c r="L49" i="9"/>
  <c r="M49" i="9"/>
  <c r="N49" i="9"/>
  <c r="O49" i="9"/>
  <c r="P49" i="9"/>
  <c r="Q49" i="9"/>
  <c r="R49" i="9"/>
  <c r="S49" i="9"/>
  <c r="T49" i="9"/>
  <c r="U49" i="9"/>
  <c r="V49" i="9"/>
  <c r="W49" i="9"/>
  <c r="C50" i="9"/>
  <c r="D50" i="9"/>
  <c r="E50" i="9"/>
  <c r="F50" i="9"/>
  <c r="G50" i="9"/>
  <c r="H50" i="9"/>
  <c r="I50" i="9"/>
  <c r="J50" i="9"/>
  <c r="K50" i="9"/>
  <c r="L50" i="9"/>
  <c r="M50" i="9"/>
  <c r="N50" i="9"/>
  <c r="O50" i="9"/>
  <c r="P50" i="9"/>
  <c r="Q50" i="9"/>
  <c r="R50" i="9"/>
  <c r="S50" i="9"/>
  <c r="T50" i="9"/>
  <c r="U50" i="9"/>
  <c r="V50" i="9"/>
  <c r="W50" i="9"/>
  <c r="C51" i="9"/>
  <c r="D51" i="9"/>
  <c r="E51" i="9"/>
  <c r="F51" i="9"/>
  <c r="G51" i="9"/>
  <c r="H51" i="9"/>
  <c r="I51" i="9"/>
  <c r="J51" i="9"/>
  <c r="K51" i="9"/>
  <c r="L51" i="9"/>
  <c r="M51" i="9"/>
  <c r="N51" i="9"/>
  <c r="O51" i="9"/>
  <c r="P51" i="9"/>
  <c r="Q51" i="9"/>
  <c r="R51" i="9"/>
  <c r="S51" i="9"/>
  <c r="T51" i="9"/>
  <c r="U51" i="9"/>
  <c r="V51" i="9"/>
  <c r="W51" i="9"/>
  <c r="X52" i="9"/>
  <c r="Y52" i="9"/>
  <c r="D59" i="9"/>
  <c r="F59" i="9"/>
  <c r="F60" i="9"/>
  <c r="F61" i="9"/>
  <c r="Z3" i="10"/>
  <c r="Z4" i="10"/>
  <c r="Z5" i="10"/>
  <c r="Z6" i="10"/>
  <c r="Z7" i="10"/>
  <c r="Z8" i="10"/>
  <c r="Z9" i="10"/>
  <c r="Z10" i="10"/>
  <c r="Z11" i="10"/>
  <c r="Z12" i="10"/>
  <c r="Z13" i="10"/>
  <c r="Z14" i="10"/>
  <c r="Z15" i="10"/>
  <c r="Z16" i="10"/>
  <c r="C17" i="10"/>
  <c r="D17" i="10"/>
  <c r="E17" i="10"/>
  <c r="F17" i="10"/>
  <c r="G17" i="10"/>
  <c r="H17" i="10"/>
  <c r="I17" i="10"/>
  <c r="J17" i="10"/>
  <c r="K17" i="10"/>
  <c r="L17" i="10"/>
  <c r="M17" i="10"/>
  <c r="N17" i="10"/>
  <c r="O17" i="10"/>
  <c r="P17" i="10"/>
  <c r="Q17" i="10"/>
  <c r="R17" i="10"/>
  <c r="S17" i="10"/>
  <c r="T17" i="10"/>
  <c r="U17" i="10"/>
  <c r="V17" i="10"/>
  <c r="W17" i="10"/>
  <c r="X17" i="10"/>
  <c r="Y17" i="10"/>
  <c r="A19" i="10"/>
  <c r="A37" i="10" s="1"/>
  <c r="C19" i="10"/>
  <c r="C37" i="10" s="1"/>
  <c r="D19" i="10"/>
  <c r="D37" i="10" s="1"/>
  <c r="E19" i="10"/>
  <c r="E37" i="10" s="1"/>
  <c r="F19" i="10"/>
  <c r="F37" i="10" s="1"/>
  <c r="G19" i="10"/>
  <c r="G37" i="10" s="1"/>
  <c r="H19" i="10"/>
  <c r="H37" i="10" s="1"/>
  <c r="I19" i="10"/>
  <c r="I37" i="10" s="1"/>
  <c r="J19" i="10"/>
  <c r="J37" i="10" s="1"/>
  <c r="K19" i="10"/>
  <c r="K37" i="10"/>
  <c r="L19" i="10"/>
  <c r="L37" i="10" s="1"/>
  <c r="M19" i="10"/>
  <c r="M37" i="10" s="1"/>
  <c r="N19" i="10"/>
  <c r="N37" i="10" s="1"/>
  <c r="A20" i="10"/>
  <c r="A38" i="10" s="1"/>
  <c r="Z20" i="10"/>
  <c r="A21" i="10"/>
  <c r="A39" i="10" s="1"/>
  <c r="Z21" i="10"/>
  <c r="A22" i="10"/>
  <c r="A40" i="10" s="1"/>
  <c r="Z22" i="10"/>
  <c r="A23" i="10"/>
  <c r="Z23" i="10"/>
  <c r="A24" i="10"/>
  <c r="A42" i="10" s="1"/>
  <c r="Z24" i="10"/>
  <c r="A25" i="10"/>
  <c r="A43" i="10" s="1"/>
  <c r="Z25" i="10"/>
  <c r="A26" i="10"/>
  <c r="A44" i="10" s="1"/>
  <c r="Z26" i="10"/>
  <c r="A27" i="10"/>
  <c r="A45" i="10" s="1"/>
  <c r="Z27" i="10"/>
  <c r="A28" i="10"/>
  <c r="A46" i="10" s="1"/>
  <c r="Z28" i="10"/>
  <c r="A29" i="10"/>
  <c r="A47" i="10" s="1"/>
  <c r="Z29" i="10"/>
  <c r="A30" i="10"/>
  <c r="A48" i="10" s="1"/>
  <c r="Z30" i="10"/>
  <c r="A31" i="10"/>
  <c r="A49" i="10" s="1"/>
  <c r="Z31" i="10"/>
  <c r="A32" i="10"/>
  <c r="A50" i="10" s="1"/>
  <c r="Z32" i="10"/>
  <c r="A33" i="10"/>
  <c r="Z33" i="10"/>
  <c r="C34" i="10"/>
  <c r="D34" i="10"/>
  <c r="E34" i="10"/>
  <c r="F34" i="10"/>
  <c r="G34" i="10"/>
  <c r="H34" i="10"/>
  <c r="I34" i="10"/>
  <c r="J34" i="10"/>
  <c r="K34" i="10"/>
  <c r="L34" i="10"/>
  <c r="M34" i="10"/>
  <c r="N34" i="10"/>
  <c r="O34" i="10"/>
  <c r="P34" i="10"/>
  <c r="Q34" i="10"/>
  <c r="R34" i="10"/>
  <c r="S34" i="10"/>
  <c r="T34" i="10"/>
  <c r="U34" i="10"/>
  <c r="V34" i="10"/>
  <c r="W34" i="10"/>
  <c r="X34" i="10"/>
  <c r="X52" i="10" s="1"/>
  <c r="Y34" i="10"/>
  <c r="O37" i="10"/>
  <c r="P37" i="10"/>
  <c r="Q37" i="10"/>
  <c r="R37" i="10"/>
  <c r="S37" i="10"/>
  <c r="T37" i="10"/>
  <c r="U37" i="10"/>
  <c r="C38" i="10"/>
  <c r="D38" i="10"/>
  <c r="E38" i="10"/>
  <c r="F38" i="10"/>
  <c r="G38" i="10"/>
  <c r="H38" i="10"/>
  <c r="I38" i="10"/>
  <c r="J38" i="10"/>
  <c r="K38" i="10"/>
  <c r="L38" i="10"/>
  <c r="M38" i="10"/>
  <c r="N38" i="10"/>
  <c r="O38" i="10"/>
  <c r="P38" i="10"/>
  <c r="Q38" i="10"/>
  <c r="R38" i="10"/>
  <c r="S38" i="10"/>
  <c r="T38" i="10"/>
  <c r="U38" i="10"/>
  <c r="V38" i="10"/>
  <c r="W38" i="10"/>
  <c r="AB38" i="10"/>
  <c r="C39" i="10"/>
  <c r="D39" i="10"/>
  <c r="E39" i="10"/>
  <c r="F39" i="10"/>
  <c r="G39" i="10"/>
  <c r="H39" i="10"/>
  <c r="I39" i="10"/>
  <c r="J39" i="10"/>
  <c r="K39" i="10"/>
  <c r="L39" i="10"/>
  <c r="M39" i="10"/>
  <c r="N39" i="10"/>
  <c r="O39" i="10"/>
  <c r="P39" i="10"/>
  <c r="Q39" i="10"/>
  <c r="R39" i="10"/>
  <c r="S39" i="10"/>
  <c r="T39" i="10"/>
  <c r="U39" i="10"/>
  <c r="V39" i="10"/>
  <c r="W39" i="10"/>
  <c r="C40" i="10"/>
  <c r="D40" i="10"/>
  <c r="E40" i="10"/>
  <c r="F40" i="10"/>
  <c r="G40" i="10"/>
  <c r="H40" i="10"/>
  <c r="I40" i="10"/>
  <c r="J40" i="10"/>
  <c r="K40" i="10"/>
  <c r="L40" i="10"/>
  <c r="M40" i="10"/>
  <c r="N40" i="10"/>
  <c r="O40" i="10"/>
  <c r="P40" i="10"/>
  <c r="Q40" i="10"/>
  <c r="R40" i="10"/>
  <c r="S40" i="10"/>
  <c r="T40" i="10"/>
  <c r="U40" i="10"/>
  <c r="V40" i="10"/>
  <c r="W40" i="10"/>
  <c r="A41" i="10"/>
  <c r="C41" i="10"/>
  <c r="D41" i="10"/>
  <c r="E41" i="10"/>
  <c r="F41" i="10"/>
  <c r="G41" i="10"/>
  <c r="H41" i="10"/>
  <c r="I41" i="10"/>
  <c r="J41" i="10"/>
  <c r="K41" i="10"/>
  <c r="L41" i="10"/>
  <c r="M41" i="10"/>
  <c r="N41" i="10"/>
  <c r="O41" i="10"/>
  <c r="P41" i="10"/>
  <c r="Q41" i="10"/>
  <c r="R41" i="10"/>
  <c r="S41" i="10"/>
  <c r="T41" i="10"/>
  <c r="U41" i="10"/>
  <c r="V41" i="10"/>
  <c r="W41" i="10"/>
  <c r="C42" i="10"/>
  <c r="D42" i="10"/>
  <c r="E42" i="10"/>
  <c r="F42" i="10"/>
  <c r="G42" i="10"/>
  <c r="H42" i="10"/>
  <c r="I42" i="10"/>
  <c r="J42" i="10"/>
  <c r="K42" i="10"/>
  <c r="L42" i="10"/>
  <c r="M42" i="10"/>
  <c r="N42" i="10"/>
  <c r="O42" i="10"/>
  <c r="P42" i="10"/>
  <c r="Q42" i="10"/>
  <c r="R42" i="10"/>
  <c r="S42" i="10"/>
  <c r="T42" i="10"/>
  <c r="U42" i="10"/>
  <c r="V42" i="10"/>
  <c r="W42" i="10"/>
  <c r="C43" i="10"/>
  <c r="D43" i="10"/>
  <c r="E43" i="10"/>
  <c r="F43" i="10"/>
  <c r="G43" i="10"/>
  <c r="H43" i="10"/>
  <c r="I43" i="10"/>
  <c r="J43" i="10"/>
  <c r="K43" i="10"/>
  <c r="L43" i="10"/>
  <c r="M43" i="10"/>
  <c r="N43" i="10"/>
  <c r="O43" i="10"/>
  <c r="P43" i="10"/>
  <c r="Q43" i="10"/>
  <c r="R43" i="10"/>
  <c r="S43" i="10"/>
  <c r="T43" i="10"/>
  <c r="U43" i="10"/>
  <c r="V43" i="10"/>
  <c r="W43" i="10"/>
  <c r="C44" i="10"/>
  <c r="D44" i="10"/>
  <c r="E44" i="10"/>
  <c r="F44" i="10"/>
  <c r="G44" i="10"/>
  <c r="H44" i="10"/>
  <c r="I44" i="10"/>
  <c r="J44" i="10"/>
  <c r="K44" i="10"/>
  <c r="L44" i="10"/>
  <c r="M44" i="10"/>
  <c r="N44" i="10"/>
  <c r="O44" i="10"/>
  <c r="P44" i="10"/>
  <c r="Q44" i="10"/>
  <c r="R44" i="10"/>
  <c r="S44" i="10"/>
  <c r="T44" i="10"/>
  <c r="U44" i="10"/>
  <c r="V44" i="10"/>
  <c r="W44" i="10"/>
  <c r="C45" i="10"/>
  <c r="D45" i="10"/>
  <c r="E45" i="10"/>
  <c r="F45" i="10"/>
  <c r="G45" i="10"/>
  <c r="H45" i="10"/>
  <c r="I45" i="10"/>
  <c r="J45" i="10"/>
  <c r="K45" i="10"/>
  <c r="L45" i="10"/>
  <c r="M45" i="10"/>
  <c r="N45" i="10"/>
  <c r="O45" i="10"/>
  <c r="P45" i="10"/>
  <c r="Q45" i="10"/>
  <c r="R45" i="10"/>
  <c r="S45" i="10"/>
  <c r="T45" i="10"/>
  <c r="U45" i="10"/>
  <c r="V45" i="10"/>
  <c r="W45" i="10"/>
  <c r="C46" i="10"/>
  <c r="D46" i="10"/>
  <c r="E46" i="10"/>
  <c r="F46" i="10"/>
  <c r="G46" i="10"/>
  <c r="H46" i="10"/>
  <c r="I46" i="10"/>
  <c r="J46" i="10"/>
  <c r="K46" i="10"/>
  <c r="L46" i="10"/>
  <c r="M46" i="10"/>
  <c r="N46" i="10"/>
  <c r="O46" i="10"/>
  <c r="P46" i="10"/>
  <c r="Q46" i="10"/>
  <c r="R46" i="10"/>
  <c r="S46" i="10"/>
  <c r="T46" i="10"/>
  <c r="U46" i="10"/>
  <c r="V46" i="10"/>
  <c r="W46" i="10"/>
  <c r="C47" i="10"/>
  <c r="D47" i="10"/>
  <c r="E47" i="10"/>
  <c r="F47" i="10"/>
  <c r="G47" i="10"/>
  <c r="H47" i="10"/>
  <c r="I47" i="10"/>
  <c r="J47" i="10"/>
  <c r="K47" i="10"/>
  <c r="L47" i="10"/>
  <c r="M47" i="10"/>
  <c r="N47" i="10"/>
  <c r="O47" i="10"/>
  <c r="P47" i="10"/>
  <c r="Q47" i="10"/>
  <c r="R47" i="10"/>
  <c r="S47" i="10"/>
  <c r="T47" i="10"/>
  <c r="U47" i="10"/>
  <c r="V47" i="10"/>
  <c r="W47" i="10"/>
  <c r="C48" i="10"/>
  <c r="D48" i="10"/>
  <c r="E48" i="10"/>
  <c r="F48" i="10"/>
  <c r="G48" i="10"/>
  <c r="H48" i="10"/>
  <c r="I48" i="10"/>
  <c r="J48" i="10"/>
  <c r="K48" i="10"/>
  <c r="L48" i="10"/>
  <c r="M48" i="10"/>
  <c r="N48" i="10"/>
  <c r="O48" i="10"/>
  <c r="P48" i="10"/>
  <c r="Q48" i="10"/>
  <c r="R48" i="10"/>
  <c r="S48" i="10"/>
  <c r="T48" i="10"/>
  <c r="U48" i="10"/>
  <c r="V48" i="10"/>
  <c r="W48" i="10"/>
  <c r="C49" i="10"/>
  <c r="D49" i="10"/>
  <c r="E49" i="10"/>
  <c r="F49" i="10"/>
  <c r="G49" i="10"/>
  <c r="H49" i="10"/>
  <c r="I49" i="10"/>
  <c r="J49" i="10"/>
  <c r="K49" i="10"/>
  <c r="L49" i="10"/>
  <c r="M49" i="10"/>
  <c r="N49" i="10"/>
  <c r="O49" i="10"/>
  <c r="P49" i="10"/>
  <c r="Q49" i="10"/>
  <c r="R49" i="10"/>
  <c r="S49" i="10"/>
  <c r="T49" i="10"/>
  <c r="U49" i="10"/>
  <c r="V49" i="10"/>
  <c r="W49" i="10"/>
  <c r="C50" i="10"/>
  <c r="D50" i="10"/>
  <c r="E50" i="10"/>
  <c r="F50" i="10"/>
  <c r="G50" i="10"/>
  <c r="H50" i="10"/>
  <c r="I50" i="10"/>
  <c r="J50" i="10"/>
  <c r="K50" i="10"/>
  <c r="L50" i="10"/>
  <c r="M50" i="10"/>
  <c r="N50" i="10"/>
  <c r="O50" i="10"/>
  <c r="P50" i="10"/>
  <c r="Q50" i="10"/>
  <c r="R50" i="10"/>
  <c r="S50" i="10"/>
  <c r="T50" i="10"/>
  <c r="U50" i="10"/>
  <c r="V50" i="10"/>
  <c r="W50" i="10"/>
  <c r="C51" i="10"/>
  <c r="D51" i="10"/>
  <c r="E51" i="10"/>
  <c r="F51" i="10"/>
  <c r="G51" i="10"/>
  <c r="H51" i="10"/>
  <c r="I51" i="10"/>
  <c r="J51" i="10"/>
  <c r="K51" i="10"/>
  <c r="L51" i="10"/>
  <c r="M51" i="10"/>
  <c r="N51" i="10"/>
  <c r="O51" i="10"/>
  <c r="P51" i="10"/>
  <c r="Q51" i="10"/>
  <c r="R51" i="10"/>
  <c r="S51" i="10"/>
  <c r="T51" i="10"/>
  <c r="U51" i="10"/>
  <c r="V51" i="10"/>
  <c r="W51" i="10"/>
  <c r="Y52" i="10"/>
  <c r="Z47" i="13"/>
  <c r="J51" i="4"/>
  <c r="L39" i="1"/>
  <c r="H39" i="1"/>
  <c r="X52" i="14"/>
  <c r="W42" i="6" l="1"/>
  <c r="O38" i="3"/>
  <c r="O19" i="1"/>
  <c r="J52" i="13"/>
  <c r="Z41" i="13"/>
  <c r="F52" i="14"/>
  <c r="AE48" i="14"/>
  <c r="L52" i="12"/>
  <c r="Q52" i="12"/>
  <c r="Z41" i="12"/>
  <c r="G52" i="12"/>
  <c r="Z46" i="12"/>
  <c r="Z47" i="12"/>
  <c r="Z48" i="12"/>
  <c r="O50" i="4"/>
  <c r="Z48" i="11"/>
  <c r="V52" i="13"/>
  <c r="W52" i="13"/>
  <c r="Z44" i="13"/>
  <c r="Z49" i="13"/>
  <c r="O52" i="14"/>
  <c r="Z38" i="9"/>
  <c r="F51" i="6"/>
  <c r="X37" i="6"/>
  <c r="M52" i="12"/>
  <c r="U52" i="12"/>
  <c r="W52" i="12"/>
  <c r="Z49" i="12"/>
  <c r="Z38" i="13"/>
  <c r="Q52" i="13"/>
  <c r="K52" i="14"/>
  <c r="Z47" i="10"/>
  <c r="J52" i="9"/>
  <c r="O34" i="4"/>
  <c r="D57" i="4" s="1"/>
  <c r="O19" i="2"/>
  <c r="Z45" i="11"/>
  <c r="Z50" i="11"/>
  <c r="C52" i="12"/>
  <c r="O52" i="12"/>
  <c r="S52" i="12"/>
  <c r="I52" i="13"/>
  <c r="C52" i="9"/>
  <c r="F39" i="1"/>
  <c r="Z17" i="11"/>
  <c r="I52" i="12"/>
  <c r="O52" i="13"/>
  <c r="Z40" i="13"/>
  <c r="R52" i="13"/>
  <c r="Z45" i="13"/>
  <c r="I52" i="10"/>
  <c r="X41" i="6"/>
  <c r="N39" i="1"/>
  <c r="E52" i="12"/>
  <c r="G52" i="13"/>
  <c r="Z39" i="13"/>
  <c r="F52" i="13"/>
  <c r="Z48" i="13"/>
  <c r="X45" i="7"/>
  <c r="X45" i="6"/>
  <c r="W52" i="14"/>
  <c r="AE40" i="14"/>
  <c r="E52" i="14"/>
  <c r="Q52" i="14"/>
  <c r="N52" i="14"/>
  <c r="O17" i="4"/>
  <c r="D55" i="4" s="1"/>
  <c r="V52" i="8"/>
  <c r="H39" i="2"/>
  <c r="J39" i="1"/>
  <c r="S52" i="13"/>
  <c r="H52" i="13"/>
  <c r="E52" i="13"/>
  <c r="N52" i="13"/>
  <c r="D52" i="13"/>
  <c r="V52" i="10"/>
  <c r="H52" i="14"/>
  <c r="I52" i="14"/>
  <c r="M52" i="14"/>
  <c r="U52" i="14"/>
  <c r="AE43" i="14"/>
  <c r="AE47" i="14"/>
  <c r="AE50" i="14"/>
  <c r="AE17" i="14"/>
  <c r="AE34" i="14"/>
  <c r="Z48" i="9"/>
  <c r="X38" i="7"/>
  <c r="V40" i="5"/>
  <c r="C39" i="3"/>
  <c r="H39" i="3"/>
  <c r="M39" i="2"/>
  <c r="K39" i="1"/>
  <c r="G39" i="1"/>
  <c r="C39" i="1"/>
  <c r="D52" i="11"/>
  <c r="Z44" i="11"/>
  <c r="Z38" i="12"/>
  <c r="Z51" i="10"/>
  <c r="Z41" i="9"/>
  <c r="O52" i="7"/>
  <c r="X42" i="7"/>
  <c r="X41" i="7"/>
  <c r="X25" i="6"/>
  <c r="M39" i="3"/>
  <c r="C39" i="2"/>
  <c r="Z17" i="12"/>
  <c r="Z17" i="13"/>
  <c r="S52" i="9"/>
  <c r="G52" i="9"/>
  <c r="Z17" i="9"/>
  <c r="D56" i="9" s="1"/>
  <c r="X43" i="7"/>
  <c r="C51" i="6"/>
  <c r="T51" i="5"/>
  <c r="J52" i="12"/>
  <c r="Z45" i="12"/>
  <c r="I52" i="9"/>
  <c r="X50" i="7"/>
  <c r="Z49" i="10"/>
  <c r="J52" i="10"/>
  <c r="Z38" i="10"/>
  <c r="Z47" i="9"/>
  <c r="K51" i="6"/>
  <c r="V46" i="5"/>
  <c r="G51" i="5"/>
  <c r="V38" i="5"/>
  <c r="Z43" i="11"/>
  <c r="V52" i="12"/>
  <c r="Z39" i="12"/>
  <c r="T52" i="12"/>
  <c r="Z40" i="12"/>
  <c r="Z39" i="10"/>
  <c r="Z49" i="9"/>
  <c r="W52" i="7"/>
  <c r="K51" i="4"/>
  <c r="M39" i="1"/>
  <c r="I39" i="1"/>
  <c r="E39" i="1"/>
  <c r="D39" i="1"/>
  <c r="Z38" i="11"/>
  <c r="Z40" i="11"/>
  <c r="Z42" i="11"/>
  <c r="H52" i="12"/>
  <c r="C52" i="13"/>
  <c r="L52" i="13"/>
  <c r="T52" i="13"/>
  <c r="M52" i="13"/>
  <c r="U52" i="13"/>
  <c r="Z43" i="13"/>
  <c r="Z46" i="13"/>
  <c r="AE38" i="15"/>
  <c r="AB52" i="16"/>
  <c r="N55" i="17"/>
  <c r="AE52" i="17"/>
  <c r="Z44" i="10"/>
  <c r="N52" i="10"/>
  <c r="U52" i="8"/>
  <c r="H51" i="6"/>
  <c r="Z17" i="10"/>
  <c r="Z45" i="9"/>
  <c r="K52" i="9"/>
  <c r="M52" i="8"/>
  <c r="R52" i="7"/>
  <c r="N52" i="7"/>
  <c r="K52" i="7"/>
  <c r="X17" i="7"/>
  <c r="D56" i="7" s="1"/>
  <c r="V48" i="5"/>
  <c r="O51" i="5"/>
  <c r="O41" i="4"/>
  <c r="O40" i="4"/>
  <c r="R52" i="10"/>
  <c r="Z42" i="10"/>
  <c r="H52" i="10"/>
  <c r="R52" i="9"/>
  <c r="X49" i="8"/>
  <c r="E52" i="8"/>
  <c r="X43" i="8"/>
  <c r="T52" i="8"/>
  <c r="X38" i="8"/>
  <c r="O43" i="4"/>
  <c r="O19" i="3"/>
  <c r="O39" i="3" s="1"/>
  <c r="Z34" i="13"/>
  <c r="Z51" i="13"/>
  <c r="Z43" i="9"/>
  <c r="K52" i="8"/>
  <c r="Z46" i="10"/>
  <c r="D52" i="10"/>
  <c r="Z41" i="10"/>
  <c r="G52" i="10"/>
  <c r="S52" i="10"/>
  <c r="M52" i="9"/>
  <c r="N52" i="8"/>
  <c r="X46" i="8"/>
  <c r="X45" i="8"/>
  <c r="X48" i="7"/>
  <c r="J52" i="7"/>
  <c r="X40" i="7"/>
  <c r="X34" i="7"/>
  <c r="D58" i="7" s="1"/>
  <c r="O51" i="6"/>
  <c r="G51" i="6"/>
  <c r="N51" i="4"/>
  <c r="F51" i="4"/>
  <c r="R52" i="12"/>
  <c r="J51" i="6"/>
  <c r="L51" i="6"/>
  <c r="I51" i="5"/>
  <c r="O46" i="4"/>
  <c r="M51" i="4"/>
  <c r="I52" i="11"/>
  <c r="M52" i="11"/>
  <c r="Q52" i="11"/>
  <c r="U52" i="11"/>
  <c r="Z39" i="11"/>
  <c r="F52" i="11"/>
  <c r="J52" i="11"/>
  <c r="N52" i="11"/>
  <c r="R52" i="11"/>
  <c r="Z34" i="12"/>
  <c r="P52" i="12"/>
  <c r="Z50" i="12"/>
  <c r="Y52" i="12"/>
  <c r="P52" i="14"/>
  <c r="AE17" i="15"/>
  <c r="AE34" i="15"/>
  <c r="Z50" i="10"/>
  <c r="Z45" i="10"/>
  <c r="U52" i="9"/>
  <c r="Q52" i="9"/>
  <c r="W52" i="9"/>
  <c r="F52" i="8"/>
  <c r="X47" i="8"/>
  <c r="D52" i="7"/>
  <c r="Z34" i="11"/>
  <c r="X52" i="11"/>
  <c r="C52" i="11"/>
  <c r="Z46" i="11"/>
  <c r="Z49" i="11"/>
  <c r="Z42" i="12"/>
  <c r="Z44" i="12"/>
  <c r="X41" i="8"/>
  <c r="S52" i="8"/>
  <c r="O52" i="8"/>
  <c r="H52" i="8"/>
  <c r="X51" i="7"/>
  <c r="X48" i="6"/>
  <c r="V44" i="5"/>
  <c r="L51" i="4"/>
  <c r="H51" i="4"/>
  <c r="Z50" i="13"/>
  <c r="N52" i="9"/>
  <c r="Z39" i="9"/>
  <c r="X39" i="8"/>
  <c r="M52" i="7"/>
  <c r="O44" i="4"/>
  <c r="C52" i="10"/>
  <c r="Z46" i="9"/>
  <c r="F52" i="9"/>
  <c r="V49" i="5"/>
  <c r="C51" i="4"/>
  <c r="Z34" i="10"/>
  <c r="I52" i="7"/>
  <c r="K52" i="10"/>
  <c r="M52" i="10"/>
  <c r="Z44" i="9"/>
  <c r="X51" i="8"/>
  <c r="C52" i="8"/>
  <c r="X50" i="8"/>
  <c r="X44" i="8"/>
  <c r="X42" i="8"/>
  <c r="Q52" i="8"/>
  <c r="P52" i="8"/>
  <c r="L52" i="8"/>
  <c r="D52" i="8"/>
  <c r="U52" i="7"/>
  <c r="X44" i="6"/>
  <c r="X43" i="6"/>
  <c r="Q51" i="6"/>
  <c r="M51" i="6"/>
  <c r="I51" i="6"/>
  <c r="X40" i="6"/>
  <c r="X39" i="6"/>
  <c r="U51" i="6"/>
  <c r="X30" i="6"/>
  <c r="S47" i="6"/>
  <c r="X47" i="6" s="1"/>
  <c r="S34" i="6"/>
  <c r="X29" i="6"/>
  <c r="S46" i="6"/>
  <c r="C51" i="5"/>
  <c r="V42" i="5"/>
  <c r="L51" i="5"/>
  <c r="H51" i="5"/>
  <c r="V41" i="5"/>
  <c r="O38" i="4"/>
  <c r="U52" i="10"/>
  <c r="Q52" i="10"/>
  <c r="F52" i="10"/>
  <c r="T52" i="10"/>
  <c r="P52" i="10"/>
  <c r="L52" i="10"/>
  <c r="E52" i="10"/>
  <c r="T52" i="9"/>
  <c r="P52" i="9"/>
  <c r="L52" i="9"/>
  <c r="H52" i="9"/>
  <c r="D52" i="9"/>
  <c r="X34" i="8"/>
  <c r="D58" i="8" s="1"/>
  <c r="X47" i="7"/>
  <c r="P52" i="7"/>
  <c r="L52" i="7"/>
  <c r="H52" i="7"/>
  <c r="X39" i="7"/>
  <c r="T52" i="7"/>
  <c r="U51" i="5"/>
  <c r="V17" i="5"/>
  <c r="D55" i="5" s="1"/>
  <c r="D51" i="4"/>
  <c r="O37" i="4"/>
  <c r="X48" i="8"/>
  <c r="X40" i="8"/>
  <c r="X44" i="7"/>
  <c r="E52" i="7"/>
  <c r="S52" i="7"/>
  <c r="X42" i="6"/>
  <c r="E51" i="6"/>
  <c r="V50" i="5"/>
  <c r="V43" i="5"/>
  <c r="Q51" i="5"/>
  <c r="M51" i="5"/>
  <c r="E51" i="5"/>
  <c r="O45" i="4"/>
  <c r="I51" i="4"/>
  <c r="E51" i="4"/>
  <c r="G51" i="4"/>
  <c r="Z41" i="11"/>
  <c r="E52" i="11"/>
  <c r="Z51" i="12"/>
  <c r="W52" i="10"/>
  <c r="O52" i="10"/>
  <c r="Z43" i="10"/>
  <c r="Z51" i="9"/>
  <c r="Z50" i="9"/>
  <c r="Z42" i="9"/>
  <c r="O52" i="9"/>
  <c r="V52" i="9"/>
  <c r="W52" i="8"/>
  <c r="G52" i="8"/>
  <c r="X17" i="8"/>
  <c r="D56" i="8" s="1"/>
  <c r="X49" i="7"/>
  <c r="F52" i="7"/>
  <c r="V52" i="7"/>
  <c r="G52" i="7"/>
  <c r="C52" i="7"/>
  <c r="X50" i="6"/>
  <c r="D51" i="6"/>
  <c r="W51" i="6"/>
  <c r="V45" i="5"/>
  <c r="S51" i="5"/>
  <c r="K51" i="5"/>
  <c r="P51" i="5"/>
  <c r="V37" i="5"/>
  <c r="D51" i="5"/>
  <c r="O48" i="4"/>
  <c r="O42" i="4"/>
  <c r="O39" i="4"/>
  <c r="H52" i="11"/>
  <c r="L52" i="11"/>
  <c r="P52" i="11"/>
  <c r="T52" i="11"/>
  <c r="Z48" i="10"/>
  <c r="Z40" i="10"/>
  <c r="Z40" i="9"/>
  <c r="E52" i="9"/>
  <c r="Z34" i="9"/>
  <c r="D58" i="9" s="1"/>
  <c r="I52" i="8"/>
  <c r="R52" i="8"/>
  <c r="J52" i="8"/>
  <c r="X49" i="6"/>
  <c r="P51" i="6"/>
  <c r="V51" i="6"/>
  <c r="N51" i="6"/>
  <c r="V47" i="5"/>
  <c r="V39" i="5"/>
  <c r="N51" i="5"/>
  <c r="F51" i="5"/>
  <c r="O38" i="1"/>
  <c r="T51" i="6"/>
  <c r="X38" i="6"/>
  <c r="R51" i="6"/>
  <c r="X17" i="6"/>
  <c r="D55" i="6" s="1"/>
  <c r="V34" i="5"/>
  <c r="D57" i="5" s="1"/>
  <c r="O47" i="4"/>
  <c r="O38" i="2"/>
  <c r="O39" i="2" s="1"/>
  <c r="G52" i="11"/>
  <c r="K52" i="11"/>
  <c r="O52" i="11"/>
  <c r="S52" i="11"/>
  <c r="W52" i="11"/>
  <c r="F52" i="12"/>
  <c r="AA52" i="14"/>
  <c r="X46" i="7"/>
  <c r="Q52" i="7"/>
  <c r="R51" i="5"/>
  <c r="J51" i="5"/>
  <c r="O49" i="4"/>
  <c r="Z51" i="11"/>
  <c r="D52" i="12"/>
  <c r="N52" i="12"/>
  <c r="Z43" i="12"/>
  <c r="V52" i="11"/>
  <c r="AE39" i="15"/>
  <c r="C52" i="15"/>
  <c r="G52" i="15"/>
  <c r="K52" i="15"/>
  <c r="O52" i="15"/>
  <c r="S52" i="15"/>
  <c r="W52" i="15"/>
  <c r="AA52" i="15"/>
  <c r="AE41" i="15"/>
  <c r="AE42" i="15"/>
  <c r="AE43" i="15"/>
  <c r="AE44" i="15"/>
  <c r="AE45" i="15"/>
  <c r="AE46" i="15"/>
  <c r="AE47" i="15"/>
  <c r="AE48" i="15"/>
  <c r="AE49" i="15"/>
  <c r="AE51" i="16"/>
  <c r="AD52" i="14"/>
  <c r="AE50" i="15"/>
  <c r="AE51" i="15"/>
  <c r="AE34" i="16"/>
  <c r="C58" i="16" s="1"/>
  <c r="AD52" i="16"/>
  <c r="T52" i="14"/>
  <c r="F52" i="15"/>
  <c r="J52" i="15"/>
  <c r="N52" i="15"/>
  <c r="R52" i="15"/>
  <c r="V52" i="15"/>
  <c r="Z52" i="15"/>
  <c r="AD52" i="15"/>
  <c r="E52" i="15"/>
  <c r="I52" i="15"/>
  <c r="M52" i="15"/>
  <c r="Q52" i="15"/>
  <c r="U52" i="15"/>
  <c r="Y52" i="15"/>
  <c r="AC52" i="15"/>
  <c r="AA52" i="16"/>
  <c r="C52" i="16"/>
  <c r="E52" i="16"/>
  <c r="G52" i="16"/>
  <c r="I52" i="16"/>
  <c r="K52" i="16"/>
  <c r="M52" i="16"/>
  <c r="O52" i="16"/>
  <c r="Q52" i="16"/>
  <c r="S52" i="16"/>
  <c r="U52" i="16"/>
  <c r="W52" i="16"/>
  <c r="Y52" i="16"/>
  <c r="AE50" i="16"/>
  <c r="AE17" i="16"/>
  <c r="C56" i="16" s="1"/>
  <c r="D52" i="16"/>
  <c r="F52" i="16"/>
  <c r="H52" i="16"/>
  <c r="J52" i="16"/>
  <c r="L52" i="16"/>
  <c r="N52" i="16"/>
  <c r="P52" i="16"/>
  <c r="R52" i="16"/>
  <c r="T52" i="16"/>
  <c r="V52" i="16"/>
  <c r="Z52" i="16"/>
  <c r="AE39" i="16"/>
  <c r="AE40" i="16"/>
  <c r="AE41" i="16"/>
  <c r="AE42" i="16"/>
  <c r="AE43" i="16"/>
  <c r="AE44" i="16"/>
  <c r="AE45" i="16"/>
  <c r="AE46" i="16"/>
  <c r="AE47" i="16"/>
  <c r="AE48" i="16"/>
  <c r="AE49" i="16"/>
  <c r="AE38" i="16"/>
  <c r="AE40" i="15"/>
  <c r="V52" i="14"/>
  <c r="R52" i="14"/>
  <c r="L52" i="14"/>
  <c r="J52" i="14"/>
  <c r="AE41" i="14"/>
  <c r="AE42" i="14"/>
  <c r="AE45" i="14"/>
  <c r="AE38" i="14"/>
  <c r="AC52" i="14"/>
  <c r="AB52" i="14"/>
  <c r="Z52" i="14"/>
  <c r="AE44" i="14"/>
  <c r="O39" i="1" l="1"/>
  <c r="N55" i="13"/>
  <c r="N55" i="12"/>
  <c r="Z52" i="13"/>
  <c r="AA46" i="13" s="1"/>
  <c r="AF38" i="17"/>
  <c r="C61" i="17"/>
  <c r="N55" i="15"/>
  <c r="Z52" i="10"/>
  <c r="AA38" i="10" s="1"/>
  <c r="X34" i="6"/>
  <c r="D57" i="6" s="1"/>
  <c r="C60" i="17"/>
  <c r="H53" i="17"/>
  <c r="AF51" i="17"/>
  <c r="AF41" i="17"/>
  <c r="AB53" i="17"/>
  <c r="R53" i="17"/>
  <c r="AF43" i="17"/>
  <c r="C53" i="17"/>
  <c r="O53" i="17"/>
  <c r="E53" i="17"/>
  <c r="U53" i="17"/>
  <c r="AF48" i="17"/>
  <c r="P53" i="17"/>
  <c r="L53" i="17"/>
  <c r="X53" i="17"/>
  <c r="AF42" i="17"/>
  <c r="F53" i="17"/>
  <c r="V53" i="17"/>
  <c r="AF44" i="17"/>
  <c r="G53" i="17"/>
  <c r="S53" i="17"/>
  <c r="I53" i="17"/>
  <c r="Y53" i="17"/>
  <c r="AF49" i="17"/>
  <c r="AF40" i="17"/>
  <c r="N53" i="17"/>
  <c r="AF46" i="17"/>
  <c r="AA53" i="17"/>
  <c r="Q53" i="17"/>
  <c r="T53" i="17"/>
  <c r="AF39" i="17"/>
  <c r="D53" i="17"/>
  <c r="J53" i="17"/>
  <c r="Z53" i="17"/>
  <c r="AF45" i="17"/>
  <c r="K53" i="17"/>
  <c r="W53" i="17"/>
  <c r="M53" i="17"/>
  <c r="AC53" i="17"/>
  <c r="AF50" i="17"/>
  <c r="AD53" i="17"/>
  <c r="AF47" i="17"/>
  <c r="Y53" i="10"/>
  <c r="X52" i="8"/>
  <c r="D53" i="8" s="1"/>
  <c r="L60" i="12"/>
  <c r="V51" i="5"/>
  <c r="W37" i="5" s="1"/>
  <c r="Z52" i="11"/>
  <c r="K53" i="11" s="1"/>
  <c r="P53" i="8"/>
  <c r="X52" i="7"/>
  <c r="Y46" i="7" s="1"/>
  <c r="L60" i="11"/>
  <c r="N55" i="11"/>
  <c r="O53" i="11"/>
  <c r="O51" i="4"/>
  <c r="P47" i="4" s="1"/>
  <c r="X46" i="6"/>
  <c r="X51" i="6" s="1"/>
  <c r="S51" i="6"/>
  <c r="L59" i="6" s="1"/>
  <c r="Z52" i="12"/>
  <c r="T53" i="11"/>
  <c r="N55" i="14"/>
  <c r="W53" i="11"/>
  <c r="U52" i="5"/>
  <c r="L60" i="7"/>
  <c r="L60" i="8"/>
  <c r="Z52" i="9"/>
  <c r="AA50" i="9" s="1"/>
  <c r="L60" i="10"/>
  <c r="AA50" i="13"/>
  <c r="E53" i="13"/>
  <c r="AA45" i="13"/>
  <c r="F53" i="13"/>
  <c r="L60" i="9"/>
  <c r="N55" i="16"/>
  <c r="AE52" i="16"/>
  <c r="AE52" i="15"/>
  <c r="AE52" i="14"/>
  <c r="Z53" i="14" s="1"/>
  <c r="G53" i="14"/>
  <c r="AF45" i="14"/>
  <c r="AF38" i="14"/>
  <c r="L53" i="13" l="1"/>
  <c r="U53" i="14"/>
  <c r="R53" i="13"/>
  <c r="AA38" i="13"/>
  <c r="AA42" i="13"/>
  <c r="I53" i="13"/>
  <c r="G53" i="7"/>
  <c r="Y53" i="13"/>
  <c r="N53" i="13"/>
  <c r="J53" i="13"/>
  <c r="AF39" i="14"/>
  <c r="AA39" i="13"/>
  <c r="AA41" i="13"/>
  <c r="AA49" i="13"/>
  <c r="AA43" i="13"/>
  <c r="K53" i="10"/>
  <c r="P53" i="7"/>
  <c r="L53" i="7"/>
  <c r="I53" i="10"/>
  <c r="AA44" i="13"/>
  <c r="W53" i="14"/>
  <c r="M53" i="7"/>
  <c r="K53" i="13"/>
  <c r="C53" i="13"/>
  <c r="V53" i="7"/>
  <c r="AA42" i="10"/>
  <c r="D53" i="13"/>
  <c r="N53" i="14"/>
  <c r="U53" i="13"/>
  <c r="AA47" i="13"/>
  <c r="S53" i="13"/>
  <c r="AA40" i="13"/>
  <c r="AA48" i="13"/>
  <c r="G53" i="13"/>
  <c r="E53" i="14"/>
  <c r="O53" i="14"/>
  <c r="T53" i="13"/>
  <c r="P53" i="13"/>
  <c r="V53" i="13"/>
  <c r="M53" i="13"/>
  <c r="H53" i="13"/>
  <c r="Q53" i="13"/>
  <c r="AA51" i="13"/>
  <c r="X53" i="13"/>
  <c r="Y44" i="7"/>
  <c r="J53" i="10"/>
  <c r="O53" i="13"/>
  <c r="AA43" i="10"/>
  <c r="Y47" i="7"/>
  <c r="X53" i="10"/>
  <c r="H53" i="10"/>
  <c r="W53" i="13"/>
  <c r="V52" i="6"/>
  <c r="Y40" i="6"/>
  <c r="D52" i="6"/>
  <c r="Y51" i="8"/>
  <c r="Y40" i="8"/>
  <c r="F53" i="10"/>
  <c r="Q53" i="8"/>
  <c r="T53" i="10"/>
  <c r="AA49" i="10"/>
  <c r="G53" i="10"/>
  <c r="W53" i="10"/>
  <c r="AA40" i="10"/>
  <c r="V53" i="11"/>
  <c r="M53" i="10"/>
  <c r="U53" i="10"/>
  <c r="L53" i="11"/>
  <c r="F52" i="5"/>
  <c r="Q53" i="10"/>
  <c r="AA48" i="10"/>
  <c r="AA50" i="10"/>
  <c r="R53" i="10"/>
  <c r="V53" i="10"/>
  <c r="AA39" i="10"/>
  <c r="AA47" i="10"/>
  <c r="H53" i="11"/>
  <c r="AA51" i="11"/>
  <c r="AA46" i="10"/>
  <c r="D53" i="10"/>
  <c r="AA44" i="10"/>
  <c r="J53" i="14"/>
  <c r="AF50" i="14"/>
  <c r="AC53" i="14"/>
  <c r="AF43" i="14"/>
  <c r="V53" i="14"/>
  <c r="D53" i="14"/>
  <c r="F53" i="14"/>
  <c r="Q53" i="14"/>
  <c r="P53" i="10"/>
  <c r="G53" i="11"/>
  <c r="L53" i="10"/>
  <c r="O53" i="10"/>
  <c r="C53" i="10"/>
  <c r="E53" i="10"/>
  <c r="AA41" i="10"/>
  <c r="AA51" i="10"/>
  <c r="S53" i="10"/>
  <c r="N53" i="10"/>
  <c r="AA45" i="10"/>
  <c r="H52" i="5"/>
  <c r="AA40" i="9"/>
  <c r="P53" i="9"/>
  <c r="N53" i="9"/>
  <c r="W41" i="5"/>
  <c r="W43" i="5"/>
  <c r="K52" i="5"/>
  <c r="F53" i="9"/>
  <c r="H53" i="9"/>
  <c r="Q52" i="5"/>
  <c r="W52" i="6"/>
  <c r="W39" i="5"/>
  <c r="E52" i="5"/>
  <c r="W49" i="5"/>
  <c r="V53" i="9"/>
  <c r="C61" i="16"/>
  <c r="C60" i="16"/>
  <c r="C52" i="5"/>
  <c r="W47" i="5"/>
  <c r="R52" i="5"/>
  <c r="J52" i="5"/>
  <c r="L52" i="5"/>
  <c r="M52" i="5"/>
  <c r="AF51" i="14"/>
  <c r="H53" i="14"/>
  <c r="Y50" i="6"/>
  <c r="W42" i="5"/>
  <c r="P52" i="5"/>
  <c r="T52" i="6"/>
  <c r="D52" i="5"/>
  <c r="AA44" i="12"/>
  <c r="X53" i="12"/>
  <c r="R53" i="12"/>
  <c r="O53" i="12"/>
  <c r="P53" i="12"/>
  <c r="L53" i="12"/>
  <c r="AA41" i="12"/>
  <c r="AA45" i="12"/>
  <c r="T53" i="12"/>
  <c r="E53" i="12"/>
  <c r="K53" i="12"/>
  <c r="AA46" i="12"/>
  <c r="V53" i="12"/>
  <c r="AA42" i="12"/>
  <c r="J53" i="12"/>
  <c r="U53" i="12"/>
  <c r="AA47" i="12"/>
  <c r="S53" i="12"/>
  <c r="Y53" i="12"/>
  <c r="AA50" i="12"/>
  <c r="I53" i="12"/>
  <c r="H53" i="12"/>
  <c r="AA40" i="12"/>
  <c r="M53" i="12"/>
  <c r="C53" i="12"/>
  <c r="AA38" i="12"/>
  <c r="AA49" i="12"/>
  <c r="W53" i="12"/>
  <c r="AA39" i="12"/>
  <c r="G53" i="12"/>
  <c r="AA48" i="12"/>
  <c r="Q53" i="12"/>
  <c r="D53" i="12"/>
  <c r="D60" i="8"/>
  <c r="V53" i="8"/>
  <c r="Y38" i="8"/>
  <c r="U53" i="8"/>
  <c r="M53" i="8"/>
  <c r="D61" i="8"/>
  <c r="Y47" i="8"/>
  <c r="K53" i="8"/>
  <c r="Y49" i="8"/>
  <c r="H53" i="8"/>
  <c r="E53" i="8"/>
  <c r="Y45" i="8"/>
  <c r="Y46" i="8"/>
  <c r="F53" i="8"/>
  <c r="N53" i="8"/>
  <c r="Y43" i="8"/>
  <c r="Y41" i="8"/>
  <c r="S53" i="8"/>
  <c r="T53" i="8"/>
  <c r="O53" i="8"/>
  <c r="W53" i="8"/>
  <c r="K53" i="14"/>
  <c r="Y44" i="8"/>
  <c r="AA42" i="9"/>
  <c r="I53" i="8"/>
  <c r="AA43" i="12"/>
  <c r="Q52" i="6"/>
  <c r="P38" i="4"/>
  <c r="R53" i="8"/>
  <c r="AA46" i="9"/>
  <c r="I52" i="6"/>
  <c r="Y39" i="7"/>
  <c r="AA47" i="11"/>
  <c r="C53" i="11"/>
  <c r="M53" i="11"/>
  <c r="I53" i="11"/>
  <c r="AA46" i="11"/>
  <c r="D53" i="11"/>
  <c r="AA42" i="11"/>
  <c r="AA43" i="11"/>
  <c r="X53" i="11"/>
  <c r="AA45" i="11"/>
  <c r="R53" i="11"/>
  <c r="AA48" i="11"/>
  <c r="AA50" i="11"/>
  <c r="U53" i="11"/>
  <c r="AA44" i="11"/>
  <c r="Q53" i="11"/>
  <c r="AA49" i="11"/>
  <c r="AA38" i="11"/>
  <c r="AA39" i="11"/>
  <c r="J53" i="11"/>
  <c r="AA40" i="11"/>
  <c r="F53" i="11"/>
  <c r="N53" i="11"/>
  <c r="Y53" i="11"/>
  <c r="U53" i="7"/>
  <c r="H53" i="7"/>
  <c r="E52" i="4"/>
  <c r="Y49" i="7"/>
  <c r="D60" i="5"/>
  <c r="W38" i="5"/>
  <c r="W46" i="5"/>
  <c r="W44" i="5"/>
  <c r="D59" i="5"/>
  <c r="W40" i="5"/>
  <c r="W48" i="5"/>
  <c r="T52" i="5"/>
  <c r="G52" i="5"/>
  <c r="I52" i="5"/>
  <c r="O52" i="5"/>
  <c r="Y39" i="8"/>
  <c r="S52" i="5"/>
  <c r="S53" i="11"/>
  <c r="D60" i="4"/>
  <c r="D59" i="4"/>
  <c r="P41" i="4"/>
  <c r="L52" i="4"/>
  <c r="M52" i="4"/>
  <c r="K52" i="4"/>
  <c r="J52" i="4"/>
  <c r="N52" i="4"/>
  <c r="F52" i="4"/>
  <c r="P50" i="4"/>
  <c r="P46" i="4"/>
  <c r="P40" i="4"/>
  <c r="P43" i="4"/>
  <c r="H52" i="4"/>
  <c r="G52" i="4"/>
  <c r="P39" i="4"/>
  <c r="J53" i="8"/>
  <c r="D60" i="6"/>
  <c r="H52" i="6"/>
  <c r="Y41" i="6"/>
  <c r="D59" i="6"/>
  <c r="Y37" i="6"/>
  <c r="Y45" i="6"/>
  <c r="O52" i="6"/>
  <c r="L52" i="6"/>
  <c r="Y48" i="6"/>
  <c r="K52" i="6"/>
  <c r="G52" i="6"/>
  <c r="C52" i="6"/>
  <c r="F52" i="6"/>
  <c r="J52" i="6"/>
  <c r="AF44" i="14"/>
  <c r="P53" i="14"/>
  <c r="S53" i="14"/>
  <c r="T53" i="14"/>
  <c r="AB53" i="14"/>
  <c r="R53" i="14"/>
  <c r="I53" i="14"/>
  <c r="AF46" i="14"/>
  <c r="AF47" i="14"/>
  <c r="U52" i="6"/>
  <c r="X53" i="9"/>
  <c r="G53" i="9"/>
  <c r="C53" i="9"/>
  <c r="D61" i="9"/>
  <c r="AA47" i="9"/>
  <c r="AA41" i="9"/>
  <c r="D60" i="9"/>
  <c r="AA45" i="9"/>
  <c r="M53" i="9"/>
  <c r="J53" i="9"/>
  <c r="AA48" i="9"/>
  <c r="AA43" i="9"/>
  <c r="I53" i="9"/>
  <c r="AA38" i="9"/>
  <c r="S53" i="9"/>
  <c r="K53" i="9"/>
  <c r="AA49" i="9"/>
  <c r="R53" i="9"/>
  <c r="U53" i="9"/>
  <c r="W53" i="9"/>
  <c r="Y53" i="9"/>
  <c r="Q53" i="9"/>
  <c r="Y42" i="6"/>
  <c r="AF41" i="14"/>
  <c r="AF42" i="14"/>
  <c r="M53" i="14"/>
  <c r="L53" i="14"/>
  <c r="C53" i="14"/>
  <c r="AF49" i="14"/>
  <c r="AF48" i="14"/>
  <c r="X53" i="14"/>
  <c r="Y53" i="14"/>
  <c r="AD53" i="14"/>
  <c r="L53" i="8"/>
  <c r="L53" i="9"/>
  <c r="G53" i="8"/>
  <c r="P48" i="4"/>
  <c r="Y47" i="6"/>
  <c r="Q53" i="7"/>
  <c r="S53" i="7"/>
  <c r="Y49" i="6"/>
  <c r="AA39" i="9"/>
  <c r="C53" i="8"/>
  <c r="S52" i="6"/>
  <c r="T53" i="7"/>
  <c r="O53" i="9"/>
  <c r="P42" i="4"/>
  <c r="P52" i="6"/>
  <c r="F53" i="12"/>
  <c r="I53" i="7"/>
  <c r="Y39" i="6"/>
  <c r="Y48" i="8"/>
  <c r="F53" i="7"/>
  <c r="P49" i="4"/>
  <c r="AA44" i="9"/>
  <c r="M52" i="6"/>
  <c r="T53" i="9"/>
  <c r="E53" i="7"/>
  <c r="AA41" i="11"/>
  <c r="C53" i="7"/>
  <c r="P53" i="11"/>
  <c r="N52" i="5"/>
  <c r="N53" i="12"/>
  <c r="C52" i="4"/>
  <c r="W50" i="5"/>
  <c r="Y43" i="6"/>
  <c r="D52" i="4"/>
  <c r="P45" i="4"/>
  <c r="AA51" i="12"/>
  <c r="R52" i="6"/>
  <c r="P44" i="4"/>
  <c r="Y42" i="8"/>
  <c r="Y46" i="6"/>
  <c r="P37" i="4"/>
  <c r="I52" i="4"/>
  <c r="Y45" i="7"/>
  <c r="D61" i="7"/>
  <c r="D60" i="7"/>
  <c r="O53" i="7"/>
  <c r="Y41" i="7"/>
  <c r="Y42" i="7"/>
  <c r="Y40" i="7"/>
  <c r="Y43" i="7"/>
  <c r="Y38" i="7"/>
  <c r="W53" i="7"/>
  <c r="Y50" i="7"/>
  <c r="Y48" i="7"/>
  <c r="N53" i="7"/>
  <c r="Y51" i="7"/>
  <c r="K53" i="7"/>
  <c r="D53" i="7"/>
  <c r="J53" i="7"/>
  <c r="R53" i="7"/>
  <c r="Y50" i="8"/>
  <c r="D53" i="9"/>
  <c r="E52" i="6"/>
  <c r="AA51" i="9"/>
  <c r="W45" i="5"/>
  <c r="E53" i="9"/>
  <c r="Y38" i="6"/>
  <c r="Y44" i="6"/>
  <c r="E53" i="11"/>
  <c r="N52" i="6"/>
  <c r="F53" i="16"/>
  <c r="J53" i="16"/>
  <c r="N53" i="16"/>
  <c r="R53" i="16"/>
  <c r="V53" i="16"/>
  <c r="AB53" i="16"/>
  <c r="AF39" i="16"/>
  <c r="AF41" i="16"/>
  <c r="AF43" i="16"/>
  <c r="AF45" i="16"/>
  <c r="AF47" i="16"/>
  <c r="AF49" i="16"/>
  <c r="O53" i="16"/>
  <c r="C53" i="16"/>
  <c r="G53" i="16"/>
  <c r="K53" i="16"/>
  <c r="Q53" i="16"/>
  <c r="U53" i="16"/>
  <c r="Y53" i="16"/>
  <c r="AC53" i="16"/>
  <c r="AF51" i="16"/>
  <c r="D53" i="16"/>
  <c r="H53" i="16"/>
  <c r="L53" i="16"/>
  <c r="P53" i="16"/>
  <c r="T53" i="16"/>
  <c r="Z53" i="16"/>
  <c r="AD53" i="16"/>
  <c r="AF40" i="16"/>
  <c r="AF42" i="16"/>
  <c r="AF44" i="16"/>
  <c r="AF46" i="16"/>
  <c r="AF48" i="16"/>
  <c r="X53" i="16"/>
  <c r="E53" i="16"/>
  <c r="I53" i="16"/>
  <c r="M53" i="16"/>
  <c r="S53" i="16"/>
  <c r="W53" i="16"/>
  <c r="AA53" i="16"/>
  <c r="AF50" i="16"/>
  <c r="AF38" i="16"/>
  <c r="X53" i="15"/>
  <c r="F53" i="15"/>
  <c r="J53" i="15"/>
  <c r="N53" i="15"/>
  <c r="R53" i="15"/>
  <c r="V53" i="15"/>
  <c r="AB53" i="15"/>
  <c r="AF39" i="15"/>
  <c r="E53" i="15"/>
  <c r="I53" i="15"/>
  <c r="M53" i="15"/>
  <c r="S53" i="15"/>
  <c r="W53" i="15"/>
  <c r="AA53" i="15"/>
  <c r="AF41" i="15"/>
  <c r="AF43" i="15"/>
  <c r="AF45" i="15"/>
  <c r="AF47" i="15"/>
  <c r="AF49" i="15"/>
  <c r="AF38" i="15"/>
  <c r="AF51" i="15"/>
  <c r="O53" i="15"/>
  <c r="D53" i="15"/>
  <c r="H53" i="15"/>
  <c r="L53" i="15"/>
  <c r="P53" i="15"/>
  <c r="T53" i="15"/>
  <c r="Z53" i="15"/>
  <c r="AD53" i="15"/>
  <c r="C53" i="15"/>
  <c r="G53" i="15"/>
  <c r="K53" i="15"/>
  <c r="Q53" i="15"/>
  <c r="U53" i="15"/>
  <c r="Y53" i="15"/>
  <c r="AC53" i="15"/>
  <c r="AF42" i="15"/>
  <c r="AF44" i="15"/>
  <c r="AF46" i="15"/>
  <c r="AF48" i="15"/>
  <c r="AF50" i="15"/>
  <c r="AF40" i="15"/>
  <c r="AF40" i="14"/>
  <c r="AA53" i="14"/>
</calcChain>
</file>

<file path=xl/sharedStrings.xml><?xml version="1.0" encoding="utf-8"?>
<sst xmlns="http://schemas.openxmlformats.org/spreadsheetml/2006/main" count="1233" uniqueCount="192">
  <si>
    <t>BLINDS</t>
  </si>
  <si>
    <t>FIRST HALF OF SEASON</t>
  </si>
  <si>
    <t>TOTAL</t>
  </si>
  <si>
    <t>BLIND 1</t>
  </si>
  <si>
    <t>BLIND 2</t>
  </si>
  <si>
    <t>BLIND 3</t>
  </si>
  <si>
    <t>BLIND 4</t>
  </si>
  <si>
    <t>BLIND 5</t>
  </si>
  <si>
    <t>BLIND 6</t>
  </si>
  <si>
    <t>BLIND 7</t>
  </si>
  <si>
    <t>BLIND 8</t>
  </si>
  <si>
    <t>BLIND 9</t>
  </si>
  <si>
    <t>BLIND 10</t>
  </si>
  <si>
    <t>BLIND 11</t>
  </si>
  <si>
    <t>BLIND 12</t>
  </si>
  <si>
    <t>CANVAS BACK</t>
  </si>
  <si>
    <t>GADWALL</t>
  </si>
  <si>
    <t>BLUEBILL</t>
  </si>
  <si>
    <t>MALLARD</t>
  </si>
  <si>
    <t>PINTAIL</t>
  </si>
  <si>
    <t>REDHEAD</t>
  </si>
  <si>
    <t>RINGNECK</t>
  </si>
  <si>
    <t>SPOONY</t>
  </si>
  <si>
    <t>TEAL</t>
  </si>
  <si>
    <t>WIDGEON</t>
  </si>
  <si>
    <t xml:space="preserve">TOTAL </t>
  </si>
  <si>
    <t>SECOND HALF OF SEASON</t>
  </si>
  <si>
    <t>BUFFLEHEAD</t>
  </si>
  <si>
    <t>TOTAL SEASON</t>
  </si>
  <si>
    <t>GEESE</t>
  </si>
  <si>
    <t>canvasback</t>
  </si>
  <si>
    <t>goose</t>
  </si>
  <si>
    <t>misc.</t>
  </si>
  <si>
    <t>GOOSE</t>
  </si>
  <si>
    <t>RUDDY</t>
  </si>
  <si>
    <t>CANVASBACK</t>
  </si>
  <si>
    <t>MISC</t>
  </si>
  <si>
    <t>OTHER</t>
  </si>
  <si>
    <t>YEAR TOTALS AND PERCENTAGES BY BLIND AND SPECIES</t>
  </si>
  <si>
    <t>BLIND #</t>
  </si>
  <si>
    <t># HUNTERS 1st 1/2</t>
  </si>
  <si>
    <t>BIRD/HUNTER AVE. 1st 1/2</t>
  </si>
  <si>
    <t># HUNTERS 2nd 1/2</t>
  </si>
  <si>
    <t>BIRD/HUNTER AVE. 2nd 1/2</t>
  </si>
  <si>
    <t># HUNTERS TOTAL</t>
  </si>
  <si>
    <t>BIRD/HUNTER AVE. TOTAL</t>
  </si>
  <si>
    <t>BIRDS PER ACRE TOTAL</t>
  </si>
  <si>
    <t>OTHER INFORMATION:</t>
  </si>
  <si>
    <t>% BY BLIND</t>
  </si>
  <si>
    <t>SEASON INFORMATION:</t>
  </si>
  <si>
    <t>5 BIRD LIMIT, 1 PINTAIL, AND NO CANVASBACK</t>
  </si>
  <si>
    <t>FIRST HALF OF SEASON, 10-19-02 T0 12-18-02</t>
  </si>
  <si>
    <t>SECOND HALF OF SEASON, 12-18-02 TO 1-26-03, PLUS YOUTH HUNT 2-1-03 &amp; 2-2-03</t>
  </si>
  <si>
    <t>SPLIT SEASON 10-19-02 TO 11-3-02, AND 11-23-02 TO 1-26-03, PLUS YOUTH HUNT 2-1-03 &amp; 2-2-03</t>
  </si>
  <si>
    <t>81 DAY GENERAL SEASON, 60 DAY PINTAIL (PLUS 2 DAYS FOR YOUTH HUNT)</t>
  </si>
  <si>
    <t>WEATHER-DRY &amp; WARM DURING SEASON, WITH MANY DAYS OF DENSE FOG</t>
  </si>
  <si>
    <t>WATER SUMMARY:</t>
  </si>
  <si>
    <t>Refuge</t>
  </si>
  <si>
    <t>COOTS</t>
  </si>
  <si>
    <t>compare</t>
  </si>
  <si>
    <t>% By</t>
  </si>
  <si>
    <t>Species</t>
  </si>
  <si>
    <t>Kern Refuge:</t>
  </si>
  <si>
    <t>per hunt acres</t>
  </si>
  <si>
    <t>per hunt/closed acres</t>
  </si>
  <si>
    <t>POND RECHARGE-444 GALLONS DIESEL FUEL @$1.10/GAL, LATE NOVEMBER (72 HRS), 1150 GPM, 15 ACRE FEET, $488.40 or $32.04/AF</t>
  </si>
  <si>
    <t>SPRING IRRIGATING-ELEC, 29000KWH, 4-9-02 to 7-10-02 (OFF PEAK HRS), 1150GPM, 65.55 ACRE FEET, TOTAL COST $2,905.34 OR $44.32/AF</t>
  </si>
  <si>
    <t>INITIAL FLOOD UP-5,803 GALS DIESEL FUEL @ $1.10/GAL, 9-6-02 TO 10-18-02 (941 HRS), 1150 GPM, 199.26 ACRE FEET, $6,383.30 or $32.04/AF</t>
  </si>
  <si>
    <t>TOTAL 279.81 AF OR 2.54AF/AC (BASED ON 110 ACRES), $9,777.04 OR $34.94/AF</t>
  </si>
  <si>
    <t>SECOND HALF OF SEASON, 12-18-03 TO 1-25-04, PLUS YOUTH HUNT 1-31-04 &amp; 2-1-04</t>
  </si>
  <si>
    <t>FIRST HALF OF SEASON, 10-18-03 T0 12-17-03</t>
  </si>
  <si>
    <t>7 BIRD LIMIT, 1 PINTAIL, AND 1 CANVASBACK</t>
  </si>
  <si>
    <t>98 DAY GENERAL SEASON, 60 DAY PINTAIL, &amp; 60 CANVASBACK (PLUS 2 DAYS FOR YOUTH HUNT)</t>
  </si>
  <si>
    <t>WEATHER-DRY/AVE. RAIN &amp; WARM DURING SEASON, WITH MANY DAYS OF DENSE FOG</t>
  </si>
  <si>
    <t>SPLIT SEASON 10-18-03 TO 11-19-03, AND 11-21-03 TO 1-25-04, PLUS YOUTH HUNT 1-31-04 &amp; 2-1-04</t>
  </si>
  <si>
    <t xml:space="preserve">NO SPRING IRRIGATING DUE TO NAWCA GRANT CONSTRUCTION.  WATERGRASS WAS IRRIGATED UP THEN WATER DRAINED TO NEXT UNIT, THEN WATERED AGAIN DURING FLOOD UP.  </t>
  </si>
  <si>
    <t>WE USED A COMBINATION OF WELL WATER AND SURFACE WATER (VIA THE NORTH PINTAIL SLOUGH) TO APPLY 471.268 AF OR 1.86 AF/ACRE OF WATER AT A TOTAL COST OF $12,410.49 OR $26.33/AF</t>
  </si>
  <si>
    <t>per hunt acre</t>
  </si>
  <si>
    <t>2003 WE USED 2.54AF/ACRE AT AN AVERAGE COST OF $34.94/AF</t>
  </si>
  <si>
    <t>FIRST HALF OF SEASON, 10-23-04 T0 12-18-04</t>
  </si>
  <si>
    <t>SECOND HALF OF SEASON, 12-19-04 TO 1-30-05, PLUS YOUTH HUNT 2-5-05 &amp; 2-6-05</t>
  </si>
  <si>
    <t>SPLIT SEASON 10-23-04 TO 11-13-04, AND 11-20-04 TO 1-30-05, PLUS YOUTH HUNT 2-5-05 &amp; 2-6-05</t>
  </si>
  <si>
    <t>BLC-South Ave:</t>
  </si>
  <si>
    <t>WEATHER-ABOVE AVE. RAIN &amp; MILD TEMPERATURES DURING SEASON, WITH SEVERAL DAYS OF DENSE FOG</t>
  </si>
  <si>
    <t>SPRING IRRIGATING WAS VERY SUCCESSFUL ON THE NORTH &amp; SOUTH.  WE USED WELL WATER TO APPLY 89 AF OR .36 AF/ACRE OF WATER AT A TOTAL COST OF $6,607.75 OR $74.24/AF.</t>
  </si>
  <si>
    <t>INITIAL FLOOD UP - WE USED WELL WATER TO APPLY 391.31 AF OR 1.56 AF/ACRE OF WATER AT A TOTAL COST OF $28,588.18 OR $73.06/AF.  TOTAL WATER USE FOR 2004/05 SEASON WAS 480.31 AF OR 1.92 AF/ACRE.</t>
  </si>
  <si>
    <t>BLC-S hunter #':</t>
  </si>
  <si>
    <t>2003/04 WE USED 465 AF OR 1.86AF/ACRE AT AN AVERAGE COST OF $26.33/AF (no spring flooding &amp; we had low priced surface water).  AVERAGE FUEL COST $1.15/GALLON, PUMP PRODUCTION OF 1,750GPM.</t>
  </si>
  <si>
    <t>2004/05 AVERAGE FUEL PRICE $1.66/GALLON, PUMP PRODUCTION 1,250GPM (DUE TO LOW WATER TABLE)</t>
  </si>
  <si>
    <r>
      <t xml:space="preserve">FIRST HALF OF SEASON, </t>
    </r>
    <r>
      <rPr>
        <b/>
        <u/>
        <sz val="13"/>
        <rFont val="Arial"/>
        <family val="2"/>
      </rPr>
      <t xml:space="preserve">                                                                 </t>
    </r>
  </si>
  <si>
    <t>Insert dates</t>
  </si>
  <si>
    <t>insert</t>
  </si>
  <si>
    <t>I will update</t>
  </si>
  <si>
    <t>SPLIT SEASON 10-22-05 TO 11-30-05, AND 12-1-05 TO 1-29-06, PLUS YOUTH HUNT 2-4-06 &amp; 2-5-06</t>
  </si>
  <si>
    <t>7 BIRD LIMIT, 1 PINTAIL, AND 1 CANVASBACK.  CANVASBACK OPENED 12-1-05</t>
  </si>
  <si>
    <t>SECOND HALF OF SEASON, insert dates , PLUS YOUTH HUNT  insert dates</t>
  </si>
  <si>
    <t>WEATHER- BELOW AVE. RAIN (COUNTY &amp; STATE) &amp; MILD TEMPERATURES DURING SEASON, WITH SEVERAL DAYS OF DENSE</t>
  </si>
  <si>
    <t xml:space="preserve"> FOG.  HOWEVER ONE RAIN STORM DROPPED 3.5 TO 4 INCHES.</t>
  </si>
  <si>
    <t>B'HEAD</t>
  </si>
  <si>
    <t>10-22-05 TO 12-11-05</t>
  </si>
  <si>
    <r>
      <t xml:space="preserve">12-14-05 TO 1-29-06  </t>
    </r>
    <r>
      <rPr>
        <b/>
        <sz val="13"/>
        <rFont val="Arial"/>
        <family val="2"/>
      </rPr>
      <t>P</t>
    </r>
  </si>
  <si>
    <t xml:space="preserve">                   YOUTH HUNT 2/4/06 AT LEAST 5 BIRDS - NO BLIND INFO</t>
  </si>
  <si>
    <t>MISC-FULVOUS TD</t>
  </si>
  <si>
    <t>The ponds were flooded with surface water.</t>
  </si>
  <si>
    <t>SECOND HALF OF SEASON, 12-13-06 to 2-4-06</t>
  </si>
  <si>
    <r>
      <t>FIRST HALF OF SEASON, 10-7-06 to 12-10-06</t>
    </r>
    <r>
      <rPr>
        <b/>
        <u/>
        <sz val="10"/>
        <rFont val="Arial"/>
        <family val="2"/>
      </rPr>
      <t xml:space="preserve">                                                </t>
    </r>
  </si>
  <si>
    <r>
      <t xml:space="preserve">FIRST HALF OF SEASON, </t>
    </r>
    <r>
      <rPr>
        <b/>
        <u/>
        <sz val="10"/>
        <rFont val="Arial"/>
        <family val="2"/>
      </rPr>
      <t xml:space="preserve">                                           </t>
    </r>
  </si>
  <si>
    <t xml:space="preserve">SECOND HALF OF SEASON, </t>
  </si>
  <si>
    <t xml:space="preserve">                   YOUTH HUNT -------------- </t>
  </si>
  <si>
    <t>The ponds were flooded well water.  We did not flood LIP 40 acres during the season.</t>
  </si>
  <si>
    <t xml:space="preserve">The ponds were flooded well water.  </t>
  </si>
  <si>
    <t>SCAUP</t>
  </si>
  <si>
    <t>Notes - 48% of the ducks harvested this year were in the two weeks from 1/3/10 to 1/16/10.  If you add in opening and closing weekends = 66%</t>
  </si>
  <si>
    <t>The ponds were flooded surface water from north pintail slough.  Spring flooding the well was used.</t>
  </si>
  <si>
    <t>10/9/10 TO 12/8/10</t>
  </si>
  <si>
    <t>12/11/10 TO 2/6/11</t>
  </si>
  <si>
    <t>2/5 &amp;2/6/11</t>
  </si>
  <si>
    <t>10/06/12 to 12/08/12</t>
  </si>
  <si>
    <t>12/9/12 to 1/27/13</t>
  </si>
  <si>
    <t>2/2 &amp; 2/3/13</t>
  </si>
  <si>
    <t>10/18/14 to 12/10/14</t>
  </si>
  <si>
    <t>12/13/14 to 2/1/15</t>
  </si>
  <si>
    <t>1/31 &amp; 2/1/15</t>
  </si>
  <si>
    <t>10/24/15 to 12/13/15</t>
  </si>
  <si>
    <t>12/16/15 to 2/7/16</t>
  </si>
  <si>
    <t>2/6 &amp; 2/7/16</t>
  </si>
  <si>
    <t xml:space="preserve">               YOUTH HUNT -------------- </t>
  </si>
  <si>
    <t>All well water, flooded 260+-acres (all but Hanfrod &amp; Bakersfield ponds).</t>
  </si>
  <si>
    <t>Refuge harvest Info was not avalible at the time this report was put together.</t>
  </si>
  <si>
    <t>Flooded 260+-acres with well water, and 40 acre with late surface water (all but Bakersfield pond flooded).</t>
  </si>
  <si>
    <t>10/22/16 to 12/11/16</t>
  </si>
  <si>
    <t>12/14/16 to1/29/17</t>
  </si>
  <si>
    <t>2/4/17 &amp; 2/5/17</t>
  </si>
  <si>
    <t>Flooded 300+-acres with surface water (all but Bakersfield Flooded)</t>
  </si>
  <si>
    <t>BLC-Han hunter#</t>
  </si>
  <si>
    <t>BLC-Han Ave:</t>
  </si>
  <si>
    <t>WOODY</t>
  </si>
  <si>
    <t>10/21/17 TO 12/13/17</t>
  </si>
  <si>
    <t>12/16/17 TO 1/28/18</t>
  </si>
  <si>
    <t>2/3 &amp; 4/18</t>
  </si>
  <si>
    <t>Bird/Hunter Ave</t>
  </si>
  <si>
    <t>10/20/18 TO 12/9/18</t>
  </si>
  <si>
    <t>12/12/18 TO 1/27/19</t>
  </si>
  <si>
    <t>2/3 &amp; 2/4/19</t>
  </si>
  <si>
    <t>Flooded 300+-acres with mostly well water (all but Bakersfield Flooded).  We had 1 week of district water.  The south well had to be pulled as the bowls wore out.  We purchased peak and part peak water from Pauzza.  By 11-1-18 we had south back up and running.</t>
  </si>
  <si>
    <t>10/19/19 to 12/11/19</t>
  </si>
  <si>
    <t>12/14/19 to 1/31/20</t>
  </si>
  <si>
    <t>2/8 &amp; 2/9</t>
  </si>
  <si>
    <t>per hunt ave</t>
  </si>
  <si>
    <t>BLC Hunter #:</t>
  </si>
  <si>
    <t>BLC- Ave:</t>
  </si>
  <si>
    <t>Flooded 330+-acres with surface water, including the Bakersfield club.   The Bakersfield did not have any blinds nor was it hunted, but the habitat looked promising.</t>
  </si>
  <si>
    <t>Low rainfall season.</t>
  </si>
  <si>
    <t>10-24-2020 to 12-16-2020</t>
  </si>
  <si>
    <t>12-19-20 to 2-14-21</t>
  </si>
  <si>
    <t>2-6 &amp; 2-7-21</t>
  </si>
  <si>
    <r>
      <rPr>
        <b/>
        <sz val="10"/>
        <rFont val="Arial"/>
        <family val="2"/>
      </rPr>
      <t>VETERAN HUNT</t>
    </r>
    <r>
      <rPr>
        <sz val="10"/>
        <rFont val="Arial"/>
        <family val="2"/>
      </rPr>
      <t xml:space="preserve"> 2-13 &amp; 2-14-21</t>
    </r>
  </si>
  <si>
    <t>BLC-Original hunter #':</t>
  </si>
  <si>
    <t>Bird/hunter south Ave:</t>
  </si>
  <si>
    <t>Bird/hunter Han Ave:</t>
  </si>
  <si>
    <t>Bird/hunter Original Ave:</t>
  </si>
  <si>
    <t>Veteran hunt = 112 birds for 19 hunters</t>
  </si>
  <si>
    <t>Junior hunt = 107 birds for 17 hunters</t>
  </si>
  <si>
    <t>Due to COVID-19 Refuge harvest Info was not avalible at the time this report was put together.</t>
  </si>
  <si>
    <t>We had problems with the North well toward the end of flood up.  The pump is being pulled to evaluate the repair needed.</t>
  </si>
  <si>
    <t>N/A</t>
  </si>
  <si>
    <t xml:space="preserve">               YOUTH HUNT</t>
  </si>
  <si>
    <t>Very little cold weather, rain or fog during season.</t>
  </si>
  <si>
    <t>First Veteran Hunt afetr regular season.</t>
  </si>
  <si>
    <t xml:space="preserve">     Rank for Season</t>
  </si>
  <si>
    <t>10-23-2021 to 12-18-2021</t>
  </si>
  <si>
    <t>12-19-21 to 1-31-22</t>
  </si>
  <si>
    <t>2-5 &amp; 2-6-22</t>
  </si>
  <si>
    <r>
      <rPr>
        <b/>
        <sz val="10"/>
        <rFont val="Arial"/>
        <family val="2"/>
      </rPr>
      <t>VETERAN HUNT</t>
    </r>
    <r>
      <rPr>
        <sz val="10"/>
        <rFont val="Arial"/>
        <family val="2"/>
      </rPr>
      <t xml:space="preserve"> 2-12 &amp; 2-13-22</t>
    </r>
  </si>
  <si>
    <t>2nd Veteran Hunt after regular season.</t>
  </si>
  <si>
    <t>Some cold &amp; weather, rain or fog during season.</t>
  </si>
  <si>
    <t>Veteran hunt = 48 birds for 13 hunters</t>
  </si>
  <si>
    <t>Junior hunt = 28 birds for 7 hunters</t>
  </si>
  <si>
    <t>Bird/Gun</t>
  </si>
  <si>
    <t xml:space="preserve">Ponds were flooded with south well and Pauzza well.  We had problems with the south well.  Had to replace lower tube, shaft &amp; bearings.  Then Perforations were plugged, acid cleaned and GPM returned.  </t>
  </si>
  <si>
    <t>3nd Veteran Hunt after regular season.</t>
  </si>
  <si>
    <t>12-17-22 to 1-31-23</t>
  </si>
  <si>
    <t>10-22-22 to 12-14-22</t>
  </si>
  <si>
    <t>Veteran hunt = 45 birds for 10 hunters</t>
  </si>
  <si>
    <t>Junior hunt = 19 birds for 8 hunters</t>
  </si>
  <si>
    <r>
      <rPr>
        <b/>
        <sz val="10"/>
        <rFont val="Arial"/>
        <family val="2"/>
      </rPr>
      <t xml:space="preserve">VETERAN HUNT </t>
    </r>
    <r>
      <rPr>
        <sz val="10"/>
        <rFont val="Arial"/>
        <family val="2"/>
      </rPr>
      <t>2-11-23 &amp; 2-12-23</t>
    </r>
  </si>
  <si>
    <t>2-4-23 &amp; 2-5-23</t>
  </si>
  <si>
    <t>All Ponds were flooded with our south well.  Used pauzza well for a few days before season opener.</t>
  </si>
  <si>
    <t>Dry year early season.   I believe the most significant factor influencing our bird harvest was that fact that we had water when much of the state was bone dry.  The rain &amp; fog began in mid-December and led to some of the most productive shoots &amp; viewing opportunities experienced</t>
  </si>
  <si>
    <t xml:space="preserve"> at the clubsince I became a member 30 years ago.  This opportunity continued through early January.  With the rains Sacramento area, Kern Refuge, Hacienda, Wilbur, and the Lake bottom farmers added competing water supply which eventually spread the birds out for the</t>
  </si>
  <si>
    <t xml:space="preserve"> balance of the season.</t>
  </si>
  <si>
    <t>Refuge harvest Info was not avalible at the time this report was put together.  After annual meeting PKG they provided total and percentages, but not water acres.  This was the first year I am aware of that our bird per gun was greater than Kern Refuge.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</si>
</sst>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9" x14ac:knownFonts="1">
    <font>
      <sz val="10"/>
      <name val="Arial"/>
    </font>
    <font>
      <sz val="10"/>
      <name val="Arial"/>
      <family val="2"/>
    </font>
    <font>
      <b/>
      <sz val="8"/>
      <name val="Arial"/>
      <family val="2"/>
    </font>
    <font>
      <sz val="8"/>
      <name val="Arial"/>
      <family val="2"/>
    </font>
    <font>
      <b/>
      <u/>
      <sz val="8"/>
      <name val="Arial"/>
      <family val="2"/>
    </font>
    <font>
      <b/>
      <sz val="10"/>
      <name val="Arial"/>
      <family val="2"/>
    </font>
    <font>
      <sz val="10"/>
      <name val="Arial"/>
      <family val="2"/>
    </font>
    <font>
      <b/>
      <sz val="13"/>
      <name val="Arial"/>
      <family val="2"/>
    </font>
    <font>
      <sz val="13"/>
      <name val="Arial"/>
      <family val="2"/>
    </font>
    <font>
      <b/>
      <u/>
      <sz val="13"/>
      <name val="Arial"/>
      <family val="2"/>
    </font>
    <font>
      <b/>
      <u/>
      <sz val="10"/>
      <name val="Arial"/>
      <family val="2"/>
    </font>
    <font>
      <b/>
      <sz val="10"/>
      <color rgb="FF00B050"/>
      <name val="Arial"/>
      <family val="2"/>
    </font>
    <font>
      <b/>
      <sz val="10"/>
      <color rgb="FFFFC000"/>
      <name val="Arial"/>
      <family val="2"/>
    </font>
    <font>
      <b/>
      <sz val="10"/>
      <color rgb="FF00B0F0"/>
      <name val="Arial"/>
      <family val="2"/>
    </font>
    <font>
      <b/>
      <sz val="10"/>
      <color rgb="FF0070C0"/>
      <name val="Arial"/>
      <family val="2"/>
    </font>
    <font>
      <b/>
      <sz val="10"/>
      <color theme="9" tint="-0.249977111117893"/>
      <name val="Arial"/>
      <family val="2"/>
    </font>
    <font>
      <b/>
      <sz val="10"/>
      <color rgb="FFFF0000"/>
      <name val="Arial"/>
      <family val="2"/>
    </font>
    <font>
      <b/>
      <sz val="7"/>
      <name val="Arial"/>
      <family val="2"/>
    </font>
    <font>
      <b/>
      <sz val="6"/>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6">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5" fillId="0" borderId="0" xfId="0" applyFont="1"/>
    <xf numFmtId="0" fontId="0" fillId="0" borderId="0" xfId="0" applyAlignment="1">
      <alignment horizontal="center"/>
    </xf>
    <xf numFmtId="0" fontId="5" fillId="0" borderId="0" xfId="0" applyFont="1" applyAlignment="1">
      <alignment horizontal="center"/>
    </xf>
    <xf numFmtId="10" fontId="0" fillId="0" borderId="0" xfId="2" applyNumberFormat="1" applyFont="1" applyAlignment="1">
      <alignment horizontal="center"/>
    </xf>
    <xf numFmtId="2" fontId="0" fillId="0" borderId="0" xfId="0" applyNumberFormat="1" applyAlignment="1">
      <alignment horizontal="center"/>
    </xf>
    <xf numFmtId="0" fontId="5" fillId="0" borderId="1" xfId="0" applyFont="1" applyBorder="1"/>
    <xf numFmtId="0" fontId="0" fillId="0" borderId="2" xfId="0" applyBorder="1"/>
    <xf numFmtId="0" fontId="5" fillId="0" borderId="2" xfId="0" applyFont="1" applyBorder="1" applyAlignment="1">
      <alignment horizontal="center"/>
    </xf>
    <xf numFmtId="0" fontId="5" fillId="0" borderId="3" xfId="0" applyFont="1" applyBorder="1"/>
    <xf numFmtId="0" fontId="5" fillId="0" borderId="2" xfId="0" applyFont="1" applyBorder="1"/>
    <xf numFmtId="0" fontId="5" fillId="0" borderId="4" xfId="0" applyFont="1" applyBorder="1"/>
    <xf numFmtId="43" fontId="0" fillId="0" borderId="0" xfId="1" applyFont="1" applyAlignment="1">
      <alignment horizontal="center"/>
    </xf>
    <xf numFmtId="0" fontId="0" fillId="0" borderId="4" xfId="0" applyBorder="1"/>
    <xf numFmtId="0" fontId="0" fillId="0" borderId="4" xfId="0" applyBorder="1" applyAlignment="1">
      <alignment horizontal="center"/>
    </xf>
    <xf numFmtId="10" fontId="0" fillId="0" borderId="0" xfId="0" applyNumberFormat="1"/>
    <xf numFmtId="0" fontId="5" fillId="0" borderId="5" xfId="0" applyFont="1" applyBorder="1" applyAlignment="1">
      <alignment horizontal="center"/>
    </xf>
    <xf numFmtId="0" fontId="5" fillId="0" borderId="6" xfId="0" applyFont="1" applyBorder="1" applyAlignment="1">
      <alignment horizontal="center"/>
    </xf>
    <xf numFmtId="10" fontId="0" fillId="0" borderId="7" xfId="2" applyNumberFormat="1" applyFont="1" applyBorder="1"/>
    <xf numFmtId="10" fontId="0" fillId="0" borderId="8" xfId="2" applyNumberFormat="1" applyFont="1" applyBorder="1"/>
    <xf numFmtId="10" fontId="0" fillId="0" borderId="9" xfId="2" applyNumberFormat="1" applyFont="1" applyBorder="1"/>
    <xf numFmtId="10" fontId="0" fillId="0" borderId="10" xfId="2" applyNumberFormat="1" applyFont="1" applyBorder="1"/>
    <xf numFmtId="0" fontId="5" fillId="0" borderId="9" xfId="0" applyFont="1" applyBorder="1"/>
    <xf numFmtId="0" fontId="5" fillId="0" borderId="10" xfId="0" applyFont="1" applyBorder="1" applyAlignment="1">
      <alignment horizontal="center"/>
    </xf>
    <xf numFmtId="0" fontId="0" fillId="0" borderId="0" xfId="0" applyAlignment="1">
      <alignment horizontal="left"/>
    </xf>
    <xf numFmtId="0" fontId="5" fillId="0" borderId="0" xfId="0" applyFont="1" applyAlignment="1">
      <alignment horizontal="left"/>
    </xf>
    <xf numFmtId="0" fontId="6" fillId="0" borderId="0" xfId="0" applyFont="1"/>
    <xf numFmtId="0" fontId="7" fillId="0" borderId="0" xfId="0" applyFont="1"/>
    <xf numFmtId="0" fontId="8" fillId="0" borderId="0" xfId="0" applyFont="1"/>
    <xf numFmtId="0" fontId="8" fillId="0" borderId="0" xfId="0" applyFont="1" applyAlignment="1">
      <alignment horizontal="center"/>
    </xf>
    <xf numFmtId="0" fontId="7" fillId="0" borderId="1" xfId="0" applyFont="1" applyBorder="1"/>
    <xf numFmtId="0" fontId="8" fillId="0" borderId="2" xfId="0" applyFont="1" applyBorder="1"/>
    <xf numFmtId="0" fontId="7" fillId="0" borderId="2" xfId="0" applyFont="1" applyBorder="1" applyAlignment="1">
      <alignment horizontal="center"/>
    </xf>
    <xf numFmtId="0" fontId="7" fillId="0" borderId="3" xfId="0" applyFont="1" applyBorder="1"/>
    <xf numFmtId="0" fontId="8" fillId="0" borderId="4" xfId="0" applyFont="1" applyBorder="1" applyAlignment="1">
      <alignment horizontal="center"/>
    </xf>
    <xf numFmtId="0" fontId="8" fillId="0" borderId="4" xfId="0" applyFont="1" applyBorder="1"/>
    <xf numFmtId="0" fontId="7" fillId="0" borderId="0" xfId="0" applyFont="1" applyAlignment="1">
      <alignment horizontal="center"/>
    </xf>
    <xf numFmtId="0" fontId="7" fillId="0" borderId="2" xfId="0" applyFont="1" applyBorder="1"/>
    <xf numFmtId="0" fontId="7" fillId="0" borderId="4" xfId="0" applyFont="1" applyBorder="1"/>
    <xf numFmtId="0" fontId="7" fillId="0" borderId="5" xfId="0" applyFont="1" applyBorder="1" applyAlignment="1">
      <alignment horizontal="center"/>
    </xf>
    <xf numFmtId="0" fontId="7" fillId="0" borderId="6" xfId="0" applyFont="1" applyBorder="1" applyAlignment="1">
      <alignment horizontal="center"/>
    </xf>
    <xf numFmtId="0" fontId="7" fillId="0" borderId="9" xfId="0" applyFont="1" applyBorder="1"/>
    <xf numFmtId="0" fontId="7" fillId="0" borderId="10" xfId="0" applyFont="1" applyBorder="1" applyAlignment="1">
      <alignment horizontal="center"/>
    </xf>
    <xf numFmtId="10" fontId="8" fillId="0" borderId="7" xfId="2" applyNumberFormat="1" applyFont="1" applyBorder="1"/>
    <xf numFmtId="10" fontId="8" fillId="0" borderId="8" xfId="2" applyNumberFormat="1" applyFont="1" applyBorder="1"/>
    <xf numFmtId="0" fontId="8" fillId="0" borderId="10" xfId="0" applyFont="1" applyBorder="1"/>
    <xf numFmtId="10" fontId="8" fillId="0" borderId="9" xfId="2" applyNumberFormat="1" applyFont="1" applyBorder="1"/>
    <xf numFmtId="10" fontId="8" fillId="0" borderId="10" xfId="2" applyNumberFormat="1" applyFont="1" applyBorder="1"/>
    <xf numFmtId="10" fontId="8" fillId="0" borderId="0" xfId="0" applyNumberFormat="1" applyFont="1"/>
    <xf numFmtId="10" fontId="8" fillId="0" borderId="0" xfId="2" applyNumberFormat="1" applyFont="1" applyAlignment="1">
      <alignment horizontal="center"/>
    </xf>
    <xf numFmtId="2" fontId="8" fillId="0" borderId="0" xfId="0" applyNumberFormat="1" applyFont="1" applyAlignment="1">
      <alignment horizontal="center"/>
    </xf>
    <xf numFmtId="0" fontId="7" fillId="0" borderId="0" xfId="0" applyFont="1" applyAlignment="1">
      <alignment horizontal="left"/>
    </xf>
    <xf numFmtId="43" fontId="8" fillId="0" borderId="0" xfId="1" applyFont="1" applyAlignment="1">
      <alignment horizontal="center"/>
    </xf>
    <xf numFmtId="0" fontId="8" fillId="0" borderId="0" xfId="0" applyFont="1" applyAlignment="1">
      <alignment horizontal="left"/>
    </xf>
    <xf numFmtId="0" fontId="7" fillId="0" borderId="4" xfId="0" applyFont="1" applyBorder="1" applyAlignment="1">
      <alignment horizontal="center"/>
    </xf>
    <xf numFmtId="1" fontId="8" fillId="0" borderId="0" xfId="0" applyNumberFormat="1" applyFont="1" applyAlignment="1">
      <alignment horizontal="center"/>
    </xf>
    <xf numFmtId="0" fontId="6" fillId="0" borderId="0" xfId="0" applyFont="1" applyAlignment="1">
      <alignment horizontal="center"/>
    </xf>
    <xf numFmtId="0" fontId="6" fillId="0" borderId="2" xfId="0" applyFont="1" applyBorder="1"/>
    <xf numFmtId="0" fontId="6" fillId="0" borderId="4" xfId="0" applyFont="1" applyBorder="1" applyAlignment="1">
      <alignment horizontal="center"/>
    </xf>
    <xf numFmtId="0" fontId="6" fillId="0" borderId="4" xfId="0" applyFont="1" applyBorder="1"/>
    <xf numFmtId="0" fontId="6" fillId="0" borderId="0" xfId="0" applyFont="1" applyAlignment="1">
      <alignment horizontal="left"/>
    </xf>
    <xf numFmtId="0" fontId="5" fillId="0" borderId="4" xfId="0" applyFont="1" applyBorder="1" applyAlignment="1">
      <alignment horizontal="center"/>
    </xf>
    <xf numFmtId="10" fontId="6" fillId="0" borderId="7" xfId="2" applyNumberFormat="1" applyFont="1" applyBorder="1"/>
    <xf numFmtId="10" fontId="6" fillId="0" borderId="8" xfId="2" applyNumberFormat="1" applyFont="1" applyBorder="1"/>
    <xf numFmtId="0" fontId="6" fillId="0" borderId="10" xfId="0" applyFont="1" applyBorder="1"/>
    <xf numFmtId="10" fontId="6" fillId="0" borderId="9" xfId="2" applyNumberFormat="1" applyFont="1" applyBorder="1"/>
    <xf numFmtId="10" fontId="6" fillId="0" borderId="10" xfId="2" applyNumberFormat="1" applyFont="1" applyBorder="1"/>
    <xf numFmtId="10" fontId="6" fillId="0" borderId="0" xfId="0" applyNumberFormat="1" applyFont="1"/>
    <xf numFmtId="10" fontId="6" fillId="0" borderId="0" xfId="2" applyNumberFormat="1" applyFont="1" applyAlignment="1">
      <alignment horizontal="center"/>
    </xf>
    <xf numFmtId="1" fontId="6" fillId="0" borderId="0" xfId="0" applyNumberFormat="1" applyFont="1" applyAlignment="1">
      <alignment horizontal="center"/>
    </xf>
    <xf numFmtId="2" fontId="6" fillId="0" borderId="0" xfId="0" applyNumberFormat="1" applyFont="1" applyAlignment="1">
      <alignment horizontal="center"/>
    </xf>
    <xf numFmtId="43" fontId="6" fillId="0" borderId="0" xfId="1" applyFont="1" applyAlignment="1">
      <alignment horizontal="center"/>
    </xf>
    <xf numFmtId="0" fontId="2" fillId="0" borderId="0" xfId="0" applyFont="1" applyAlignment="1">
      <alignment horizontal="left"/>
    </xf>
    <xf numFmtId="0" fontId="6" fillId="0" borderId="6" xfId="0" applyFont="1" applyBorder="1"/>
    <xf numFmtId="0" fontId="6" fillId="0" borderId="8" xfId="0" applyFont="1" applyBorder="1"/>
    <xf numFmtId="0" fontId="6" fillId="0" borderId="3" xfId="0" applyFont="1" applyBorder="1"/>
    <xf numFmtId="0" fontId="6" fillId="2" borderId="0" xfId="0" applyFont="1" applyFill="1" applyAlignment="1">
      <alignment horizontal="center"/>
    </xf>
    <xf numFmtId="0" fontId="6" fillId="2" borderId="0" xfId="0" applyFont="1" applyFill="1" applyAlignment="1">
      <alignment horizontal="left"/>
    </xf>
    <xf numFmtId="0" fontId="6" fillId="3" borderId="0" xfId="0" applyFont="1" applyFill="1" applyAlignment="1">
      <alignment horizontal="left"/>
    </xf>
    <xf numFmtId="0" fontId="6" fillId="3" borderId="11" xfId="0" applyFont="1" applyFill="1" applyBorder="1" applyAlignment="1">
      <alignment horizontal="left"/>
    </xf>
    <xf numFmtId="10" fontId="6" fillId="0" borderId="0" xfId="2" applyNumberFormat="1" applyFont="1"/>
    <xf numFmtId="0" fontId="6" fillId="3" borderId="0" xfId="0" applyFont="1" applyFill="1" applyAlignment="1">
      <alignment horizontal="center"/>
    </xf>
    <xf numFmtId="10" fontId="6" fillId="0" borderId="4" xfId="2" applyNumberFormat="1" applyFont="1" applyBorder="1"/>
    <xf numFmtId="2" fontId="5" fillId="0" borderId="0" xfId="0" applyNumberFormat="1" applyFont="1" applyAlignment="1">
      <alignment horizontal="center"/>
    </xf>
    <xf numFmtId="0" fontId="6" fillId="0" borderId="4" xfId="0" applyFont="1" applyBorder="1" applyAlignment="1">
      <alignment horizontal="left"/>
    </xf>
    <xf numFmtId="10" fontId="11" fillId="0" borderId="0" xfId="2" applyNumberFormat="1" applyFont="1" applyAlignment="1">
      <alignment horizontal="center"/>
    </xf>
    <xf numFmtId="10" fontId="12" fillId="0" borderId="0" xfId="2" applyNumberFormat="1" applyFont="1" applyAlignment="1">
      <alignment horizontal="center"/>
    </xf>
    <xf numFmtId="10" fontId="13" fillId="0" borderId="0" xfId="2" applyNumberFormat="1" applyFont="1"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0" xfId="0" applyFont="1" applyAlignment="1">
      <alignment horizontal="left"/>
    </xf>
    <xf numFmtId="0" fontId="1" fillId="0" borderId="4" xfId="0" applyFont="1" applyBorder="1" applyAlignment="1">
      <alignment horizontal="left"/>
    </xf>
    <xf numFmtId="10" fontId="14" fillId="0" borderId="0" xfId="2" applyNumberFormat="1" applyFont="1" applyAlignment="1">
      <alignment horizontal="center"/>
    </xf>
    <xf numFmtId="10" fontId="1" fillId="0" borderId="0" xfId="2" applyNumberFormat="1" applyAlignment="1">
      <alignment horizontal="center"/>
    </xf>
    <xf numFmtId="10" fontId="15" fillId="0" borderId="0" xfId="2" applyNumberFormat="1" applyFont="1" applyAlignment="1">
      <alignment horizontal="center"/>
    </xf>
    <xf numFmtId="0" fontId="1" fillId="0" borderId="0" xfId="0" applyFont="1"/>
    <xf numFmtId="0" fontId="1" fillId="0" borderId="2" xfId="0" applyFont="1" applyBorder="1"/>
    <xf numFmtId="0" fontId="1" fillId="0" borderId="8" xfId="0" applyFont="1" applyBorder="1"/>
    <xf numFmtId="0" fontId="1" fillId="0" borderId="10" xfId="0" applyFont="1" applyBorder="1"/>
    <xf numFmtId="0" fontId="1" fillId="0" borderId="6" xfId="0" applyFont="1" applyBorder="1"/>
    <xf numFmtId="10" fontId="1" fillId="0" borderId="8" xfId="2" applyNumberFormat="1" applyFont="1" applyBorder="1" applyAlignment="1"/>
    <xf numFmtId="10" fontId="1" fillId="0" borderId="10" xfId="2" applyNumberFormat="1" applyFont="1" applyBorder="1" applyAlignment="1"/>
    <xf numFmtId="10" fontId="1" fillId="0" borderId="0" xfId="0" applyNumberFormat="1" applyFont="1"/>
    <xf numFmtId="10" fontId="1" fillId="0" borderId="0" xfId="2" applyNumberFormat="1" applyFont="1" applyAlignment="1">
      <alignment horizontal="center"/>
    </xf>
    <xf numFmtId="1" fontId="1" fillId="0" borderId="0" xfId="0" applyNumberFormat="1" applyFont="1" applyAlignment="1">
      <alignment horizontal="center"/>
    </xf>
    <xf numFmtId="2" fontId="1" fillId="0" borderId="0" xfId="0" applyNumberFormat="1" applyFont="1" applyAlignment="1">
      <alignment horizontal="center"/>
    </xf>
    <xf numFmtId="43" fontId="1" fillId="0" borderId="0" xfId="1" applyFont="1" applyAlignment="1">
      <alignment horizontal="center"/>
    </xf>
    <xf numFmtId="0" fontId="1" fillId="0" borderId="11" xfId="0" applyFont="1" applyBorder="1" applyAlignment="1">
      <alignment horizontal="left"/>
    </xf>
    <xf numFmtId="0" fontId="16" fillId="0" borderId="0" xfId="0" applyFont="1" applyAlignment="1">
      <alignment horizontal="center"/>
    </xf>
    <xf numFmtId="0" fontId="16" fillId="0" borderId="0" xfId="0" applyFont="1"/>
    <xf numFmtId="10" fontId="1" fillId="0" borderId="7" xfId="2" applyNumberFormat="1" applyFont="1" applyBorder="1" applyAlignment="1"/>
    <xf numFmtId="10" fontId="1" fillId="0" borderId="9" xfId="2" applyNumberFormat="1" applyFont="1" applyBorder="1" applyAlignment="1"/>
    <xf numFmtId="10" fontId="1" fillId="0" borderId="4" xfId="2" applyNumberFormat="1" applyFont="1" applyBorder="1" applyAlignment="1"/>
    <xf numFmtId="0" fontId="17" fillId="0" borderId="0" xfId="0" applyFont="1" applyAlignment="1">
      <alignment horizontal="left"/>
    </xf>
    <xf numFmtId="0" fontId="18" fillId="0" borderId="0" xfId="0" applyFont="1" applyAlignment="1">
      <alignment horizontal="left"/>
    </xf>
    <xf numFmtId="14" fontId="1" fillId="0" borderId="0" xfId="0" applyNumberFormat="1" applyFont="1" applyAlignment="1">
      <alignment horizontal="left"/>
    </xf>
    <xf numFmtId="0" fontId="2" fillId="0" borderId="3" xfId="0" applyFont="1" applyBorder="1"/>
    <xf numFmtId="0" fontId="1" fillId="0" borderId="14" xfId="0" applyFont="1" applyBorder="1"/>
    <xf numFmtId="0" fontId="1" fillId="0" borderId="14" xfId="0" applyFont="1" applyBorder="1" applyAlignment="1">
      <alignment horizontal="center"/>
    </xf>
    <xf numFmtId="0" fontId="1" fillId="0" borderId="12" xfId="0" applyFont="1" applyBorder="1"/>
    <xf numFmtId="0" fontId="1" fillId="0" borderId="16" xfId="0" applyFont="1" applyBorder="1"/>
    <xf numFmtId="0" fontId="1" fillId="0" borderId="16" xfId="0" applyFont="1" applyBorder="1" applyAlignment="1">
      <alignment horizontal="center"/>
    </xf>
    <xf numFmtId="0" fontId="1" fillId="0" borderId="15" xfId="0" applyFont="1" applyBorder="1"/>
    <xf numFmtId="0" fontId="1" fillId="0" borderId="17" xfId="0" applyFont="1" applyBorder="1"/>
    <xf numFmtId="0" fontId="1" fillId="0" borderId="4" xfId="0" applyFont="1" applyBorder="1"/>
    <xf numFmtId="10" fontId="1" fillId="0" borderId="16" xfId="2" applyNumberFormat="1" applyFont="1" applyBorder="1" applyAlignment="1"/>
    <xf numFmtId="10" fontId="1" fillId="0" borderId="15" xfId="2" applyNumberFormat="1" applyFont="1" applyBorder="1" applyAlignment="1"/>
    <xf numFmtId="0" fontId="2" fillId="0" borderId="2" xfId="0" applyFont="1" applyBorder="1"/>
    <xf numFmtId="10" fontId="1" fillId="0" borderId="11" xfId="2" applyNumberFormat="1" applyFont="1" applyBorder="1" applyAlignment="1"/>
    <xf numFmtId="10" fontId="1" fillId="0" borderId="13" xfId="2" applyNumberFormat="1" applyFont="1" applyBorder="1" applyAlignment="1"/>
    <xf numFmtId="0" fontId="1" fillId="0" borderId="11" xfId="0" applyFont="1" applyBorder="1" applyAlignment="1">
      <alignment horizontal="center"/>
    </xf>
    <xf numFmtId="164" fontId="1" fillId="0" borderId="0" xfId="0" applyNumberFormat="1" applyFont="1" applyAlignment="1">
      <alignment horizontal="center"/>
    </xf>
  </cellXfs>
  <cellStyles count="3">
    <cellStyle name="Comma" xfId="1" builtinId="3"/>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stewart/AppData/Local/Microsoft/Windows/INetCache/Content.Outlook/6WAJUBNC/2017%20Kern%20Annual%20Hunt%20Results%20Draf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es"/>
      <sheetName val="Totals"/>
    </sheetNames>
    <sheetDataSet>
      <sheetData sheetId="0" refreshError="1">
        <row r="40">
          <cell r="C40">
            <v>3.2474408753971055E-2</v>
          </cell>
          <cell r="D40">
            <v>0.15837157312625014</v>
          </cell>
          <cell r="E40">
            <v>4.8593952229674081E-2</v>
          </cell>
          <cell r="F40">
            <v>6.6243087422049651E-2</v>
          </cell>
          <cell r="G40">
            <v>0.15260618896340747</v>
          </cell>
          <cell r="H40">
            <v>0.10813036827862102</v>
          </cell>
          <cell r="I40">
            <v>0.29356394869984703</v>
          </cell>
          <cell r="J40">
            <v>6.6478409224614662E-2</v>
          </cell>
          <cell r="K40">
            <v>4.8240969525826568E-3</v>
          </cell>
          <cell r="M40">
            <v>1.4119308153900459E-3</v>
          </cell>
          <cell r="N40">
            <v>2.7179668196258382E-2</v>
          </cell>
          <cell r="P40">
            <v>5.5300623602776797E-3</v>
          </cell>
          <cell r="Q40">
            <v>1.4119308153900459E-3</v>
          </cell>
          <cell r="S40">
            <v>1.5295917166725497E-3</v>
          </cell>
          <cell r="AC40">
            <v>2.8238616307800918E-3</v>
          </cell>
        </row>
      </sheetData>
      <sheetData sheetId="1" refreshError="1">
        <row r="4">
          <cell r="H4">
            <v>3.1183108846013834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9"/>
  <sheetViews>
    <sheetView workbookViewId="0">
      <selection activeCell="G31" sqref="G31"/>
    </sheetView>
  </sheetViews>
  <sheetFormatPr defaultColWidth="9.1171875" defaultRowHeight="10.35" x14ac:dyDescent="0.35"/>
  <cols>
    <col min="1" max="1" width="14.41015625" style="1" customWidth="1"/>
    <col min="2" max="2" width="4.52734375" style="2" customWidth="1"/>
    <col min="3" max="3" width="8.29296875" style="2" customWidth="1"/>
    <col min="4" max="4" width="7.87890625" style="2" customWidth="1"/>
    <col min="5" max="5" width="8.1171875" style="2" customWidth="1"/>
    <col min="6" max="7" width="8" style="2" customWidth="1"/>
    <col min="8" max="8" width="7.703125" style="2" customWidth="1"/>
    <col min="9" max="9" width="8.29296875" style="2" customWidth="1"/>
    <col min="10" max="10" width="8" style="2" customWidth="1"/>
    <col min="11" max="11" width="7.29296875" style="2" customWidth="1"/>
    <col min="12" max="12" width="8.1171875" style="2" customWidth="1"/>
    <col min="13" max="13" width="7.87890625" style="2" customWidth="1"/>
    <col min="14" max="14" width="8.29296875" style="2" customWidth="1"/>
    <col min="15" max="15" width="8.703125" style="2" customWidth="1"/>
    <col min="16" max="16384" width="9.1171875" style="2"/>
  </cols>
  <sheetData>
    <row r="1" spans="1:15" ht="14.25" customHeight="1" x14ac:dyDescent="0.35">
      <c r="D1" s="1" t="s">
        <v>0</v>
      </c>
    </row>
    <row r="2" spans="1:15" ht="14.25" customHeight="1" x14ac:dyDescent="0.35">
      <c r="D2" s="3" t="s">
        <v>1</v>
      </c>
    </row>
    <row r="3" spans="1:15" ht="9" customHeight="1" x14ac:dyDescent="0.35">
      <c r="O3" s="3" t="s">
        <v>2</v>
      </c>
    </row>
    <row r="4" spans="1:15" s="1" customFormat="1" x14ac:dyDescent="0.35">
      <c r="C4" s="1" t="s">
        <v>3</v>
      </c>
      <c r="D4" s="1" t="s">
        <v>4</v>
      </c>
      <c r="E4" s="1" t="s">
        <v>5</v>
      </c>
      <c r="F4" s="1" t="s">
        <v>6</v>
      </c>
      <c r="G4" s="1" t="s">
        <v>7</v>
      </c>
      <c r="H4" s="1" t="s">
        <v>8</v>
      </c>
      <c r="I4" s="1" t="s">
        <v>9</v>
      </c>
      <c r="J4" s="1" t="s">
        <v>10</v>
      </c>
      <c r="K4" s="1" t="s">
        <v>11</v>
      </c>
      <c r="L4" s="1" t="s">
        <v>12</v>
      </c>
      <c r="M4" s="1" t="s">
        <v>13</v>
      </c>
      <c r="N4" s="1" t="s">
        <v>14</v>
      </c>
    </row>
    <row r="6" spans="1:15" x14ac:dyDescent="0.35">
      <c r="A6" s="1" t="s">
        <v>16</v>
      </c>
      <c r="F6" s="2">
        <v>3</v>
      </c>
      <c r="G6" s="2">
        <v>6</v>
      </c>
      <c r="I6" s="2">
        <v>1</v>
      </c>
      <c r="L6" s="2">
        <v>1</v>
      </c>
      <c r="O6" s="2">
        <f t="shared" ref="O6:O19" si="0">SUM(C6:N6)</f>
        <v>11</v>
      </c>
    </row>
    <row r="7" spans="1:15" x14ac:dyDescent="0.35">
      <c r="A7" s="1" t="s">
        <v>17</v>
      </c>
      <c r="O7" s="2">
        <f t="shared" si="0"/>
        <v>0</v>
      </c>
    </row>
    <row r="8" spans="1:15" x14ac:dyDescent="0.35">
      <c r="A8" s="1" t="s">
        <v>18</v>
      </c>
      <c r="D8" s="2">
        <v>1</v>
      </c>
      <c r="I8" s="2">
        <v>2</v>
      </c>
      <c r="L8" s="2">
        <v>1</v>
      </c>
      <c r="O8" s="2">
        <f t="shared" si="0"/>
        <v>4</v>
      </c>
    </row>
    <row r="9" spans="1:15" x14ac:dyDescent="0.35">
      <c r="A9" s="1" t="s">
        <v>19</v>
      </c>
      <c r="D9" s="2">
        <v>1</v>
      </c>
      <c r="F9" s="2">
        <v>5</v>
      </c>
      <c r="G9" s="2">
        <v>5</v>
      </c>
      <c r="I9" s="2">
        <v>3</v>
      </c>
      <c r="L9" s="2">
        <v>2</v>
      </c>
      <c r="O9" s="2">
        <f t="shared" si="0"/>
        <v>16</v>
      </c>
    </row>
    <row r="10" spans="1:15" x14ac:dyDescent="0.35">
      <c r="A10" s="1" t="s">
        <v>20</v>
      </c>
      <c r="O10" s="2">
        <f t="shared" si="0"/>
        <v>0</v>
      </c>
    </row>
    <row r="11" spans="1:15" x14ac:dyDescent="0.35">
      <c r="A11" s="1" t="s">
        <v>21</v>
      </c>
      <c r="O11" s="2">
        <f t="shared" si="0"/>
        <v>0</v>
      </c>
    </row>
    <row r="12" spans="1:15" x14ac:dyDescent="0.35">
      <c r="A12" s="1" t="s">
        <v>30</v>
      </c>
      <c r="E12" s="2">
        <v>1</v>
      </c>
      <c r="G12" s="2">
        <v>1</v>
      </c>
      <c r="I12" s="2">
        <v>2</v>
      </c>
      <c r="O12" s="2">
        <f t="shared" si="0"/>
        <v>4</v>
      </c>
    </row>
    <row r="13" spans="1:15" x14ac:dyDescent="0.35">
      <c r="A13" s="1" t="s">
        <v>22</v>
      </c>
      <c r="D13" s="2">
        <v>1</v>
      </c>
      <c r="E13" s="2">
        <v>1</v>
      </c>
      <c r="F13" s="2">
        <v>6</v>
      </c>
      <c r="G13" s="2">
        <v>13</v>
      </c>
      <c r="I13" s="2">
        <v>14</v>
      </c>
      <c r="L13" s="2">
        <v>9</v>
      </c>
      <c r="M13" s="2">
        <v>1</v>
      </c>
      <c r="O13" s="2">
        <f t="shared" si="0"/>
        <v>45</v>
      </c>
    </row>
    <row r="14" spans="1:15" x14ac:dyDescent="0.35">
      <c r="A14" s="1" t="s">
        <v>23</v>
      </c>
      <c r="E14" s="2">
        <v>3</v>
      </c>
      <c r="F14" s="2">
        <v>6</v>
      </c>
      <c r="G14" s="2">
        <v>15</v>
      </c>
      <c r="I14" s="2">
        <v>10</v>
      </c>
      <c r="L14" s="2">
        <v>9</v>
      </c>
      <c r="O14" s="2">
        <f t="shared" si="0"/>
        <v>43</v>
      </c>
    </row>
    <row r="15" spans="1:15" x14ac:dyDescent="0.35">
      <c r="A15" s="1" t="s">
        <v>24</v>
      </c>
      <c r="F15" s="2">
        <v>1</v>
      </c>
      <c r="G15" s="2">
        <v>3</v>
      </c>
      <c r="I15" s="2">
        <v>2</v>
      </c>
      <c r="O15" s="2">
        <f t="shared" si="0"/>
        <v>6</v>
      </c>
    </row>
    <row r="16" spans="1:15" x14ac:dyDescent="0.35">
      <c r="A16" s="1" t="s">
        <v>29</v>
      </c>
      <c r="O16" s="2">
        <f t="shared" si="0"/>
        <v>0</v>
      </c>
    </row>
    <row r="17" spans="1:15" x14ac:dyDescent="0.35">
      <c r="A17" s="1" t="s">
        <v>27</v>
      </c>
      <c r="L17" s="2">
        <v>3</v>
      </c>
      <c r="O17" s="2">
        <f t="shared" si="0"/>
        <v>3</v>
      </c>
    </row>
    <row r="19" spans="1:15" x14ac:dyDescent="0.35">
      <c r="A19" s="1" t="s">
        <v>25</v>
      </c>
      <c r="C19" s="2">
        <f t="shared" ref="C19:N19" si="1">SUM(C6:C17)</f>
        <v>0</v>
      </c>
      <c r="D19" s="2">
        <f t="shared" si="1"/>
        <v>3</v>
      </c>
      <c r="E19" s="2">
        <f t="shared" si="1"/>
        <v>5</v>
      </c>
      <c r="F19" s="2">
        <f t="shared" si="1"/>
        <v>21</v>
      </c>
      <c r="G19" s="2">
        <f t="shared" si="1"/>
        <v>43</v>
      </c>
      <c r="H19" s="2">
        <f t="shared" si="1"/>
        <v>0</v>
      </c>
      <c r="I19" s="2">
        <f t="shared" si="1"/>
        <v>34</v>
      </c>
      <c r="J19" s="2">
        <f t="shared" si="1"/>
        <v>0</v>
      </c>
      <c r="K19" s="2">
        <f t="shared" si="1"/>
        <v>0</v>
      </c>
      <c r="L19" s="2">
        <f t="shared" si="1"/>
        <v>25</v>
      </c>
      <c r="M19" s="2">
        <f t="shared" si="1"/>
        <v>1</v>
      </c>
      <c r="N19" s="2">
        <f t="shared" si="1"/>
        <v>0</v>
      </c>
      <c r="O19" s="2">
        <f t="shared" si="0"/>
        <v>132</v>
      </c>
    </row>
    <row r="21" spans="1:15" ht="14.25" customHeight="1" x14ac:dyDescent="0.35">
      <c r="D21" s="1" t="s">
        <v>0</v>
      </c>
    </row>
    <row r="22" spans="1:15" ht="14.25" customHeight="1" x14ac:dyDescent="0.35">
      <c r="D22" s="3" t="s">
        <v>26</v>
      </c>
    </row>
    <row r="23" spans="1:15" ht="12" customHeight="1" x14ac:dyDescent="0.35">
      <c r="O23" s="1" t="s">
        <v>2</v>
      </c>
    </row>
    <row r="24" spans="1:15" s="1" customFormat="1" x14ac:dyDescent="0.35">
      <c r="C24" s="1" t="s">
        <v>3</v>
      </c>
      <c r="D24" s="1" t="s">
        <v>4</v>
      </c>
      <c r="E24" s="1" t="s">
        <v>5</v>
      </c>
      <c r="F24" s="1" t="s">
        <v>6</v>
      </c>
      <c r="G24" s="1" t="s">
        <v>7</v>
      </c>
      <c r="H24" s="1" t="s">
        <v>8</v>
      </c>
      <c r="I24" s="1" t="s">
        <v>9</v>
      </c>
      <c r="J24" s="1" t="s">
        <v>10</v>
      </c>
      <c r="K24" s="1" t="s">
        <v>11</v>
      </c>
      <c r="L24" s="1" t="s">
        <v>12</v>
      </c>
      <c r="M24" s="1" t="s">
        <v>13</v>
      </c>
      <c r="N24" s="1" t="s">
        <v>14</v>
      </c>
    </row>
    <row r="26" spans="1:15" x14ac:dyDescent="0.35">
      <c r="A26" s="1" t="s">
        <v>15</v>
      </c>
      <c r="O26" s="2">
        <f>SUM(C26:N26)</f>
        <v>0</v>
      </c>
    </row>
    <row r="27" spans="1:15" x14ac:dyDescent="0.35">
      <c r="A27" s="1" t="s">
        <v>16</v>
      </c>
      <c r="D27" s="2">
        <v>1</v>
      </c>
      <c r="F27" s="2">
        <v>1</v>
      </c>
      <c r="G27" s="2">
        <v>2</v>
      </c>
      <c r="I27" s="2">
        <v>1</v>
      </c>
      <c r="O27" s="2">
        <f t="shared" ref="O27:O36" si="2">SUM(C27:N27)</f>
        <v>5</v>
      </c>
    </row>
    <row r="28" spans="1:15" x14ac:dyDescent="0.35">
      <c r="A28" s="1" t="s">
        <v>17</v>
      </c>
      <c r="G28" s="2">
        <v>1</v>
      </c>
      <c r="O28" s="2">
        <f t="shared" si="2"/>
        <v>1</v>
      </c>
    </row>
    <row r="29" spans="1:15" x14ac:dyDescent="0.35">
      <c r="A29" s="1" t="s">
        <v>18</v>
      </c>
      <c r="G29" s="2">
        <v>2</v>
      </c>
      <c r="I29" s="2">
        <v>2</v>
      </c>
      <c r="O29" s="2">
        <f t="shared" si="2"/>
        <v>4</v>
      </c>
    </row>
    <row r="30" spans="1:15" x14ac:dyDescent="0.35">
      <c r="A30" s="1" t="s">
        <v>19</v>
      </c>
      <c r="D30" s="2">
        <v>2</v>
      </c>
      <c r="E30" s="2">
        <v>1</v>
      </c>
      <c r="F30" s="2">
        <v>7</v>
      </c>
      <c r="G30" s="2">
        <v>19</v>
      </c>
      <c r="I30" s="2">
        <v>5</v>
      </c>
      <c r="O30" s="2">
        <f t="shared" si="2"/>
        <v>34</v>
      </c>
    </row>
    <row r="31" spans="1:15" x14ac:dyDescent="0.35">
      <c r="A31" s="1" t="s">
        <v>21</v>
      </c>
      <c r="O31" s="2">
        <f t="shared" si="2"/>
        <v>0</v>
      </c>
    </row>
    <row r="32" spans="1:15" x14ac:dyDescent="0.35">
      <c r="A32" s="1" t="s">
        <v>31</v>
      </c>
      <c r="F32" s="2">
        <v>1</v>
      </c>
      <c r="G32" s="2">
        <v>2</v>
      </c>
      <c r="I32" s="2">
        <v>2</v>
      </c>
      <c r="O32" s="2">
        <f t="shared" si="2"/>
        <v>5</v>
      </c>
    </row>
    <row r="33" spans="1:15" x14ac:dyDescent="0.35">
      <c r="A33" s="1" t="s">
        <v>22</v>
      </c>
      <c r="E33" s="2">
        <v>1</v>
      </c>
      <c r="F33" s="2">
        <v>5</v>
      </c>
      <c r="G33" s="2">
        <v>7</v>
      </c>
      <c r="H33" s="2">
        <v>2</v>
      </c>
      <c r="I33" s="2">
        <v>4</v>
      </c>
      <c r="K33" s="2">
        <v>3</v>
      </c>
      <c r="O33" s="2">
        <f t="shared" si="2"/>
        <v>22</v>
      </c>
    </row>
    <row r="34" spans="1:15" x14ac:dyDescent="0.35">
      <c r="A34" s="1" t="s">
        <v>23</v>
      </c>
      <c r="D34" s="2">
        <v>21</v>
      </c>
      <c r="E34" s="2">
        <v>7</v>
      </c>
      <c r="F34" s="2">
        <v>26</v>
      </c>
      <c r="G34" s="2">
        <v>54</v>
      </c>
      <c r="H34" s="2">
        <v>2</v>
      </c>
      <c r="I34" s="2">
        <v>41</v>
      </c>
      <c r="K34" s="2">
        <v>19</v>
      </c>
      <c r="L34" s="2">
        <v>16</v>
      </c>
      <c r="M34" s="2">
        <v>3</v>
      </c>
      <c r="O34" s="2">
        <f t="shared" si="2"/>
        <v>189</v>
      </c>
    </row>
    <row r="35" spans="1:15" x14ac:dyDescent="0.35">
      <c r="A35" s="1" t="s">
        <v>24</v>
      </c>
      <c r="F35" s="2">
        <v>3</v>
      </c>
      <c r="G35" s="2">
        <v>3</v>
      </c>
      <c r="I35" s="2">
        <v>3</v>
      </c>
      <c r="L35" s="2">
        <v>2</v>
      </c>
      <c r="O35" s="2">
        <f t="shared" si="2"/>
        <v>11</v>
      </c>
    </row>
    <row r="36" spans="1:15" x14ac:dyDescent="0.35">
      <c r="A36" s="1" t="s">
        <v>27</v>
      </c>
      <c r="F36" s="2">
        <v>1</v>
      </c>
      <c r="O36" s="2">
        <f t="shared" si="2"/>
        <v>1</v>
      </c>
    </row>
    <row r="38" spans="1:15" ht="15.75" customHeight="1" x14ac:dyDescent="0.35">
      <c r="A38" s="1" t="s">
        <v>25</v>
      </c>
      <c r="C38" s="2">
        <f t="shared" ref="C38:O38" si="3">SUM(C26:C36)</f>
        <v>0</v>
      </c>
      <c r="D38" s="2">
        <f t="shared" si="3"/>
        <v>24</v>
      </c>
      <c r="E38" s="2">
        <f t="shared" si="3"/>
        <v>9</v>
      </c>
      <c r="F38" s="2">
        <f t="shared" si="3"/>
        <v>44</v>
      </c>
      <c r="G38" s="2">
        <f t="shared" si="3"/>
        <v>90</v>
      </c>
      <c r="H38" s="2">
        <f t="shared" si="3"/>
        <v>4</v>
      </c>
      <c r="I38" s="2">
        <f t="shared" si="3"/>
        <v>58</v>
      </c>
      <c r="J38" s="2">
        <f t="shared" si="3"/>
        <v>0</v>
      </c>
      <c r="K38" s="2">
        <f t="shared" si="3"/>
        <v>22</v>
      </c>
      <c r="L38" s="2">
        <f t="shared" si="3"/>
        <v>18</v>
      </c>
      <c r="M38" s="2">
        <f t="shared" si="3"/>
        <v>3</v>
      </c>
      <c r="N38" s="2">
        <f t="shared" si="3"/>
        <v>0</v>
      </c>
      <c r="O38" s="2">
        <f t="shared" si="3"/>
        <v>272</v>
      </c>
    </row>
    <row r="39" spans="1:15" ht="21.75" customHeight="1" x14ac:dyDescent="0.35">
      <c r="A39" s="4" t="s">
        <v>28</v>
      </c>
      <c r="C39" s="2">
        <f t="shared" ref="C39:O39" si="4">SUM(C19+C38)</f>
        <v>0</v>
      </c>
      <c r="D39" s="2">
        <f t="shared" si="4"/>
        <v>27</v>
      </c>
      <c r="E39" s="2">
        <f t="shared" si="4"/>
        <v>14</v>
      </c>
      <c r="F39" s="2">
        <f t="shared" si="4"/>
        <v>65</v>
      </c>
      <c r="G39" s="2">
        <f t="shared" si="4"/>
        <v>133</v>
      </c>
      <c r="H39" s="2">
        <f t="shared" si="4"/>
        <v>4</v>
      </c>
      <c r="I39" s="2">
        <f t="shared" si="4"/>
        <v>92</v>
      </c>
      <c r="J39" s="2">
        <f t="shared" si="4"/>
        <v>0</v>
      </c>
      <c r="K39" s="2">
        <f t="shared" si="4"/>
        <v>22</v>
      </c>
      <c r="L39" s="2">
        <f t="shared" si="4"/>
        <v>43</v>
      </c>
      <c r="M39" s="2">
        <f t="shared" si="4"/>
        <v>4</v>
      </c>
      <c r="N39" s="2">
        <f t="shared" si="4"/>
        <v>0</v>
      </c>
      <c r="O39" s="2">
        <f t="shared" si="4"/>
        <v>404</v>
      </c>
    </row>
  </sheetData>
  <phoneticPr fontId="0" type="noConversion"/>
  <printOptions gridLines="1" gridLinesSet="0"/>
  <pageMargins left="0.75" right="0.75" top="1" bottom="1" header="0.5" footer="0.5"/>
  <pageSetup orientation="landscape"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39"/>
  <sheetViews>
    <sheetView topLeftCell="A3" workbookViewId="0">
      <selection activeCell="E38" sqref="E38"/>
    </sheetView>
  </sheetViews>
  <sheetFormatPr defaultColWidth="9.1171875" defaultRowHeight="10.35" x14ac:dyDescent="0.35"/>
  <cols>
    <col min="1" max="1" width="14.41015625" style="1" customWidth="1"/>
    <col min="2" max="2" width="4.52734375" style="2" customWidth="1"/>
    <col min="3" max="3" width="8.29296875" style="2" customWidth="1"/>
    <col min="4" max="4" width="7.87890625" style="2" customWidth="1"/>
    <col min="5" max="5" width="8.1171875" style="2" customWidth="1"/>
    <col min="6" max="7" width="8" style="2" customWidth="1"/>
    <col min="8" max="8" width="7.703125" style="2" customWidth="1"/>
    <col min="9" max="9" width="8.29296875" style="2" customWidth="1"/>
    <col min="10" max="10" width="8" style="2" customWidth="1"/>
    <col min="11" max="11" width="7.29296875" style="2" customWidth="1"/>
    <col min="12" max="12" width="8.1171875" style="2" customWidth="1"/>
    <col min="13" max="13" width="7.87890625" style="2" customWidth="1"/>
    <col min="14" max="14" width="8.29296875" style="2" customWidth="1"/>
    <col min="15" max="15" width="8.703125" style="2" customWidth="1"/>
    <col min="16" max="16384" width="9.1171875" style="2"/>
  </cols>
  <sheetData>
    <row r="1" spans="1:15" ht="14.25" customHeight="1" x14ac:dyDescent="0.35">
      <c r="D1" s="1" t="s">
        <v>0</v>
      </c>
    </row>
    <row r="2" spans="1:15" ht="14.25" customHeight="1" x14ac:dyDescent="0.35">
      <c r="D2" s="3" t="s">
        <v>1</v>
      </c>
    </row>
    <row r="3" spans="1:15" ht="9" customHeight="1" x14ac:dyDescent="0.35">
      <c r="O3" s="3" t="s">
        <v>2</v>
      </c>
    </row>
    <row r="4" spans="1:15" s="1" customFormat="1" x14ac:dyDescent="0.35">
      <c r="C4" s="1" t="s">
        <v>3</v>
      </c>
      <c r="D4" s="1" t="s">
        <v>4</v>
      </c>
      <c r="E4" s="1" t="s">
        <v>5</v>
      </c>
      <c r="F4" s="1" t="s">
        <v>6</v>
      </c>
      <c r="G4" s="1" t="s">
        <v>7</v>
      </c>
      <c r="H4" s="1" t="s">
        <v>8</v>
      </c>
      <c r="I4" s="1" t="s">
        <v>9</v>
      </c>
      <c r="J4" s="1" t="s">
        <v>10</v>
      </c>
      <c r="K4" s="1" t="s">
        <v>11</v>
      </c>
      <c r="L4" s="1" t="s">
        <v>12</v>
      </c>
      <c r="M4" s="1" t="s">
        <v>13</v>
      </c>
      <c r="N4" s="1" t="s">
        <v>14</v>
      </c>
    </row>
    <row r="6" spans="1:15" x14ac:dyDescent="0.35">
      <c r="A6" s="1" t="s">
        <v>16</v>
      </c>
      <c r="G6" s="2">
        <v>2</v>
      </c>
      <c r="O6" s="2">
        <f t="shared" ref="O6:O19" si="0">SUM(C6:N6)</f>
        <v>2</v>
      </c>
    </row>
    <row r="7" spans="1:15" x14ac:dyDescent="0.35">
      <c r="A7" s="1" t="s">
        <v>17</v>
      </c>
      <c r="G7" s="2">
        <v>1</v>
      </c>
      <c r="O7" s="2">
        <f t="shared" si="0"/>
        <v>1</v>
      </c>
    </row>
    <row r="8" spans="1:15" x14ac:dyDescent="0.35">
      <c r="A8" s="1" t="s">
        <v>18</v>
      </c>
      <c r="G8" s="2">
        <v>2</v>
      </c>
      <c r="I8" s="2">
        <v>4</v>
      </c>
      <c r="O8" s="2">
        <f t="shared" si="0"/>
        <v>6</v>
      </c>
    </row>
    <row r="9" spans="1:15" x14ac:dyDescent="0.35">
      <c r="A9" s="1" t="s">
        <v>19</v>
      </c>
      <c r="E9" s="2">
        <v>1</v>
      </c>
      <c r="F9" s="2">
        <v>2</v>
      </c>
      <c r="G9" s="2">
        <v>4</v>
      </c>
      <c r="K9" s="2">
        <v>2</v>
      </c>
      <c r="L9" s="2">
        <v>6</v>
      </c>
      <c r="O9" s="2">
        <f t="shared" si="0"/>
        <v>15</v>
      </c>
    </row>
    <row r="10" spans="1:15" x14ac:dyDescent="0.35">
      <c r="A10" s="1" t="s">
        <v>20</v>
      </c>
      <c r="I10" s="2">
        <v>2</v>
      </c>
      <c r="O10" s="2">
        <f t="shared" si="0"/>
        <v>2</v>
      </c>
    </row>
    <row r="11" spans="1:15" x14ac:dyDescent="0.35">
      <c r="A11" s="1" t="s">
        <v>21</v>
      </c>
      <c r="O11" s="2">
        <f t="shared" si="0"/>
        <v>0</v>
      </c>
    </row>
    <row r="12" spans="1:15" x14ac:dyDescent="0.35">
      <c r="A12" s="1" t="s">
        <v>32</v>
      </c>
      <c r="O12" s="2">
        <f t="shared" si="0"/>
        <v>0</v>
      </c>
    </row>
    <row r="13" spans="1:15" x14ac:dyDescent="0.35">
      <c r="A13" s="1" t="s">
        <v>22</v>
      </c>
      <c r="G13" s="2">
        <v>8</v>
      </c>
      <c r="I13" s="2">
        <v>4</v>
      </c>
      <c r="K13" s="2">
        <v>6</v>
      </c>
      <c r="L13" s="2">
        <v>4</v>
      </c>
      <c r="O13" s="2">
        <f t="shared" si="0"/>
        <v>22</v>
      </c>
    </row>
    <row r="14" spans="1:15" x14ac:dyDescent="0.35">
      <c r="A14" s="1" t="s">
        <v>23</v>
      </c>
      <c r="E14" s="2">
        <v>1</v>
      </c>
      <c r="I14" s="2">
        <v>1</v>
      </c>
      <c r="K14" s="2">
        <v>2</v>
      </c>
      <c r="L14" s="2">
        <v>1</v>
      </c>
      <c r="O14" s="2">
        <f t="shared" si="0"/>
        <v>5</v>
      </c>
    </row>
    <row r="15" spans="1:15" x14ac:dyDescent="0.35">
      <c r="A15" s="1" t="s">
        <v>24</v>
      </c>
      <c r="F15" s="2">
        <v>1</v>
      </c>
      <c r="I15" s="2">
        <v>1</v>
      </c>
      <c r="K15" s="2">
        <v>1</v>
      </c>
      <c r="O15" s="2">
        <f t="shared" si="0"/>
        <v>3</v>
      </c>
    </row>
    <row r="16" spans="1:15" x14ac:dyDescent="0.35">
      <c r="A16" s="1" t="s">
        <v>29</v>
      </c>
      <c r="O16" s="2">
        <f t="shared" si="0"/>
        <v>0</v>
      </c>
    </row>
    <row r="17" spans="1:15" x14ac:dyDescent="0.35">
      <c r="A17" s="1" t="s">
        <v>27</v>
      </c>
      <c r="O17" s="2">
        <f t="shared" si="0"/>
        <v>0</v>
      </c>
    </row>
    <row r="19" spans="1:15" x14ac:dyDescent="0.35">
      <c r="A19" s="1" t="s">
        <v>25</v>
      </c>
      <c r="C19" s="2">
        <f>SUM(C6:C17)</f>
        <v>0</v>
      </c>
      <c r="D19" s="2">
        <f t="shared" ref="D19:N19" si="1">SUM(D6:D17)</f>
        <v>0</v>
      </c>
      <c r="E19" s="2">
        <f t="shared" si="1"/>
        <v>2</v>
      </c>
      <c r="F19" s="2">
        <v>3</v>
      </c>
      <c r="G19" s="2">
        <v>17</v>
      </c>
      <c r="H19" s="2">
        <f t="shared" si="1"/>
        <v>0</v>
      </c>
      <c r="I19" s="2">
        <f t="shared" si="1"/>
        <v>12</v>
      </c>
      <c r="J19" s="2">
        <f t="shared" si="1"/>
        <v>0</v>
      </c>
      <c r="K19" s="2">
        <v>11</v>
      </c>
      <c r="L19" s="2">
        <v>11</v>
      </c>
      <c r="M19" s="2">
        <f t="shared" si="1"/>
        <v>0</v>
      </c>
      <c r="N19" s="2">
        <f t="shared" si="1"/>
        <v>0</v>
      </c>
      <c r="O19" s="2">
        <f t="shared" si="0"/>
        <v>56</v>
      </c>
    </row>
    <row r="21" spans="1:15" ht="14.25" customHeight="1" x14ac:dyDescent="0.35">
      <c r="D21" s="1" t="s">
        <v>0</v>
      </c>
    </row>
    <row r="22" spans="1:15" ht="14.25" customHeight="1" x14ac:dyDescent="0.35">
      <c r="D22" s="3" t="s">
        <v>26</v>
      </c>
    </row>
    <row r="23" spans="1:15" ht="12" customHeight="1" x14ac:dyDescent="0.35">
      <c r="O23" s="1" t="s">
        <v>2</v>
      </c>
    </row>
    <row r="24" spans="1:15" s="1" customFormat="1" x14ac:dyDescent="0.35">
      <c r="C24" s="1" t="s">
        <v>3</v>
      </c>
      <c r="D24" s="1" t="s">
        <v>4</v>
      </c>
      <c r="E24" s="1" t="s">
        <v>5</v>
      </c>
      <c r="F24" s="1" t="s">
        <v>6</v>
      </c>
      <c r="G24" s="1" t="s">
        <v>7</v>
      </c>
      <c r="H24" s="1" t="s">
        <v>8</v>
      </c>
      <c r="I24" s="1" t="s">
        <v>9</v>
      </c>
      <c r="J24" s="1" t="s">
        <v>10</v>
      </c>
      <c r="K24" s="1" t="s">
        <v>11</v>
      </c>
      <c r="L24" s="1" t="s">
        <v>12</v>
      </c>
      <c r="M24" s="1" t="s">
        <v>13</v>
      </c>
      <c r="N24" s="1" t="s">
        <v>14</v>
      </c>
    </row>
    <row r="26" spans="1:15" x14ac:dyDescent="0.35">
      <c r="A26" s="1" t="s">
        <v>15</v>
      </c>
      <c r="L26" s="2">
        <v>1</v>
      </c>
      <c r="O26" s="2">
        <f>SUM(C26:N26)</f>
        <v>1</v>
      </c>
    </row>
    <row r="27" spans="1:15" x14ac:dyDescent="0.35">
      <c r="A27" s="1" t="s">
        <v>16</v>
      </c>
      <c r="E27" s="2">
        <v>1</v>
      </c>
      <c r="F27" s="2">
        <v>2</v>
      </c>
      <c r="G27" s="2">
        <v>1</v>
      </c>
      <c r="I27" s="2">
        <v>2</v>
      </c>
      <c r="K27" s="2">
        <v>1</v>
      </c>
      <c r="O27" s="2">
        <f t="shared" ref="O27:O36" si="2">SUM(C27:N27)</f>
        <v>7</v>
      </c>
    </row>
    <row r="28" spans="1:15" x14ac:dyDescent="0.35">
      <c r="A28" s="1" t="s">
        <v>33</v>
      </c>
      <c r="F28" s="2">
        <v>1</v>
      </c>
      <c r="M28" s="2">
        <v>2</v>
      </c>
      <c r="O28" s="2">
        <f t="shared" si="2"/>
        <v>3</v>
      </c>
    </row>
    <row r="29" spans="1:15" x14ac:dyDescent="0.35">
      <c r="A29" s="1" t="s">
        <v>18</v>
      </c>
      <c r="I29" s="2">
        <v>1</v>
      </c>
      <c r="L29" s="2">
        <v>1</v>
      </c>
      <c r="N29" s="2">
        <v>1</v>
      </c>
      <c r="O29" s="2">
        <f t="shared" si="2"/>
        <v>3</v>
      </c>
    </row>
    <row r="30" spans="1:15" x14ac:dyDescent="0.35">
      <c r="A30" s="1" t="s">
        <v>19</v>
      </c>
      <c r="D30" s="2">
        <v>1</v>
      </c>
      <c r="F30" s="2">
        <v>5</v>
      </c>
      <c r="G30" s="2">
        <v>4</v>
      </c>
      <c r="J30" s="2">
        <v>1</v>
      </c>
      <c r="L30" s="2">
        <v>6</v>
      </c>
      <c r="M30" s="2">
        <v>2</v>
      </c>
      <c r="O30" s="2">
        <f t="shared" si="2"/>
        <v>19</v>
      </c>
    </row>
    <row r="31" spans="1:15" x14ac:dyDescent="0.35">
      <c r="A31" s="1" t="s">
        <v>21</v>
      </c>
      <c r="F31" s="2">
        <v>1</v>
      </c>
      <c r="O31" s="2">
        <f t="shared" si="2"/>
        <v>1</v>
      </c>
    </row>
    <row r="32" spans="1:15" x14ac:dyDescent="0.35">
      <c r="A32" s="1" t="s">
        <v>32</v>
      </c>
      <c r="I32" s="2">
        <v>4</v>
      </c>
      <c r="O32" s="2">
        <f t="shared" si="2"/>
        <v>4</v>
      </c>
    </row>
    <row r="33" spans="1:15" x14ac:dyDescent="0.35">
      <c r="A33" s="1" t="s">
        <v>22</v>
      </c>
      <c r="F33" s="2">
        <v>2</v>
      </c>
      <c r="G33" s="2">
        <v>5</v>
      </c>
      <c r="J33" s="2">
        <v>2</v>
      </c>
      <c r="K33" s="2">
        <v>3</v>
      </c>
      <c r="L33" s="2">
        <v>9</v>
      </c>
      <c r="M33" s="2">
        <v>6</v>
      </c>
      <c r="N33" s="2">
        <v>1</v>
      </c>
      <c r="O33" s="2">
        <f t="shared" si="2"/>
        <v>28</v>
      </c>
    </row>
    <row r="34" spans="1:15" x14ac:dyDescent="0.35">
      <c r="A34" s="1" t="s">
        <v>23</v>
      </c>
      <c r="E34" s="2">
        <v>5</v>
      </c>
      <c r="F34" s="2">
        <v>17</v>
      </c>
      <c r="G34" s="2">
        <v>12</v>
      </c>
      <c r="I34" s="2">
        <v>16</v>
      </c>
      <c r="J34" s="2">
        <v>2</v>
      </c>
      <c r="K34" s="2">
        <v>13</v>
      </c>
      <c r="L34" s="2">
        <v>20</v>
      </c>
      <c r="M34" s="2">
        <v>6</v>
      </c>
      <c r="N34" s="2">
        <v>5</v>
      </c>
      <c r="O34" s="2">
        <f t="shared" si="2"/>
        <v>96</v>
      </c>
    </row>
    <row r="35" spans="1:15" x14ac:dyDescent="0.35">
      <c r="A35" s="1" t="s">
        <v>24</v>
      </c>
      <c r="E35" s="2">
        <v>1</v>
      </c>
      <c r="F35" s="2">
        <v>8</v>
      </c>
      <c r="G35" s="2">
        <v>1</v>
      </c>
      <c r="I35" s="2">
        <v>5</v>
      </c>
      <c r="J35" s="2">
        <v>6</v>
      </c>
      <c r="L35" s="2">
        <v>11</v>
      </c>
      <c r="M35" s="2">
        <v>4</v>
      </c>
      <c r="O35" s="2">
        <f t="shared" si="2"/>
        <v>36</v>
      </c>
    </row>
    <row r="36" spans="1:15" x14ac:dyDescent="0.35">
      <c r="A36" s="1" t="s">
        <v>20</v>
      </c>
      <c r="E36" s="2">
        <v>1</v>
      </c>
      <c r="O36" s="2">
        <f t="shared" si="2"/>
        <v>1</v>
      </c>
    </row>
    <row r="38" spans="1:15" ht="15.75" customHeight="1" x14ac:dyDescent="0.35">
      <c r="A38" s="1" t="s">
        <v>25</v>
      </c>
      <c r="C38" s="2">
        <f>SUM(C26:C36)</f>
        <v>0</v>
      </c>
      <c r="D38" s="2">
        <v>1</v>
      </c>
      <c r="E38" s="2">
        <v>8</v>
      </c>
      <c r="F38" s="2">
        <v>36</v>
      </c>
      <c r="G38" s="2">
        <v>23</v>
      </c>
      <c r="H38" s="2">
        <f>SUM(H26:H36)</f>
        <v>0</v>
      </c>
      <c r="I38" s="2">
        <v>28</v>
      </c>
      <c r="J38" s="2">
        <v>11</v>
      </c>
      <c r="K38" s="2">
        <v>17</v>
      </c>
      <c r="L38" s="2">
        <v>48</v>
      </c>
      <c r="M38" s="2">
        <f>SUM(M26:M36)</f>
        <v>20</v>
      </c>
      <c r="N38" s="2">
        <v>7</v>
      </c>
      <c r="O38" s="2">
        <f>SUM(O26:O36)</f>
        <v>199</v>
      </c>
    </row>
    <row r="39" spans="1:15" ht="21.75" customHeight="1" x14ac:dyDescent="0.35">
      <c r="A39" s="4" t="s">
        <v>28</v>
      </c>
      <c r="C39" s="2">
        <f>C19+C38</f>
        <v>0</v>
      </c>
      <c r="D39" s="2">
        <v>1</v>
      </c>
      <c r="E39" s="2">
        <v>10</v>
      </c>
      <c r="F39" s="2">
        <v>39</v>
      </c>
      <c r="G39" s="2">
        <v>40</v>
      </c>
      <c r="H39" s="2">
        <f>H19+H38</f>
        <v>0</v>
      </c>
      <c r="I39" s="2">
        <v>40</v>
      </c>
      <c r="J39" s="2">
        <v>11</v>
      </c>
      <c r="K39" s="2">
        <v>28</v>
      </c>
      <c r="L39" s="2">
        <v>59</v>
      </c>
      <c r="M39" s="2">
        <f>M19+M38</f>
        <v>20</v>
      </c>
      <c r="N39" s="2">
        <v>7</v>
      </c>
      <c r="O39" s="2">
        <f>SUM(O19+O38)</f>
        <v>255</v>
      </c>
    </row>
  </sheetData>
  <phoneticPr fontId="0" type="noConversion"/>
  <printOptions gridLines="1" gridLinesSet="0"/>
  <pageMargins left="0.75" right="0.75" top="1" bottom="1" header="0.5" footer="0.5"/>
  <pageSetup orientation="landscape"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9"/>
  <sheetViews>
    <sheetView workbookViewId="0">
      <selection activeCell="D21" sqref="D21"/>
    </sheetView>
  </sheetViews>
  <sheetFormatPr defaultColWidth="9.1171875" defaultRowHeight="10.35" x14ac:dyDescent="0.35"/>
  <cols>
    <col min="1" max="1" width="14.41015625" style="1" customWidth="1"/>
    <col min="2" max="2" width="4.52734375" style="2" customWidth="1"/>
    <col min="3" max="3" width="8.29296875" style="2" customWidth="1"/>
    <col min="4" max="4" width="7.87890625" style="2" customWidth="1"/>
    <col min="5" max="5" width="8.1171875" style="2" customWidth="1"/>
    <col min="6" max="7" width="8" style="2" customWidth="1"/>
    <col min="8" max="8" width="7.703125" style="2" customWidth="1"/>
    <col min="9" max="9" width="8.29296875" style="2" customWidth="1"/>
    <col min="10" max="10" width="8" style="2" customWidth="1"/>
    <col min="11" max="11" width="7.29296875" style="2" customWidth="1"/>
    <col min="12" max="12" width="8.1171875" style="2" customWidth="1"/>
    <col min="13" max="13" width="7.87890625" style="2" customWidth="1"/>
    <col min="14" max="14" width="8.29296875" style="2" customWidth="1"/>
    <col min="15" max="15" width="8.703125" style="2" customWidth="1"/>
    <col min="16" max="16384" width="9.1171875" style="2"/>
  </cols>
  <sheetData>
    <row r="1" spans="1:15" ht="14.25" customHeight="1" x14ac:dyDescent="0.35">
      <c r="D1" s="1" t="s">
        <v>0</v>
      </c>
    </row>
    <row r="2" spans="1:15" ht="14.25" customHeight="1" x14ac:dyDescent="0.35">
      <c r="D2" s="3" t="s">
        <v>1</v>
      </c>
    </row>
    <row r="3" spans="1:15" ht="9" customHeight="1" x14ac:dyDescent="0.35">
      <c r="O3" s="3" t="s">
        <v>2</v>
      </c>
    </row>
    <row r="4" spans="1:15" s="1" customFormat="1" x14ac:dyDescent="0.35">
      <c r="C4" s="1" t="s">
        <v>3</v>
      </c>
      <c r="D4" s="1" t="s">
        <v>4</v>
      </c>
      <c r="E4" s="1" t="s">
        <v>5</v>
      </c>
      <c r="F4" s="1" t="s">
        <v>6</v>
      </c>
      <c r="G4" s="1" t="s">
        <v>7</v>
      </c>
      <c r="H4" s="1" t="s">
        <v>8</v>
      </c>
      <c r="I4" s="1" t="s">
        <v>9</v>
      </c>
      <c r="J4" s="1" t="s">
        <v>10</v>
      </c>
      <c r="K4" s="1" t="s">
        <v>11</v>
      </c>
      <c r="L4" s="1" t="s">
        <v>12</v>
      </c>
      <c r="M4" s="1" t="s">
        <v>13</v>
      </c>
      <c r="N4" s="1" t="s">
        <v>14</v>
      </c>
    </row>
    <row r="6" spans="1:15" x14ac:dyDescent="0.35">
      <c r="A6" s="1" t="s">
        <v>16</v>
      </c>
      <c r="G6" s="2">
        <v>2</v>
      </c>
      <c r="O6" s="2">
        <f t="shared" ref="O6:O19" si="0">SUM(C6:N6)</f>
        <v>2</v>
      </c>
    </row>
    <row r="7" spans="1:15" x14ac:dyDescent="0.35">
      <c r="A7" s="1" t="s">
        <v>17</v>
      </c>
      <c r="G7" s="2">
        <v>1</v>
      </c>
      <c r="O7" s="2">
        <f t="shared" si="0"/>
        <v>1</v>
      </c>
    </row>
    <row r="8" spans="1:15" x14ac:dyDescent="0.35">
      <c r="A8" s="1" t="s">
        <v>18</v>
      </c>
      <c r="G8" s="2">
        <v>2</v>
      </c>
      <c r="I8" s="2">
        <v>4</v>
      </c>
      <c r="O8" s="2">
        <f t="shared" si="0"/>
        <v>6</v>
      </c>
    </row>
    <row r="9" spans="1:15" x14ac:dyDescent="0.35">
      <c r="A9" s="1" t="s">
        <v>19</v>
      </c>
      <c r="E9" s="2">
        <v>1</v>
      </c>
      <c r="F9" s="2">
        <v>2</v>
      </c>
      <c r="G9" s="2">
        <v>4</v>
      </c>
      <c r="K9" s="2">
        <v>2</v>
      </c>
      <c r="L9" s="2">
        <v>6</v>
      </c>
      <c r="O9" s="2">
        <f t="shared" si="0"/>
        <v>15</v>
      </c>
    </row>
    <row r="10" spans="1:15" x14ac:dyDescent="0.35">
      <c r="A10" s="1" t="s">
        <v>20</v>
      </c>
      <c r="I10" s="2">
        <v>2</v>
      </c>
      <c r="O10" s="2">
        <f t="shared" si="0"/>
        <v>2</v>
      </c>
    </row>
    <row r="11" spans="1:15" x14ac:dyDescent="0.35">
      <c r="A11" s="1" t="s">
        <v>21</v>
      </c>
      <c r="O11" s="2">
        <f t="shared" si="0"/>
        <v>0</v>
      </c>
    </row>
    <row r="12" spans="1:15" x14ac:dyDescent="0.35">
      <c r="A12" s="1" t="s">
        <v>32</v>
      </c>
      <c r="O12" s="2">
        <f t="shared" si="0"/>
        <v>0</v>
      </c>
    </row>
    <row r="13" spans="1:15" x14ac:dyDescent="0.35">
      <c r="A13" s="1" t="s">
        <v>22</v>
      </c>
      <c r="G13" s="2">
        <v>8</v>
      </c>
      <c r="I13" s="2">
        <v>4</v>
      </c>
      <c r="K13" s="2">
        <v>6</v>
      </c>
      <c r="L13" s="2">
        <v>4</v>
      </c>
      <c r="O13" s="2">
        <f t="shared" si="0"/>
        <v>22</v>
      </c>
    </row>
    <row r="14" spans="1:15" x14ac:dyDescent="0.35">
      <c r="A14" s="1" t="s">
        <v>23</v>
      </c>
      <c r="E14" s="2">
        <v>1</v>
      </c>
      <c r="I14" s="2">
        <v>1</v>
      </c>
      <c r="K14" s="2">
        <v>2</v>
      </c>
      <c r="L14" s="2">
        <v>1</v>
      </c>
      <c r="O14" s="2">
        <f t="shared" si="0"/>
        <v>5</v>
      </c>
    </row>
    <row r="15" spans="1:15" x14ac:dyDescent="0.35">
      <c r="A15" s="1" t="s">
        <v>24</v>
      </c>
      <c r="F15" s="2">
        <v>1</v>
      </c>
      <c r="I15" s="2">
        <v>1</v>
      </c>
      <c r="K15" s="2">
        <v>1</v>
      </c>
      <c r="O15" s="2">
        <f t="shared" si="0"/>
        <v>3</v>
      </c>
    </row>
    <row r="16" spans="1:15" x14ac:dyDescent="0.35">
      <c r="A16" s="1" t="s">
        <v>29</v>
      </c>
      <c r="O16" s="2">
        <f t="shared" si="0"/>
        <v>0</v>
      </c>
    </row>
    <row r="17" spans="1:15" x14ac:dyDescent="0.35">
      <c r="A17" s="1" t="s">
        <v>27</v>
      </c>
      <c r="O17" s="2">
        <f t="shared" si="0"/>
        <v>0</v>
      </c>
    </row>
    <row r="19" spans="1:15" x14ac:dyDescent="0.35">
      <c r="A19" s="1" t="s">
        <v>25</v>
      </c>
      <c r="C19" s="2">
        <f>SUM(C6:C17)</f>
        <v>0</v>
      </c>
      <c r="D19" s="2">
        <f t="shared" ref="D19:N19" si="1">SUM(D6:D17)</f>
        <v>0</v>
      </c>
      <c r="E19" s="2">
        <f t="shared" si="1"/>
        <v>2</v>
      </c>
      <c r="F19" s="2">
        <v>3</v>
      </c>
      <c r="G19" s="2">
        <v>17</v>
      </c>
      <c r="H19" s="2">
        <f t="shared" si="1"/>
        <v>0</v>
      </c>
      <c r="I19" s="2">
        <f t="shared" si="1"/>
        <v>12</v>
      </c>
      <c r="J19" s="2">
        <f t="shared" si="1"/>
        <v>0</v>
      </c>
      <c r="K19" s="2">
        <v>11</v>
      </c>
      <c r="L19" s="2">
        <v>11</v>
      </c>
      <c r="M19" s="2">
        <f t="shared" si="1"/>
        <v>0</v>
      </c>
      <c r="N19" s="2">
        <f t="shared" si="1"/>
        <v>0</v>
      </c>
      <c r="O19" s="2">
        <f t="shared" si="0"/>
        <v>56</v>
      </c>
    </row>
    <row r="21" spans="1:15" ht="14.25" customHeight="1" x14ac:dyDescent="0.35">
      <c r="D21" s="1" t="s">
        <v>0</v>
      </c>
    </row>
    <row r="22" spans="1:15" ht="14.25" customHeight="1" x14ac:dyDescent="0.35">
      <c r="D22" s="3" t="s">
        <v>26</v>
      </c>
    </row>
    <row r="23" spans="1:15" ht="12" customHeight="1" x14ac:dyDescent="0.35">
      <c r="O23" s="1" t="s">
        <v>2</v>
      </c>
    </row>
    <row r="24" spans="1:15" s="1" customFormat="1" x14ac:dyDescent="0.35">
      <c r="C24" s="1" t="s">
        <v>3</v>
      </c>
      <c r="D24" s="1" t="s">
        <v>4</v>
      </c>
      <c r="E24" s="1" t="s">
        <v>5</v>
      </c>
      <c r="F24" s="1" t="s">
        <v>6</v>
      </c>
      <c r="G24" s="1" t="s">
        <v>7</v>
      </c>
      <c r="H24" s="1" t="s">
        <v>8</v>
      </c>
      <c r="I24" s="1" t="s">
        <v>9</v>
      </c>
      <c r="J24" s="1" t="s">
        <v>10</v>
      </c>
      <c r="K24" s="1" t="s">
        <v>11</v>
      </c>
      <c r="L24" s="1" t="s">
        <v>12</v>
      </c>
      <c r="M24" s="1" t="s">
        <v>13</v>
      </c>
      <c r="N24" s="1" t="s">
        <v>14</v>
      </c>
    </row>
    <row r="26" spans="1:15" x14ac:dyDescent="0.35">
      <c r="A26" s="1" t="s">
        <v>15</v>
      </c>
      <c r="L26" s="2">
        <v>1</v>
      </c>
      <c r="O26" s="2">
        <f>SUM(C26:N26)</f>
        <v>1</v>
      </c>
    </row>
    <row r="27" spans="1:15" x14ac:dyDescent="0.35">
      <c r="A27" s="1" t="s">
        <v>16</v>
      </c>
      <c r="E27" s="2">
        <v>1</v>
      </c>
      <c r="F27" s="2">
        <v>2</v>
      </c>
      <c r="G27" s="2">
        <v>1</v>
      </c>
      <c r="I27" s="2">
        <v>2</v>
      </c>
      <c r="K27" s="2">
        <v>1</v>
      </c>
      <c r="O27" s="2">
        <f t="shared" ref="O27:O36" si="2">SUM(C27:N27)</f>
        <v>7</v>
      </c>
    </row>
    <row r="28" spans="1:15" x14ac:dyDescent="0.35">
      <c r="A28" s="1" t="s">
        <v>33</v>
      </c>
      <c r="F28" s="2">
        <v>1</v>
      </c>
      <c r="M28" s="2">
        <v>2</v>
      </c>
      <c r="O28" s="2">
        <f t="shared" si="2"/>
        <v>3</v>
      </c>
    </row>
    <row r="29" spans="1:15" x14ac:dyDescent="0.35">
      <c r="A29" s="1" t="s">
        <v>18</v>
      </c>
      <c r="I29" s="2">
        <v>1</v>
      </c>
      <c r="L29" s="2">
        <v>1</v>
      </c>
      <c r="N29" s="2">
        <v>1</v>
      </c>
      <c r="O29" s="2">
        <f t="shared" si="2"/>
        <v>3</v>
      </c>
    </row>
    <row r="30" spans="1:15" x14ac:dyDescent="0.35">
      <c r="A30" s="1" t="s">
        <v>19</v>
      </c>
      <c r="D30" s="2">
        <v>1</v>
      </c>
      <c r="F30" s="2">
        <v>5</v>
      </c>
      <c r="G30" s="2">
        <v>4</v>
      </c>
      <c r="I30" s="2">
        <v>3</v>
      </c>
      <c r="J30" s="2">
        <v>1</v>
      </c>
      <c r="L30" s="2">
        <v>6</v>
      </c>
      <c r="M30" s="2">
        <v>2</v>
      </c>
      <c r="O30" s="2">
        <f t="shared" si="2"/>
        <v>22</v>
      </c>
    </row>
    <row r="31" spans="1:15" x14ac:dyDescent="0.35">
      <c r="A31" s="1" t="s">
        <v>21</v>
      </c>
      <c r="F31" s="2">
        <v>1</v>
      </c>
      <c r="O31" s="2">
        <f t="shared" si="2"/>
        <v>1</v>
      </c>
    </row>
    <row r="32" spans="1:15" x14ac:dyDescent="0.35">
      <c r="A32" s="1" t="s">
        <v>32</v>
      </c>
      <c r="O32" s="2">
        <f t="shared" si="2"/>
        <v>0</v>
      </c>
    </row>
    <row r="33" spans="1:15" x14ac:dyDescent="0.35">
      <c r="A33" s="1" t="s">
        <v>22</v>
      </c>
      <c r="F33" s="2">
        <v>2</v>
      </c>
      <c r="G33" s="2">
        <v>5</v>
      </c>
      <c r="J33" s="2">
        <v>2</v>
      </c>
      <c r="K33" s="2">
        <v>3</v>
      </c>
      <c r="L33" s="2">
        <v>9</v>
      </c>
      <c r="M33" s="2">
        <v>6</v>
      </c>
      <c r="N33" s="2">
        <v>1</v>
      </c>
      <c r="O33" s="2">
        <f t="shared" si="2"/>
        <v>28</v>
      </c>
    </row>
    <row r="34" spans="1:15" x14ac:dyDescent="0.35">
      <c r="A34" s="1" t="s">
        <v>23</v>
      </c>
      <c r="E34" s="2">
        <v>5</v>
      </c>
      <c r="F34" s="2">
        <v>17</v>
      </c>
      <c r="G34" s="2">
        <v>12</v>
      </c>
      <c r="I34" s="2">
        <v>17</v>
      </c>
      <c r="J34" s="2">
        <v>2</v>
      </c>
      <c r="K34" s="2">
        <v>13</v>
      </c>
      <c r="L34" s="2">
        <v>20</v>
      </c>
      <c r="M34" s="2">
        <v>6</v>
      </c>
      <c r="N34" s="2">
        <v>5</v>
      </c>
      <c r="O34" s="2">
        <f t="shared" si="2"/>
        <v>97</v>
      </c>
    </row>
    <row r="35" spans="1:15" x14ac:dyDescent="0.35">
      <c r="A35" s="1" t="s">
        <v>24</v>
      </c>
      <c r="E35" s="2">
        <v>1</v>
      </c>
      <c r="F35" s="2">
        <v>8</v>
      </c>
      <c r="G35" s="2">
        <v>1</v>
      </c>
      <c r="I35" s="2">
        <v>5</v>
      </c>
      <c r="J35" s="2">
        <v>6</v>
      </c>
      <c r="L35" s="2">
        <v>11</v>
      </c>
      <c r="M35" s="2">
        <v>4</v>
      </c>
      <c r="O35" s="2">
        <f t="shared" si="2"/>
        <v>36</v>
      </c>
    </row>
    <row r="36" spans="1:15" x14ac:dyDescent="0.35">
      <c r="A36" s="1" t="s">
        <v>20</v>
      </c>
      <c r="E36" s="2">
        <v>1</v>
      </c>
      <c r="O36" s="2">
        <f t="shared" si="2"/>
        <v>1</v>
      </c>
    </row>
    <row r="38" spans="1:15" ht="15.75" customHeight="1" x14ac:dyDescent="0.35">
      <c r="A38" s="1" t="s">
        <v>25</v>
      </c>
      <c r="C38" s="2">
        <f>SUM(C26:C36)</f>
        <v>0</v>
      </c>
      <c r="D38" s="2">
        <v>1</v>
      </c>
      <c r="E38" s="2">
        <v>8</v>
      </c>
      <c r="F38" s="2">
        <v>36</v>
      </c>
      <c r="G38" s="2">
        <v>23</v>
      </c>
      <c r="H38" s="2">
        <f>SUM(H26:H36)</f>
        <v>0</v>
      </c>
      <c r="I38" s="2">
        <v>28</v>
      </c>
      <c r="J38" s="2">
        <v>11</v>
      </c>
      <c r="K38" s="2">
        <v>17</v>
      </c>
      <c r="L38" s="2">
        <v>48</v>
      </c>
      <c r="M38" s="2">
        <f>SUM(M26:M36)</f>
        <v>20</v>
      </c>
      <c r="N38" s="2">
        <v>7</v>
      </c>
      <c r="O38" s="2">
        <f>SUM(O26:O36)</f>
        <v>199</v>
      </c>
    </row>
    <row r="39" spans="1:15" ht="21.75" customHeight="1" x14ac:dyDescent="0.35">
      <c r="A39" s="4" t="s">
        <v>28</v>
      </c>
      <c r="C39" s="2">
        <f>C19+C38</f>
        <v>0</v>
      </c>
      <c r="D39" s="2">
        <v>1</v>
      </c>
      <c r="E39" s="2">
        <v>10</v>
      </c>
      <c r="F39" s="2">
        <v>39</v>
      </c>
      <c r="G39" s="2">
        <v>40</v>
      </c>
      <c r="H39" s="2">
        <f>H19+H38</f>
        <v>0</v>
      </c>
      <c r="I39" s="2">
        <v>40</v>
      </c>
      <c r="J39" s="2">
        <v>11</v>
      </c>
      <c r="K39" s="2">
        <v>28</v>
      </c>
      <c r="L39" s="2">
        <v>59</v>
      </c>
      <c r="M39" s="2">
        <f>M19+M38</f>
        <v>20</v>
      </c>
      <c r="N39" s="2">
        <v>7</v>
      </c>
      <c r="O39" s="2">
        <f>SUM(O19+O38)</f>
        <v>255</v>
      </c>
    </row>
  </sheetData>
  <phoneticPr fontId="0" type="noConversion"/>
  <printOptions gridLines="1" gridLinesSet="0"/>
  <pageMargins left="0.75" right="0.75" top="0.5" bottom="0.5" header="0.5" footer="0.5"/>
  <pageSetup orientation="landscape"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71"/>
  <sheetViews>
    <sheetView topLeftCell="A39" workbookViewId="0">
      <selection activeCell="F39" sqref="F39"/>
    </sheetView>
  </sheetViews>
  <sheetFormatPr defaultRowHeight="12.7" x14ac:dyDescent="0.4"/>
  <cols>
    <col min="1" max="1" width="13.703125" customWidth="1"/>
    <col min="2" max="2" width="3.29296875" customWidth="1"/>
    <col min="3" max="3" width="7.703125" style="6" customWidth="1"/>
    <col min="4" max="4" width="7.1171875" style="6" customWidth="1"/>
    <col min="5" max="5" width="6.703125" style="6" customWidth="1"/>
    <col min="6" max="7" width="7.41015625" style="6" customWidth="1"/>
    <col min="8" max="8" width="7.1171875" style="6" customWidth="1"/>
    <col min="9" max="9" width="7.29296875" style="6" customWidth="1"/>
    <col min="10" max="10" width="6.41015625" style="6" customWidth="1"/>
    <col min="11" max="11" width="7.1171875" style="6" customWidth="1"/>
    <col min="12" max="12" width="7.29296875" style="6" customWidth="1"/>
    <col min="13" max="14" width="6.87890625" style="6" customWidth="1"/>
    <col min="15" max="15" width="7.1171875" bestFit="1" customWidth="1"/>
    <col min="16" max="16" width="8.52734375" customWidth="1"/>
  </cols>
  <sheetData>
    <row r="1" spans="1:15" ht="13" thickBot="1" x14ac:dyDescent="0.45">
      <c r="A1" s="5" t="s">
        <v>51</v>
      </c>
    </row>
    <row r="2" spans="1:15" ht="13" thickBot="1" x14ac:dyDescent="0.45">
      <c r="A2" s="10" t="s">
        <v>39</v>
      </c>
      <c r="B2" s="11"/>
      <c r="C2" s="12">
        <v>1</v>
      </c>
      <c r="D2" s="12">
        <v>2</v>
      </c>
      <c r="E2" s="12">
        <v>3</v>
      </c>
      <c r="F2" s="12">
        <v>4</v>
      </c>
      <c r="G2" s="12">
        <v>5</v>
      </c>
      <c r="H2" s="12">
        <v>6</v>
      </c>
      <c r="I2" s="12">
        <v>7</v>
      </c>
      <c r="J2" s="12">
        <v>8</v>
      </c>
      <c r="K2" s="12">
        <v>9</v>
      </c>
      <c r="L2" s="12">
        <v>10</v>
      </c>
      <c r="M2" s="12">
        <v>11</v>
      </c>
      <c r="N2" s="12">
        <v>12</v>
      </c>
      <c r="O2" s="13" t="s">
        <v>2</v>
      </c>
    </row>
    <row r="3" spans="1:15" x14ac:dyDescent="0.4">
      <c r="A3" t="s">
        <v>17</v>
      </c>
      <c r="O3">
        <f>SUM(C3:N3)</f>
        <v>0</v>
      </c>
    </row>
    <row r="4" spans="1:15" x14ac:dyDescent="0.4">
      <c r="A4" t="s">
        <v>35</v>
      </c>
      <c r="O4">
        <f t="shared" ref="O4:O16" si="0">SUM(C4:N4)</f>
        <v>0</v>
      </c>
    </row>
    <row r="5" spans="1:15" x14ac:dyDescent="0.4">
      <c r="A5" t="s">
        <v>16</v>
      </c>
      <c r="F5" s="6">
        <v>1</v>
      </c>
      <c r="K5" s="6">
        <v>1</v>
      </c>
      <c r="O5">
        <f t="shared" si="0"/>
        <v>2</v>
      </c>
    </row>
    <row r="6" spans="1:15" x14ac:dyDescent="0.4">
      <c r="A6" t="s">
        <v>29</v>
      </c>
      <c r="I6" s="6">
        <v>1</v>
      </c>
      <c r="O6">
        <f t="shared" si="0"/>
        <v>1</v>
      </c>
    </row>
    <row r="7" spans="1:15" x14ac:dyDescent="0.4">
      <c r="A7" t="s">
        <v>18</v>
      </c>
      <c r="F7" s="6">
        <v>1</v>
      </c>
      <c r="I7" s="6">
        <v>3</v>
      </c>
      <c r="O7">
        <f t="shared" si="0"/>
        <v>4</v>
      </c>
    </row>
    <row r="8" spans="1:15" x14ac:dyDescent="0.4">
      <c r="A8" t="s">
        <v>19</v>
      </c>
      <c r="F8" s="6">
        <v>1</v>
      </c>
      <c r="G8" s="6">
        <v>1</v>
      </c>
      <c r="I8" s="6">
        <v>3</v>
      </c>
      <c r="L8" s="6">
        <v>1</v>
      </c>
      <c r="O8">
        <f t="shared" si="0"/>
        <v>6</v>
      </c>
    </row>
    <row r="9" spans="1:15" x14ac:dyDescent="0.4">
      <c r="A9" t="s">
        <v>20</v>
      </c>
      <c r="I9" s="6">
        <v>3</v>
      </c>
      <c r="O9">
        <f t="shared" si="0"/>
        <v>3</v>
      </c>
    </row>
    <row r="10" spans="1:15" x14ac:dyDescent="0.4">
      <c r="A10" t="s">
        <v>21</v>
      </c>
      <c r="O10">
        <f t="shared" si="0"/>
        <v>0</v>
      </c>
    </row>
    <row r="11" spans="1:15" x14ac:dyDescent="0.4">
      <c r="A11" t="s">
        <v>34</v>
      </c>
      <c r="L11" s="6">
        <v>2</v>
      </c>
      <c r="O11">
        <f t="shared" si="0"/>
        <v>2</v>
      </c>
    </row>
    <row r="12" spans="1:15" x14ac:dyDescent="0.4">
      <c r="A12" t="s">
        <v>22</v>
      </c>
      <c r="I12" s="6">
        <v>5</v>
      </c>
      <c r="L12" s="6">
        <v>3</v>
      </c>
      <c r="M12" s="6">
        <v>3</v>
      </c>
      <c r="O12">
        <f t="shared" si="0"/>
        <v>11</v>
      </c>
    </row>
    <row r="13" spans="1:15" x14ac:dyDescent="0.4">
      <c r="A13" t="s">
        <v>23</v>
      </c>
      <c r="G13" s="6">
        <v>1</v>
      </c>
      <c r="I13" s="6">
        <v>7</v>
      </c>
      <c r="L13" s="6">
        <v>1</v>
      </c>
      <c r="M13" s="6">
        <v>1</v>
      </c>
      <c r="O13">
        <f t="shared" si="0"/>
        <v>10</v>
      </c>
    </row>
    <row r="14" spans="1:15" x14ac:dyDescent="0.4">
      <c r="A14" t="s">
        <v>24</v>
      </c>
      <c r="G14" s="6">
        <v>1</v>
      </c>
      <c r="I14" s="6">
        <v>2</v>
      </c>
      <c r="O14">
        <f t="shared" si="0"/>
        <v>3</v>
      </c>
    </row>
    <row r="15" spans="1:15" x14ac:dyDescent="0.4">
      <c r="A15" t="s">
        <v>36</v>
      </c>
      <c r="O15">
        <f t="shared" si="0"/>
        <v>0</v>
      </c>
    </row>
    <row r="16" spans="1:15" ht="13" thickBot="1" x14ac:dyDescent="0.45">
      <c r="A16" t="s">
        <v>37</v>
      </c>
      <c r="C16" s="18"/>
      <c r="D16" s="18"/>
      <c r="E16" s="18"/>
      <c r="F16" s="18"/>
      <c r="G16" s="18"/>
      <c r="H16" s="18"/>
      <c r="I16" s="18"/>
      <c r="J16" s="18"/>
      <c r="K16" s="18"/>
      <c r="L16" s="18"/>
      <c r="M16" s="18"/>
      <c r="N16" s="18"/>
      <c r="O16" s="17">
        <f t="shared" si="0"/>
        <v>0</v>
      </c>
    </row>
    <row r="17" spans="1:15" x14ac:dyDescent="0.4">
      <c r="A17" t="s">
        <v>25</v>
      </c>
      <c r="C17" s="6">
        <f>SUM(C3:C16)</f>
        <v>0</v>
      </c>
      <c r="D17" s="6">
        <f t="shared" ref="D17:N17" si="1">SUM(D3:D16)</f>
        <v>0</v>
      </c>
      <c r="E17" s="6">
        <f t="shared" si="1"/>
        <v>0</v>
      </c>
      <c r="F17" s="6">
        <f t="shared" si="1"/>
        <v>3</v>
      </c>
      <c r="G17" s="6">
        <f t="shared" si="1"/>
        <v>3</v>
      </c>
      <c r="H17" s="6">
        <f t="shared" si="1"/>
        <v>0</v>
      </c>
      <c r="I17" s="6">
        <f t="shared" si="1"/>
        <v>24</v>
      </c>
      <c r="J17" s="6">
        <f t="shared" si="1"/>
        <v>0</v>
      </c>
      <c r="K17" s="6">
        <f t="shared" si="1"/>
        <v>1</v>
      </c>
      <c r="L17" s="6">
        <f t="shared" si="1"/>
        <v>7</v>
      </c>
      <c r="M17" s="6">
        <f t="shared" si="1"/>
        <v>4</v>
      </c>
      <c r="N17" s="6">
        <f t="shared" si="1"/>
        <v>0</v>
      </c>
      <c r="O17">
        <f>SUM(O3:O16)</f>
        <v>42</v>
      </c>
    </row>
    <row r="18" spans="1:15" ht="13" thickBot="1" x14ac:dyDescent="0.45">
      <c r="A18" s="5" t="s">
        <v>52</v>
      </c>
      <c r="E18" s="7"/>
      <c r="F18" s="7"/>
    </row>
    <row r="19" spans="1:15" ht="13" thickBot="1" x14ac:dyDescent="0.45">
      <c r="A19" s="10" t="str">
        <f>A2</f>
        <v>BLIND #</v>
      </c>
      <c r="B19" s="14"/>
      <c r="C19" s="12">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3" t="s">
        <v>2</v>
      </c>
    </row>
    <row r="20" spans="1:15" x14ac:dyDescent="0.4">
      <c r="A20" t="str">
        <f>A3</f>
        <v>BLUEBILL</v>
      </c>
      <c r="O20">
        <f>SUM(C20:N20)</f>
        <v>0</v>
      </c>
    </row>
    <row r="21" spans="1:15" x14ac:dyDescent="0.4">
      <c r="A21" t="str">
        <f t="shared" ref="A21:A33" si="3">A4</f>
        <v>CANVASBACK</v>
      </c>
      <c r="O21">
        <f t="shared" ref="O21:O33" si="4">SUM(C21:N21)</f>
        <v>0</v>
      </c>
    </row>
    <row r="22" spans="1:15" x14ac:dyDescent="0.4">
      <c r="A22" t="str">
        <f t="shared" si="3"/>
        <v>GADWALL</v>
      </c>
      <c r="F22" s="6">
        <v>1</v>
      </c>
      <c r="G22" s="6">
        <v>3</v>
      </c>
      <c r="I22" s="6">
        <v>1</v>
      </c>
      <c r="L22" s="6">
        <v>3</v>
      </c>
      <c r="M22" s="6">
        <v>2</v>
      </c>
      <c r="O22">
        <f t="shared" si="4"/>
        <v>10</v>
      </c>
    </row>
    <row r="23" spans="1:15" x14ac:dyDescent="0.4">
      <c r="A23" t="str">
        <f t="shared" si="3"/>
        <v>GEESE</v>
      </c>
      <c r="F23" s="6">
        <v>2</v>
      </c>
      <c r="G23" s="6">
        <v>1</v>
      </c>
      <c r="O23">
        <f t="shared" si="4"/>
        <v>3</v>
      </c>
    </row>
    <row r="24" spans="1:15" x14ac:dyDescent="0.4">
      <c r="A24" t="str">
        <f t="shared" si="3"/>
        <v>MALLARD</v>
      </c>
      <c r="E24" s="6">
        <v>2</v>
      </c>
      <c r="G24" s="6">
        <v>2</v>
      </c>
      <c r="I24" s="6">
        <v>1</v>
      </c>
      <c r="L24" s="6">
        <v>4</v>
      </c>
      <c r="N24" s="6">
        <v>2</v>
      </c>
      <c r="O24">
        <f t="shared" si="4"/>
        <v>11</v>
      </c>
    </row>
    <row r="25" spans="1:15" x14ac:dyDescent="0.4">
      <c r="A25" t="str">
        <f t="shared" si="3"/>
        <v>PINTAIL</v>
      </c>
      <c r="E25" s="6">
        <v>1</v>
      </c>
      <c r="F25" s="6">
        <v>4</v>
      </c>
      <c r="G25" s="6">
        <v>13</v>
      </c>
      <c r="I25" s="6">
        <v>6</v>
      </c>
      <c r="K25" s="6">
        <v>2</v>
      </c>
      <c r="L25" s="6">
        <v>11</v>
      </c>
      <c r="M25" s="6">
        <v>1</v>
      </c>
      <c r="O25">
        <f t="shared" si="4"/>
        <v>38</v>
      </c>
    </row>
    <row r="26" spans="1:15" x14ac:dyDescent="0.4">
      <c r="A26" t="str">
        <f t="shared" si="3"/>
        <v>REDHEAD</v>
      </c>
      <c r="F26" s="6">
        <v>1</v>
      </c>
      <c r="O26">
        <f t="shared" si="4"/>
        <v>1</v>
      </c>
    </row>
    <row r="27" spans="1:15" x14ac:dyDescent="0.4">
      <c r="A27" t="str">
        <f t="shared" si="3"/>
        <v>RINGNECK</v>
      </c>
      <c r="L27" s="6">
        <v>1</v>
      </c>
      <c r="O27">
        <f t="shared" si="4"/>
        <v>1</v>
      </c>
    </row>
    <row r="28" spans="1:15" x14ac:dyDescent="0.4">
      <c r="A28" t="str">
        <f t="shared" si="3"/>
        <v>RUDDY</v>
      </c>
      <c r="I28" s="6">
        <v>1</v>
      </c>
      <c r="L28" s="6">
        <v>1</v>
      </c>
      <c r="O28">
        <f t="shared" si="4"/>
        <v>2</v>
      </c>
    </row>
    <row r="29" spans="1:15" x14ac:dyDescent="0.4">
      <c r="A29" t="str">
        <f t="shared" si="3"/>
        <v>SPOONY</v>
      </c>
      <c r="F29" s="6">
        <v>5</v>
      </c>
      <c r="G29" s="6">
        <v>16</v>
      </c>
      <c r="I29" s="6">
        <v>2</v>
      </c>
      <c r="J29" s="6">
        <v>1</v>
      </c>
      <c r="K29" s="6">
        <v>9</v>
      </c>
      <c r="L29" s="6">
        <v>5</v>
      </c>
      <c r="M29" s="6">
        <v>6</v>
      </c>
      <c r="O29">
        <f t="shared" si="4"/>
        <v>44</v>
      </c>
    </row>
    <row r="30" spans="1:15" x14ac:dyDescent="0.4">
      <c r="A30" t="str">
        <f t="shared" si="3"/>
        <v>TEAL</v>
      </c>
      <c r="E30" s="6">
        <v>2</v>
      </c>
      <c r="F30" s="6">
        <v>34</v>
      </c>
      <c r="G30" s="6">
        <v>56</v>
      </c>
      <c r="H30" s="6">
        <v>7</v>
      </c>
      <c r="I30" s="6">
        <v>32</v>
      </c>
      <c r="J30" s="6">
        <v>2</v>
      </c>
      <c r="K30" s="6">
        <v>6</v>
      </c>
      <c r="L30" s="6">
        <v>24</v>
      </c>
      <c r="M30" s="6">
        <v>8</v>
      </c>
      <c r="O30">
        <f t="shared" si="4"/>
        <v>171</v>
      </c>
    </row>
    <row r="31" spans="1:15" x14ac:dyDescent="0.4">
      <c r="A31" t="str">
        <f t="shared" si="3"/>
        <v>WIDGEON</v>
      </c>
      <c r="E31" s="6">
        <v>3</v>
      </c>
      <c r="F31" s="6">
        <v>18</v>
      </c>
      <c r="G31" s="6">
        <v>20</v>
      </c>
      <c r="H31" s="6">
        <v>1</v>
      </c>
      <c r="I31" s="6">
        <v>9</v>
      </c>
      <c r="J31" s="6">
        <v>1</v>
      </c>
      <c r="L31" s="6">
        <v>11</v>
      </c>
      <c r="M31" s="6">
        <v>5</v>
      </c>
      <c r="O31">
        <f t="shared" si="4"/>
        <v>68</v>
      </c>
    </row>
    <row r="32" spans="1:15" x14ac:dyDescent="0.4">
      <c r="A32" t="str">
        <f t="shared" si="3"/>
        <v>MISC</v>
      </c>
      <c r="O32">
        <f t="shared" si="4"/>
        <v>0</v>
      </c>
    </row>
    <row r="33" spans="1:17" ht="13" thickBot="1" x14ac:dyDescent="0.45">
      <c r="A33" t="str">
        <f t="shared" si="3"/>
        <v>OTHER</v>
      </c>
      <c r="C33" s="18"/>
      <c r="D33" s="18"/>
      <c r="E33" s="18"/>
      <c r="F33" s="18"/>
      <c r="G33" s="18"/>
      <c r="H33" s="18"/>
      <c r="I33" s="18"/>
      <c r="J33" s="18"/>
      <c r="K33" s="18"/>
      <c r="L33" s="18"/>
      <c r="M33" s="18"/>
      <c r="N33" s="18"/>
      <c r="O33" s="17">
        <f t="shared" si="4"/>
        <v>0</v>
      </c>
    </row>
    <row r="34" spans="1:17" ht="13" thickBot="1" x14ac:dyDescent="0.45">
      <c r="A34" t="s">
        <v>25</v>
      </c>
      <c r="C34" s="6">
        <f>0+SUM(C20:C33)</f>
        <v>0</v>
      </c>
      <c r="D34" s="6">
        <f t="shared" ref="D34:N34" si="5">0+SUM(D20:D33)</f>
        <v>0</v>
      </c>
      <c r="E34" s="6">
        <f t="shared" si="5"/>
        <v>8</v>
      </c>
      <c r="F34" s="6">
        <f t="shared" si="5"/>
        <v>65</v>
      </c>
      <c r="G34" s="6">
        <f t="shared" si="5"/>
        <v>111</v>
      </c>
      <c r="H34" s="6">
        <f t="shared" si="5"/>
        <v>8</v>
      </c>
      <c r="I34" s="6">
        <f t="shared" si="5"/>
        <v>52</v>
      </c>
      <c r="J34" s="6">
        <f t="shared" si="5"/>
        <v>4</v>
      </c>
      <c r="K34" s="6">
        <f t="shared" si="5"/>
        <v>17</v>
      </c>
      <c r="L34" s="6">
        <f t="shared" si="5"/>
        <v>60</v>
      </c>
      <c r="M34" s="6">
        <f t="shared" si="5"/>
        <v>22</v>
      </c>
      <c r="N34" s="6">
        <f t="shared" si="5"/>
        <v>2</v>
      </c>
      <c r="O34">
        <f>SUM(O20:O33)</f>
        <v>349</v>
      </c>
    </row>
    <row r="35" spans="1:17" ht="13" thickBot="1" x14ac:dyDescent="0.45">
      <c r="A35" s="5" t="s">
        <v>38</v>
      </c>
      <c r="B35" s="5"/>
      <c r="C35" s="7"/>
      <c r="D35" s="7"/>
      <c r="E35" s="7"/>
      <c r="F35" s="7"/>
      <c r="G35" s="7"/>
      <c r="H35" s="7"/>
      <c r="I35" s="7"/>
      <c r="J35" s="7"/>
      <c r="K35" s="7"/>
      <c r="L35" s="7"/>
      <c r="M35" s="7"/>
      <c r="N35" s="7"/>
      <c r="O35" s="15"/>
      <c r="P35" s="20" t="s">
        <v>60</v>
      </c>
      <c r="Q35" s="21" t="s">
        <v>57</v>
      </c>
    </row>
    <row r="36" spans="1:17" ht="13" thickBot="1" x14ac:dyDescent="0.45">
      <c r="A36" s="10" t="str">
        <f>A19</f>
        <v>BLIND #</v>
      </c>
      <c r="B36" s="14"/>
      <c r="C36" s="12">
        <f t="shared" ref="C36:N36" si="6">C19</f>
        <v>1</v>
      </c>
      <c r="D36" s="12">
        <f t="shared" si="6"/>
        <v>2</v>
      </c>
      <c r="E36" s="12">
        <f t="shared" si="6"/>
        <v>3</v>
      </c>
      <c r="F36" s="12">
        <f t="shared" si="6"/>
        <v>4</v>
      </c>
      <c r="G36" s="12">
        <f t="shared" si="6"/>
        <v>5</v>
      </c>
      <c r="H36" s="12">
        <f t="shared" si="6"/>
        <v>6</v>
      </c>
      <c r="I36" s="12">
        <f t="shared" si="6"/>
        <v>7</v>
      </c>
      <c r="J36" s="12">
        <f t="shared" si="6"/>
        <v>8</v>
      </c>
      <c r="K36" s="12">
        <f t="shared" si="6"/>
        <v>9</v>
      </c>
      <c r="L36" s="12">
        <f t="shared" si="6"/>
        <v>10</v>
      </c>
      <c r="M36" s="12">
        <f t="shared" si="6"/>
        <v>11</v>
      </c>
      <c r="N36" s="12">
        <f t="shared" si="6"/>
        <v>12</v>
      </c>
      <c r="O36" s="15" t="s">
        <v>2</v>
      </c>
      <c r="P36" s="26" t="s">
        <v>61</v>
      </c>
      <c r="Q36" s="27" t="s">
        <v>59</v>
      </c>
    </row>
    <row r="37" spans="1:17" x14ac:dyDescent="0.4">
      <c r="A37" t="str">
        <f>A20</f>
        <v>BLUEBILL</v>
      </c>
      <c r="C37" s="6">
        <f t="shared" ref="C37:N37" si="7">C3+C20</f>
        <v>0</v>
      </c>
      <c r="D37" s="6">
        <f t="shared" si="7"/>
        <v>0</v>
      </c>
      <c r="E37" s="6">
        <f t="shared" si="7"/>
        <v>0</v>
      </c>
      <c r="F37" s="6">
        <f t="shared" si="7"/>
        <v>0</v>
      </c>
      <c r="G37" s="6">
        <f t="shared" si="7"/>
        <v>0</v>
      </c>
      <c r="H37" s="6">
        <f t="shared" si="7"/>
        <v>0</v>
      </c>
      <c r="I37" s="6">
        <f t="shared" si="7"/>
        <v>0</v>
      </c>
      <c r="J37" s="6">
        <f t="shared" si="7"/>
        <v>0</v>
      </c>
      <c r="K37" s="6">
        <f t="shared" si="7"/>
        <v>0</v>
      </c>
      <c r="L37" s="6">
        <f t="shared" si="7"/>
        <v>0</v>
      </c>
      <c r="M37" s="6">
        <f t="shared" si="7"/>
        <v>0</v>
      </c>
      <c r="N37" s="6">
        <f t="shared" si="7"/>
        <v>0</v>
      </c>
      <c r="O37">
        <f>SUM(C37:N37)</f>
        <v>0</v>
      </c>
      <c r="P37" s="22">
        <f>O37/$O$51</f>
        <v>0</v>
      </c>
      <c r="Q37" s="23">
        <v>4.5189999999999996E-3</v>
      </c>
    </row>
    <row r="38" spans="1:17" x14ac:dyDescent="0.4">
      <c r="A38" t="str">
        <f t="shared" ref="A38:A49" si="8">A21</f>
        <v>CANVASBACK</v>
      </c>
      <c r="C38" s="6">
        <f t="shared" ref="C38:N38" si="9">C4+C21</f>
        <v>0</v>
      </c>
      <c r="D38" s="6">
        <f t="shared" si="9"/>
        <v>0</v>
      </c>
      <c r="E38" s="6">
        <f t="shared" si="9"/>
        <v>0</v>
      </c>
      <c r="F38" s="6">
        <f t="shared" si="9"/>
        <v>0</v>
      </c>
      <c r="G38" s="6">
        <f t="shared" si="9"/>
        <v>0</v>
      </c>
      <c r="H38" s="6">
        <f t="shared" si="9"/>
        <v>0</v>
      </c>
      <c r="I38" s="6">
        <f t="shared" si="9"/>
        <v>0</v>
      </c>
      <c r="J38" s="6">
        <f t="shared" si="9"/>
        <v>0</v>
      </c>
      <c r="K38" s="6">
        <f t="shared" si="9"/>
        <v>0</v>
      </c>
      <c r="L38" s="6">
        <f t="shared" si="9"/>
        <v>0</v>
      </c>
      <c r="M38" s="6">
        <f t="shared" si="9"/>
        <v>0</v>
      </c>
      <c r="N38" s="6">
        <f t="shared" si="9"/>
        <v>0</v>
      </c>
      <c r="O38">
        <f t="shared" ref="O38:O50" si="10">SUM(C38:N38)</f>
        <v>0</v>
      </c>
      <c r="P38" s="22">
        <f t="shared" ref="P38:P50" si="11">O38/$O$51</f>
        <v>0</v>
      </c>
      <c r="Q38" s="23">
        <v>0</v>
      </c>
    </row>
    <row r="39" spans="1:17" x14ac:dyDescent="0.4">
      <c r="A39" t="str">
        <f t="shared" si="8"/>
        <v>GADWALL</v>
      </c>
      <c r="C39" s="6">
        <f t="shared" ref="C39:N39" si="12">C5+C22</f>
        <v>0</v>
      </c>
      <c r="D39" s="6">
        <f t="shared" si="12"/>
        <v>0</v>
      </c>
      <c r="E39" s="6">
        <f t="shared" si="12"/>
        <v>0</v>
      </c>
      <c r="F39" s="6">
        <f t="shared" si="12"/>
        <v>2</v>
      </c>
      <c r="G39" s="6">
        <f t="shared" si="12"/>
        <v>3</v>
      </c>
      <c r="H39" s="6">
        <f t="shared" si="12"/>
        <v>0</v>
      </c>
      <c r="I39" s="6">
        <f t="shared" si="12"/>
        <v>1</v>
      </c>
      <c r="J39" s="6">
        <f t="shared" si="12"/>
        <v>0</v>
      </c>
      <c r="K39" s="6">
        <f t="shared" si="12"/>
        <v>1</v>
      </c>
      <c r="L39" s="6">
        <f t="shared" si="12"/>
        <v>3</v>
      </c>
      <c r="M39" s="6">
        <f t="shared" si="12"/>
        <v>2</v>
      </c>
      <c r="N39" s="6">
        <f t="shared" si="12"/>
        <v>0</v>
      </c>
      <c r="O39">
        <f t="shared" si="10"/>
        <v>12</v>
      </c>
      <c r="P39" s="22">
        <f t="shared" si="11"/>
        <v>3.0690537084398978E-2</v>
      </c>
      <c r="Q39" s="23">
        <v>0.182362</v>
      </c>
    </row>
    <row r="40" spans="1:17" x14ac:dyDescent="0.4">
      <c r="A40" t="str">
        <f t="shared" si="8"/>
        <v>GEESE</v>
      </c>
      <c r="C40" s="6">
        <f t="shared" ref="C40:N40" si="13">C6+C23</f>
        <v>0</v>
      </c>
      <c r="D40" s="6">
        <f t="shared" si="13"/>
        <v>0</v>
      </c>
      <c r="E40" s="6">
        <f t="shared" si="13"/>
        <v>0</v>
      </c>
      <c r="F40" s="6">
        <f t="shared" si="13"/>
        <v>2</v>
      </c>
      <c r="G40" s="6">
        <f t="shared" si="13"/>
        <v>1</v>
      </c>
      <c r="H40" s="6">
        <f t="shared" si="13"/>
        <v>0</v>
      </c>
      <c r="I40" s="6">
        <f t="shared" si="13"/>
        <v>1</v>
      </c>
      <c r="J40" s="6">
        <f t="shared" si="13"/>
        <v>0</v>
      </c>
      <c r="K40" s="6">
        <f t="shared" si="13"/>
        <v>0</v>
      </c>
      <c r="L40" s="6">
        <f t="shared" si="13"/>
        <v>0</v>
      </c>
      <c r="M40" s="6">
        <f t="shared" si="13"/>
        <v>0</v>
      </c>
      <c r="N40" s="6">
        <f t="shared" si="13"/>
        <v>0</v>
      </c>
      <c r="O40">
        <f t="shared" si="10"/>
        <v>4</v>
      </c>
      <c r="P40" s="22">
        <f t="shared" si="11"/>
        <v>1.0230179028132993E-2</v>
      </c>
      <c r="Q40" s="23">
        <v>1.7489999999999999E-3</v>
      </c>
    </row>
    <row r="41" spans="1:17" x14ac:dyDescent="0.4">
      <c r="A41" t="str">
        <f t="shared" si="8"/>
        <v>MALLARD</v>
      </c>
      <c r="C41" s="6">
        <f t="shared" ref="C41:N41" si="14">C7+C24</f>
        <v>0</v>
      </c>
      <c r="D41" s="6">
        <f t="shared" si="14"/>
        <v>0</v>
      </c>
      <c r="E41" s="6">
        <f t="shared" si="14"/>
        <v>2</v>
      </c>
      <c r="F41" s="6">
        <f t="shared" si="14"/>
        <v>1</v>
      </c>
      <c r="G41" s="6">
        <f t="shared" si="14"/>
        <v>2</v>
      </c>
      <c r="H41" s="6">
        <f t="shared" si="14"/>
        <v>0</v>
      </c>
      <c r="I41" s="6">
        <f t="shared" si="14"/>
        <v>4</v>
      </c>
      <c r="J41" s="6">
        <f t="shared" si="14"/>
        <v>0</v>
      </c>
      <c r="K41" s="6">
        <f t="shared" si="14"/>
        <v>0</v>
      </c>
      <c r="L41" s="6">
        <f t="shared" si="14"/>
        <v>4</v>
      </c>
      <c r="M41" s="6">
        <f t="shared" si="14"/>
        <v>0</v>
      </c>
      <c r="N41" s="6">
        <f t="shared" si="14"/>
        <v>2</v>
      </c>
      <c r="O41">
        <f t="shared" si="10"/>
        <v>15</v>
      </c>
      <c r="P41" s="22">
        <f t="shared" si="11"/>
        <v>3.8363171355498722E-2</v>
      </c>
      <c r="Q41" s="23">
        <v>7.6239000000000001E-2</v>
      </c>
    </row>
    <row r="42" spans="1:17" x14ac:dyDescent="0.4">
      <c r="A42" t="str">
        <f t="shared" si="8"/>
        <v>PINTAIL</v>
      </c>
      <c r="C42" s="6">
        <f t="shared" ref="C42:N42" si="15">C8+C25</f>
        <v>0</v>
      </c>
      <c r="D42" s="6">
        <f t="shared" si="15"/>
        <v>0</v>
      </c>
      <c r="E42" s="6">
        <f t="shared" si="15"/>
        <v>1</v>
      </c>
      <c r="F42" s="6">
        <f t="shared" si="15"/>
        <v>5</v>
      </c>
      <c r="G42" s="6">
        <f t="shared" si="15"/>
        <v>14</v>
      </c>
      <c r="H42" s="6">
        <f t="shared" si="15"/>
        <v>0</v>
      </c>
      <c r="I42" s="6">
        <f t="shared" si="15"/>
        <v>9</v>
      </c>
      <c r="J42" s="6">
        <f t="shared" si="15"/>
        <v>0</v>
      </c>
      <c r="K42" s="6">
        <f t="shared" si="15"/>
        <v>2</v>
      </c>
      <c r="L42" s="6">
        <f t="shared" si="15"/>
        <v>12</v>
      </c>
      <c r="M42" s="6">
        <f t="shared" si="15"/>
        <v>1</v>
      </c>
      <c r="N42" s="6">
        <f t="shared" si="15"/>
        <v>0</v>
      </c>
      <c r="O42">
        <f t="shared" si="10"/>
        <v>44</v>
      </c>
      <c r="P42" s="22">
        <f t="shared" si="11"/>
        <v>0.11253196930946291</v>
      </c>
      <c r="Q42" s="23">
        <v>4.4898E-2</v>
      </c>
    </row>
    <row r="43" spans="1:17" x14ac:dyDescent="0.4">
      <c r="A43" t="str">
        <f t="shared" si="8"/>
        <v>REDHEAD</v>
      </c>
      <c r="C43" s="6">
        <f t="shared" ref="C43:N43" si="16">C9+C26</f>
        <v>0</v>
      </c>
      <c r="D43" s="6">
        <f t="shared" si="16"/>
        <v>0</v>
      </c>
      <c r="E43" s="6">
        <f t="shared" si="16"/>
        <v>0</v>
      </c>
      <c r="F43" s="6">
        <f t="shared" si="16"/>
        <v>1</v>
      </c>
      <c r="G43" s="6">
        <f t="shared" si="16"/>
        <v>0</v>
      </c>
      <c r="H43" s="6">
        <f t="shared" si="16"/>
        <v>0</v>
      </c>
      <c r="I43" s="6">
        <f t="shared" si="16"/>
        <v>3</v>
      </c>
      <c r="J43" s="6">
        <f t="shared" si="16"/>
        <v>0</v>
      </c>
      <c r="K43" s="6">
        <f t="shared" si="16"/>
        <v>0</v>
      </c>
      <c r="L43" s="6">
        <f t="shared" si="16"/>
        <v>0</v>
      </c>
      <c r="M43" s="6">
        <f t="shared" si="16"/>
        <v>0</v>
      </c>
      <c r="N43" s="6">
        <f t="shared" si="16"/>
        <v>0</v>
      </c>
      <c r="O43">
        <f t="shared" si="10"/>
        <v>4</v>
      </c>
      <c r="P43" s="22">
        <f t="shared" si="11"/>
        <v>1.0230179028132993E-2</v>
      </c>
      <c r="Q43" s="23">
        <v>6.8075999999999998E-2</v>
      </c>
    </row>
    <row r="44" spans="1:17" x14ac:dyDescent="0.4">
      <c r="A44" t="str">
        <f t="shared" si="8"/>
        <v>RINGNECK</v>
      </c>
      <c r="C44" s="6">
        <f t="shared" ref="C44:N44" si="17">C10+C27</f>
        <v>0</v>
      </c>
      <c r="D44" s="6">
        <f t="shared" si="17"/>
        <v>0</v>
      </c>
      <c r="E44" s="6">
        <f t="shared" si="17"/>
        <v>0</v>
      </c>
      <c r="F44" s="6">
        <f t="shared" si="17"/>
        <v>0</v>
      </c>
      <c r="G44" s="6">
        <f t="shared" si="17"/>
        <v>0</v>
      </c>
      <c r="H44" s="6">
        <f t="shared" si="17"/>
        <v>0</v>
      </c>
      <c r="I44" s="6">
        <f t="shared" si="17"/>
        <v>0</v>
      </c>
      <c r="J44" s="6">
        <f t="shared" si="17"/>
        <v>0</v>
      </c>
      <c r="K44" s="6">
        <f t="shared" si="17"/>
        <v>0</v>
      </c>
      <c r="L44" s="6">
        <f t="shared" si="17"/>
        <v>1</v>
      </c>
      <c r="M44" s="6">
        <f t="shared" si="17"/>
        <v>0</v>
      </c>
      <c r="N44" s="6">
        <f t="shared" si="17"/>
        <v>0</v>
      </c>
      <c r="O44">
        <f t="shared" si="10"/>
        <v>1</v>
      </c>
      <c r="P44" s="22">
        <f t="shared" si="11"/>
        <v>2.5575447570332483E-3</v>
      </c>
      <c r="Q44" s="23">
        <v>2.4636000000000002E-2</v>
      </c>
    </row>
    <row r="45" spans="1:17" x14ac:dyDescent="0.4">
      <c r="A45" t="str">
        <f t="shared" si="8"/>
        <v>RUDDY</v>
      </c>
      <c r="C45" s="6">
        <f t="shared" ref="C45:N45" si="18">C11+C28</f>
        <v>0</v>
      </c>
      <c r="D45" s="6">
        <f t="shared" si="18"/>
        <v>0</v>
      </c>
      <c r="E45" s="6">
        <f t="shared" si="18"/>
        <v>0</v>
      </c>
      <c r="F45" s="6">
        <f t="shared" si="18"/>
        <v>0</v>
      </c>
      <c r="G45" s="6">
        <f t="shared" si="18"/>
        <v>0</v>
      </c>
      <c r="H45" s="6">
        <f t="shared" si="18"/>
        <v>0</v>
      </c>
      <c r="I45" s="6">
        <f t="shared" si="18"/>
        <v>1</v>
      </c>
      <c r="J45" s="6">
        <f t="shared" si="18"/>
        <v>0</v>
      </c>
      <c r="K45" s="6">
        <f t="shared" si="18"/>
        <v>0</v>
      </c>
      <c r="L45" s="6">
        <f t="shared" si="18"/>
        <v>3</v>
      </c>
      <c r="M45" s="6">
        <f t="shared" si="18"/>
        <v>0</v>
      </c>
      <c r="N45" s="6">
        <f t="shared" si="18"/>
        <v>0</v>
      </c>
      <c r="O45">
        <f t="shared" si="10"/>
        <v>4</v>
      </c>
      <c r="P45" s="22">
        <f t="shared" si="11"/>
        <v>1.0230179028132993E-2</v>
      </c>
      <c r="Q45" s="23">
        <v>9.3290000000000005E-3</v>
      </c>
    </row>
    <row r="46" spans="1:17" x14ac:dyDescent="0.4">
      <c r="A46" t="str">
        <f t="shared" si="8"/>
        <v>SPOONY</v>
      </c>
      <c r="C46" s="6">
        <f t="shared" ref="C46:N46" si="19">C12+C29</f>
        <v>0</v>
      </c>
      <c r="D46" s="6">
        <f t="shared" si="19"/>
        <v>0</v>
      </c>
      <c r="E46" s="6">
        <f t="shared" si="19"/>
        <v>0</v>
      </c>
      <c r="F46" s="6">
        <f t="shared" si="19"/>
        <v>5</v>
      </c>
      <c r="G46" s="6">
        <f t="shared" si="19"/>
        <v>16</v>
      </c>
      <c r="H46" s="6">
        <f t="shared" si="19"/>
        <v>0</v>
      </c>
      <c r="I46" s="6">
        <f t="shared" si="19"/>
        <v>7</v>
      </c>
      <c r="J46" s="6">
        <f t="shared" si="19"/>
        <v>1</v>
      </c>
      <c r="K46" s="6">
        <f t="shared" si="19"/>
        <v>9</v>
      </c>
      <c r="L46" s="6">
        <f t="shared" si="19"/>
        <v>8</v>
      </c>
      <c r="M46" s="6">
        <f t="shared" si="19"/>
        <v>9</v>
      </c>
      <c r="N46" s="6">
        <f t="shared" si="19"/>
        <v>0</v>
      </c>
      <c r="O46">
        <f t="shared" si="10"/>
        <v>55</v>
      </c>
      <c r="P46" s="22">
        <f t="shared" si="11"/>
        <v>0.14066496163682865</v>
      </c>
      <c r="Q46" s="23">
        <v>0.20918400000000001</v>
      </c>
    </row>
    <row r="47" spans="1:17" x14ac:dyDescent="0.4">
      <c r="A47" t="str">
        <f t="shared" si="8"/>
        <v>TEAL</v>
      </c>
      <c r="C47" s="6">
        <f t="shared" ref="C47:N47" si="20">C13+C30</f>
        <v>0</v>
      </c>
      <c r="D47" s="6">
        <f t="shared" si="20"/>
        <v>0</v>
      </c>
      <c r="E47" s="6">
        <f t="shared" si="20"/>
        <v>2</v>
      </c>
      <c r="F47" s="6">
        <f t="shared" si="20"/>
        <v>34</v>
      </c>
      <c r="G47" s="6">
        <f t="shared" si="20"/>
        <v>57</v>
      </c>
      <c r="H47" s="6">
        <f t="shared" si="20"/>
        <v>7</v>
      </c>
      <c r="I47" s="6">
        <f t="shared" si="20"/>
        <v>39</v>
      </c>
      <c r="J47" s="6">
        <f t="shared" si="20"/>
        <v>2</v>
      </c>
      <c r="K47" s="6">
        <f t="shared" si="20"/>
        <v>6</v>
      </c>
      <c r="L47" s="6">
        <f t="shared" si="20"/>
        <v>25</v>
      </c>
      <c r="M47" s="6">
        <f t="shared" si="20"/>
        <v>9</v>
      </c>
      <c r="N47" s="6">
        <f t="shared" si="20"/>
        <v>0</v>
      </c>
      <c r="O47">
        <f t="shared" si="10"/>
        <v>181</v>
      </c>
      <c r="P47" s="22">
        <f t="shared" si="11"/>
        <v>0.46291560102301788</v>
      </c>
      <c r="Q47" s="23">
        <v>0.27769700000000003</v>
      </c>
    </row>
    <row r="48" spans="1:17" x14ac:dyDescent="0.4">
      <c r="A48" t="str">
        <f t="shared" si="8"/>
        <v>WIDGEON</v>
      </c>
      <c r="C48" s="6">
        <f t="shared" ref="C48:N48" si="21">C14+C31</f>
        <v>0</v>
      </c>
      <c r="D48" s="6">
        <f t="shared" si="21"/>
        <v>0</v>
      </c>
      <c r="E48" s="6">
        <f t="shared" si="21"/>
        <v>3</v>
      </c>
      <c r="F48" s="6">
        <f t="shared" si="21"/>
        <v>18</v>
      </c>
      <c r="G48" s="6">
        <f t="shared" si="21"/>
        <v>21</v>
      </c>
      <c r="H48" s="6">
        <f t="shared" si="21"/>
        <v>1</v>
      </c>
      <c r="I48" s="6">
        <f t="shared" si="21"/>
        <v>11</v>
      </c>
      <c r="J48" s="6">
        <f t="shared" si="21"/>
        <v>1</v>
      </c>
      <c r="K48" s="6">
        <f t="shared" si="21"/>
        <v>0</v>
      </c>
      <c r="L48" s="6">
        <f t="shared" si="21"/>
        <v>11</v>
      </c>
      <c r="M48" s="6">
        <f t="shared" si="21"/>
        <v>5</v>
      </c>
      <c r="N48" s="6">
        <f t="shared" si="21"/>
        <v>0</v>
      </c>
      <c r="O48">
        <f t="shared" si="10"/>
        <v>71</v>
      </c>
      <c r="P48" s="22">
        <f t="shared" si="11"/>
        <v>0.1815856777493606</v>
      </c>
      <c r="Q48" s="23">
        <v>8.8483999999999993E-2</v>
      </c>
    </row>
    <row r="49" spans="1:17" x14ac:dyDescent="0.4">
      <c r="A49" t="str">
        <f t="shared" si="8"/>
        <v>MISC</v>
      </c>
      <c r="C49" s="6">
        <f t="shared" ref="C49:N49" si="22">C15+C32</f>
        <v>0</v>
      </c>
      <c r="D49" s="6">
        <f t="shared" si="22"/>
        <v>0</v>
      </c>
      <c r="E49" s="6">
        <f t="shared" si="22"/>
        <v>0</v>
      </c>
      <c r="F49" s="6">
        <f t="shared" si="22"/>
        <v>0</v>
      </c>
      <c r="G49" s="6">
        <f t="shared" si="22"/>
        <v>0</v>
      </c>
      <c r="H49" s="6">
        <f t="shared" si="22"/>
        <v>0</v>
      </c>
      <c r="I49" s="6">
        <f t="shared" si="22"/>
        <v>0</v>
      </c>
      <c r="J49" s="6">
        <f t="shared" si="22"/>
        <v>0</v>
      </c>
      <c r="K49" s="6">
        <f t="shared" si="22"/>
        <v>0</v>
      </c>
      <c r="L49" s="6">
        <f t="shared" si="22"/>
        <v>0</v>
      </c>
      <c r="M49" s="6">
        <f t="shared" si="22"/>
        <v>0</v>
      </c>
      <c r="N49" s="6">
        <f t="shared" si="22"/>
        <v>0</v>
      </c>
      <c r="O49">
        <f t="shared" si="10"/>
        <v>0</v>
      </c>
      <c r="P49" s="22">
        <f t="shared" si="11"/>
        <v>0</v>
      </c>
      <c r="Q49" s="23">
        <v>7.3400000000000002E-3</v>
      </c>
    </row>
    <row r="50" spans="1:17" ht="13" thickBot="1" x14ac:dyDescent="0.45">
      <c r="A50" t="s">
        <v>58</v>
      </c>
      <c r="C50" s="18">
        <f t="shared" ref="C50:N50" si="23">C16+C33</f>
        <v>0</v>
      </c>
      <c r="D50" s="18">
        <f t="shared" si="23"/>
        <v>0</v>
      </c>
      <c r="E50" s="18">
        <f t="shared" si="23"/>
        <v>0</v>
      </c>
      <c r="F50" s="18">
        <f t="shared" si="23"/>
        <v>0</v>
      </c>
      <c r="G50" s="18">
        <f t="shared" si="23"/>
        <v>0</v>
      </c>
      <c r="H50" s="18">
        <f t="shared" si="23"/>
        <v>0</v>
      </c>
      <c r="I50" s="18">
        <f t="shared" si="23"/>
        <v>0</v>
      </c>
      <c r="J50" s="18">
        <f t="shared" si="23"/>
        <v>0</v>
      </c>
      <c r="K50" s="18">
        <f t="shared" si="23"/>
        <v>0</v>
      </c>
      <c r="L50" s="18">
        <f t="shared" si="23"/>
        <v>0</v>
      </c>
      <c r="M50" s="18">
        <f t="shared" si="23"/>
        <v>0</v>
      </c>
      <c r="N50" s="18">
        <f t="shared" si="23"/>
        <v>0</v>
      </c>
      <c r="O50" s="17">
        <f t="shared" si="10"/>
        <v>0</v>
      </c>
      <c r="P50" s="24">
        <f t="shared" si="11"/>
        <v>0</v>
      </c>
      <c r="Q50" s="25">
        <v>5.3940000000000004E-3</v>
      </c>
    </row>
    <row r="51" spans="1:17" x14ac:dyDescent="0.4">
      <c r="A51" t="s">
        <v>25</v>
      </c>
      <c r="C51" s="6">
        <f>0+SUM(C37:C50)</f>
        <v>0</v>
      </c>
      <c r="D51" s="6">
        <f t="shared" ref="D51:N51" si="24">0+SUM(D37:D50)</f>
        <v>0</v>
      </c>
      <c r="E51" s="6">
        <f t="shared" si="24"/>
        <v>8</v>
      </c>
      <c r="F51" s="6">
        <f t="shared" si="24"/>
        <v>68</v>
      </c>
      <c r="G51" s="6">
        <f t="shared" si="24"/>
        <v>114</v>
      </c>
      <c r="H51" s="6">
        <f t="shared" si="24"/>
        <v>8</v>
      </c>
      <c r="I51" s="6">
        <f t="shared" si="24"/>
        <v>76</v>
      </c>
      <c r="J51" s="6">
        <f t="shared" si="24"/>
        <v>4</v>
      </c>
      <c r="K51" s="6">
        <f t="shared" si="24"/>
        <v>18</v>
      </c>
      <c r="L51" s="6">
        <f t="shared" si="24"/>
        <v>67</v>
      </c>
      <c r="M51" s="6">
        <f t="shared" si="24"/>
        <v>26</v>
      </c>
      <c r="N51" s="6">
        <f t="shared" si="24"/>
        <v>2</v>
      </c>
      <c r="O51">
        <f>SUM(O37:O50)</f>
        <v>391</v>
      </c>
      <c r="Q51" s="19"/>
    </row>
    <row r="52" spans="1:17" x14ac:dyDescent="0.4">
      <c r="A52" t="s">
        <v>48</v>
      </c>
      <c r="C52" s="8">
        <f t="shared" ref="C52:N52" si="25">C51/$O$51</f>
        <v>0</v>
      </c>
      <c r="D52" s="8">
        <f t="shared" si="25"/>
        <v>0</v>
      </c>
      <c r="E52" s="8">
        <f t="shared" si="25"/>
        <v>2.0460358056265986E-2</v>
      </c>
      <c r="F52" s="8">
        <f t="shared" si="25"/>
        <v>0.17391304347826086</v>
      </c>
      <c r="G52" s="8">
        <f t="shared" si="25"/>
        <v>0.2915601023017903</v>
      </c>
      <c r="H52" s="8">
        <f t="shared" si="25"/>
        <v>2.0460358056265986E-2</v>
      </c>
      <c r="I52" s="8">
        <f t="shared" si="25"/>
        <v>0.19437340153452684</v>
      </c>
      <c r="J52" s="8">
        <f t="shared" si="25"/>
        <v>1.0230179028132993E-2</v>
      </c>
      <c r="K52" s="8">
        <f t="shared" si="25"/>
        <v>4.6035805626598467E-2</v>
      </c>
      <c r="L52" s="8">
        <f t="shared" si="25"/>
        <v>0.17135549872122763</v>
      </c>
      <c r="M52" s="8">
        <f t="shared" si="25"/>
        <v>6.6496163682864456E-2</v>
      </c>
      <c r="N52" s="8">
        <f t="shared" si="25"/>
        <v>5.1150895140664966E-3</v>
      </c>
    </row>
    <row r="53" spans="1:17" x14ac:dyDescent="0.4">
      <c r="A53" s="5" t="s">
        <v>47</v>
      </c>
    </row>
    <row r="54" spans="1:17" x14ac:dyDescent="0.4">
      <c r="A54" t="s">
        <v>40</v>
      </c>
      <c r="D54" s="6">
        <v>83</v>
      </c>
    </row>
    <row r="55" spans="1:17" x14ac:dyDescent="0.4">
      <c r="A55" t="s">
        <v>41</v>
      </c>
      <c r="D55" s="9">
        <f>O17/D54</f>
        <v>0.50602409638554213</v>
      </c>
    </row>
    <row r="56" spans="1:17" x14ac:dyDescent="0.4">
      <c r="A56" t="s">
        <v>42</v>
      </c>
      <c r="D56" s="6">
        <v>160</v>
      </c>
    </row>
    <row r="57" spans="1:17" x14ac:dyDescent="0.4">
      <c r="A57" t="s">
        <v>43</v>
      </c>
      <c r="D57" s="9">
        <f>O34/D56</f>
        <v>2.1812499999999999</v>
      </c>
    </row>
    <row r="58" spans="1:17" x14ac:dyDescent="0.4">
      <c r="A58" t="s">
        <v>44</v>
      </c>
      <c r="D58" s="6">
        <f>D54+D56</f>
        <v>243</v>
      </c>
      <c r="F58" s="29" t="s">
        <v>62</v>
      </c>
    </row>
    <row r="59" spans="1:17" x14ac:dyDescent="0.4">
      <c r="A59" t="s">
        <v>45</v>
      </c>
      <c r="D59" s="9">
        <f>O51/D58</f>
        <v>1.6090534979423867</v>
      </c>
      <c r="F59" s="6">
        <v>2.4300000000000002</v>
      </c>
    </row>
    <row r="60" spans="1:17" x14ac:dyDescent="0.4">
      <c r="A60" t="s">
        <v>46</v>
      </c>
      <c r="D60" s="16">
        <f>O51/110</f>
        <v>3.5545454545454547</v>
      </c>
      <c r="F60" s="6">
        <v>2.92</v>
      </c>
      <c r="G60" s="28" t="s">
        <v>63</v>
      </c>
    </row>
    <row r="61" spans="1:17" x14ac:dyDescent="0.4">
      <c r="F61" s="6">
        <v>1.35</v>
      </c>
      <c r="G61" s="28" t="s">
        <v>64</v>
      </c>
    </row>
    <row r="62" spans="1:17" x14ac:dyDescent="0.4">
      <c r="A62" s="5" t="s">
        <v>49</v>
      </c>
    </row>
    <row r="63" spans="1:17" x14ac:dyDescent="0.4">
      <c r="A63" t="s">
        <v>53</v>
      </c>
    </row>
    <row r="64" spans="1:17" x14ac:dyDescent="0.4">
      <c r="A64" t="s">
        <v>54</v>
      </c>
    </row>
    <row r="65" spans="1:1" x14ac:dyDescent="0.4">
      <c r="A65" t="s">
        <v>50</v>
      </c>
    </row>
    <row r="66" spans="1:1" x14ac:dyDescent="0.4">
      <c r="A66" t="s">
        <v>55</v>
      </c>
    </row>
    <row r="67" spans="1:1" x14ac:dyDescent="0.4">
      <c r="A67" s="5" t="s">
        <v>56</v>
      </c>
    </row>
    <row r="68" spans="1:1" x14ac:dyDescent="0.4">
      <c r="A68" s="30" t="s">
        <v>66</v>
      </c>
    </row>
    <row r="69" spans="1:1" x14ac:dyDescent="0.4">
      <c r="A69" t="s">
        <v>67</v>
      </c>
    </row>
    <row r="70" spans="1:1" x14ac:dyDescent="0.4">
      <c r="A70" t="s">
        <v>65</v>
      </c>
    </row>
    <row r="71" spans="1:1" x14ac:dyDescent="0.4">
      <c r="A71" t="s">
        <v>68</v>
      </c>
    </row>
  </sheetData>
  <phoneticPr fontId="0" type="noConversion"/>
  <printOptions horizontalCentered="1" gridLines="1" gridLinesSet="0"/>
  <pageMargins left="0.6" right="0.23" top="0.75" bottom="0.72" header="0.5" footer="0.5"/>
  <pageSetup scale="77" orientation="portrait" r:id="rId1"/>
  <headerFooter alignWithMargins="0">
    <oddHeader>&amp;C&amp;"Arial,Bold Italic"&amp;14&amp;A BURBANK LAND CLUB HARVEST REPORT</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70"/>
  <sheetViews>
    <sheetView zoomScale="50" zoomScaleNormal="50" workbookViewId="0"/>
  </sheetViews>
  <sheetFormatPr defaultColWidth="9.1171875" defaultRowHeight="17.2" customHeight="1" x14ac:dyDescent="0.5"/>
  <cols>
    <col min="1" max="1" width="17" style="32" customWidth="1"/>
    <col min="2" max="2" width="3.29296875" style="32" customWidth="1"/>
    <col min="3" max="21" width="12.703125" style="33" customWidth="1"/>
    <col min="22" max="22" width="12.703125" style="32" customWidth="1"/>
    <col min="23" max="23" width="9.703125" style="32" customWidth="1"/>
    <col min="24" max="24" width="9.87890625" style="32" customWidth="1"/>
    <col min="25" max="16384" width="9.1171875" style="32"/>
  </cols>
  <sheetData>
    <row r="1" spans="1:22" ht="17.2" customHeight="1" thickBot="1" x14ac:dyDescent="0.55000000000000004">
      <c r="A1" s="31" t="s">
        <v>70</v>
      </c>
    </row>
    <row r="2" spans="1:22" ht="17.2" customHeight="1" thickBot="1" x14ac:dyDescent="0.55000000000000004">
      <c r="A2" s="34" t="s">
        <v>39</v>
      </c>
      <c r="B2" s="35"/>
      <c r="C2" s="36">
        <v>1</v>
      </c>
      <c r="D2" s="36">
        <v>2</v>
      </c>
      <c r="E2" s="36">
        <v>3</v>
      </c>
      <c r="F2" s="36">
        <v>4</v>
      </c>
      <c r="G2" s="36">
        <v>5</v>
      </c>
      <c r="H2" s="36">
        <v>6</v>
      </c>
      <c r="I2" s="36">
        <v>7</v>
      </c>
      <c r="J2" s="36">
        <v>8</v>
      </c>
      <c r="K2" s="36">
        <v>9</v>
      </c>
      <c r="L2" s="36">
        <v>10</v>
      </c>
      <c r="M2" s="36">
        <v>11</v>
      </c>
      <c r="N2" s="36">
        <v>12</v>
      </c>
      <c r="O2" s="36">
        <v>13</v>
      </c>
      <c r="P2" s="36">
        <v>14</v>
      </c>
      <c r="Q2" s="36">
        <v>15</v>
      </c>
      <c r="R2" s="36">
        <v>16</v>
      </c>
      <c r="S2" s="36">
        <v>17</v>
      </c>
      <c r="T2" s="36">
        <v>18</v>
      </c>
      <c r="U2" s="36">
        <v>19</v>
      </c>
      <c r="V2" s="37" t="s">
        <v>2</v>
      </c>
    </row>
    <row r="3" spans="1:22" ht="17.2" customHeight="1" x14ac:dyDescent="0.5">
      <c r="A3" s="32" t="s">
        <v>17</v>
      </c>
      <c r="F3" s="33">
        <v>1</v>
      </c>
      <c r="G3" s="33">
        <v>3</v>
      </c>
      <c r="N3" s="33">
        <v>1</v>
      </c>
      <c r="V3" s="32">
        <f>SUM(C3:U3)</f>
        <v>5</v>
      </c>
    </row>
    <row r="4" spans="1:22" ht="17.2" customHeight="1" x14ac:dyDescent="0.5">
      <c r="A4" s="32" t="s">
        <v>35</v>
      </c>
      <c r="N4" s="33">
        <v>1</v>
      </c>
      <c r="V4" s="32">
        <f t="shared" ref="V4:V15" si="0">SUM(C4:U4)</f>
        <v>1</v>
      </c>
    </row>
    <row r="5" spans="1:22" ht="17.2" customHeight="1" x14ac:dyDescent="0.5">
      <c r="A5" s="32" t="s">
        <v>16</v>
      </c>
      <c r="E5" s="33">
        <v>1</v>
      </c>
      <c r="G5" s="33">
        <v>2</v>
      </c>
      <c r="L5" s="33">
        <v>2</v>
      </c>
      <c r="M5" s="33">
        <v>1</v>
      </c>
      <c r="V5" s="32">
        <f t="shared" si="0"/>
        <v>6</v>
      </c>
    </row>
    <row r="6" spans="1:22" ht="17.2" customHeight="1" x14ac:dyDescent="0.5">
      <c r="A6" s="32" t="s">
        <v>29</v>
      </c>
      <c r="N6" s="33">
        <v>1</v>
      </c>
      <c r="V6" s="32">
        <f t="shared" si="0"/>
        <v>1</v>
      </c>
    </row>
    <row r="7" spans="1:22" ht="17.2" customHeight="1" x14ac:dyDescent="0.5">
      <c r="A7" s="32" t="s">
        <v>18</v>
      </c>
      <c r="F7" s="33">
        <v>2</v>
      </c>
      <c r="G7" s="33">
        <v>2</v>
      </c>
      <c r="L7" s="33">
        <v>3</v>
      </c>
      <c r="V7" s="32">
        <f t="shared" si="0"/>
        <v>7</v>
      </c>
    </row>
    <row r="8" spans="1:22" ht="17.2" customHeight="1" x14ac:dyDescent="0.5">
      <c r="A8" s="32" t="s">
        <v>19</v>
      </c>
      <c r="V8" s="32">
        <f t="shared" si="0"/>
        <v>0</v>
      </c>
    </row>
    <row r="9" spans="1:22" ht="17.2" customHeight="1" x14ac:dyDescent="0.5">
      <c r="A9" s="32" t="s">
        <v>20</v>
      </c>
      <c r="D9" s="33">
        <v>1</v>
      </c>
      <c r="L9" s="33">
        <v>1</v>
      </c>
      <c r="V9" s="32">
        <f t="shared" si="0"/>
        <v>2</v>
      </c>
    </row>
    <row r="10" spans="1:22" ht="17.2" customHeight="1" x14ac:dyDescent="0.5">
      <c r="A10" s="32" t="s">
        <v>21</v>
      </c>
      <c r="V10" s="32">
        <f t="shared" si="0"/>
        <v>0</v>
      </c>
    </row>
    <row r="11" spans="1:22" ht="17.2" customHeight="1" x14ac:dyDescent="0.5">
      <c r="A11" s="32" t="s">
        <v>34</v>
      </c>
      <c r="G11" s="33">
        <v>1</v>
      </c>
      <c r="L11" s="33">
        <v>1</v>
      </c>
      <c r="V11" s="32">
        <f t="shared" si="0"/>
        <v>2</v>
      </c>
    </row>
    <row r="12" spans="1:22" ht="17.2" customHeight="1" x14ac:dyDescent="0.5">
      <c r="A12" s="32" t="s">
        <v>22</v>
      </c>
      <c r="D12" s="33">
        <v>1</v>
      </c>
      <c r="G12" s="33">
        <v>6</v>
      </c>
      <c r="H12" s="33">
        <v>1</v>
      </c>
      <c r="I12" s="33">
        <v>1</v>
      </c>
      <c r="K12" s="33">
        <v>1</v>
      </c>
      <c r="M12" s="33">
        <v>1</v>
      </c>
      <c r="N12" s="33">
        <v>2</v>
      </c>
      <c r="V12" s="32">
        <f t="shared" si="0"/>
        <v>13</v>
      </c>
    </row>
    <row r="13" spans="1:22" ht="17.2" customHeight="1" x14ac:dyDescent="0.5">
      <c r="A13" s="32" t="s">
        <v>23</v>
      </c>
      <c r="E13" s="33">
        <v>2</v>
      </c>
      <c r="F13" s="33">
        <v>2</v>
      </c>
      <c r="G13" s="33">
        <v>1</v>
      </c>
      <c r="L13" s="33">
        <v>2</v>
      </c>
      <c r="M13" s="33">
        <v>2</v>
      </c>
      <c r="N13" s="33">
        <v>5</v>
      </c>
      <c r="V13" s="32">
        <f t="shared" si="0"/>
        <v>14</v>
      </c>
    </row>
    <row r="14" spans="1:22" ht="17.2" customHeight="1" x14ac:dyDescent="0.5">
      <c r="A14" s="32" t="s">
        <v>24</v>
      </c>
      <c r="G14" s="33">
        <v>1</v>
      </c>
      <c r="V14" s="32">
        <f t="shared" si="0"/>
        <v>1</v>
      </c>
    </row>
    <row r="15" spans="1:22" ht="17.2" customHeight="1" x14ac:dyDescent="0.5">
      <c r="A15" s="32" t="s">
        <v>36</v>
      </c>
      <c r="H15" s="33">
        <v>1</v>
      </c>
      <c r="V15" s="32">
        <f t="shared" si="0"/>
        <v>1</v>
      </c>
    </row>
    <row r="16" spans="1:22" ht="17.2" customHeight="1" thickBot="1" x14ac:dyDescent="0.55000000000000004">
      <c r="A16" s="32" t="s">
        <v>37</v>
      </c>
      <c r="C16" s="38"/>
      <c r="D16" s="38"/>
      <c r="E16" s="38"/>
      <c r="F16" s="38"/>
      <c r="G16" s="38"/>
      <c r="H16" s="38"/>
      <c r="I16" s="38"/>
      <c r="J16" s="38"/>
      <c r="K16" s="38"/>
      <c r="L16" s="38"/>
      <c r="M16" s="38"/>
      <c r="N16" s="38"/>
      <c r="O16" s="38"/>
      <c r="P16" s="38"/>
      <c r="Q16" s="38"/>
      <c r="R16" s="38"/>
      <c r="S16" s="38"/>
      <c r="T16" s="38"/>
      <c r="U16" s="38"/>
      <c r="V16" s="39">
        <f>SUM(C16:U16)</f>
        <v>0</v>
      </c>
    </row>
    <row r="17" spans="1:22" ht="17.2" customHeight="1" x14ac:dyDescent="0.5">
      <c r="A17" s="32" t="s">
        <v>25</v>
      </c>
      <c r="C17" s="33">
        <f>SUM(C3:C16)</f>
        <v>0</v>
      </c>
      <c r="D17" s="33">
        <f t="shared" ref="D17:N17" si="1">SUM(D3:D16)</f>
        <v>2</v>
      </c>
      <c r="E17" s="33">
        <f t="shared" si="1"/>
        <v>3</v>
      </c>
      <c r="F17" s="33">
        <f t="shared" si="1"/>
        <v>5</v>
      </c>
      <c r="G17" s="33">
        <f t="shared" si="1"/>
        <v>16</v>
      </c>
      <c r="H17" s="33">
        <f t="shared" si="1"/>
        <v>2</v>
      </c>
      <c r="I17" s="33">
        <f t="shared" si="1"/>
        <v>1</v>
      </c>
      <c r="J17" s="33">
        <f t="shared" si="1"/>
        <v>0</v>
      </c>
      <c r="K17" s="33">
        <f t="shared" si="1"/>
        <v>1</v>
      </c>
      <c r="L17" s="33">
        <f t="shared" si="1"/>
        <v>9</v>
      </c>
      <c r="M17" s="33">
        <f t="shared" si="1"/>
        <v>4</v>
      </c>
      <c r="N17" s="33">
        <f t="shared" si="1"/>
        <v>10</v>
      </c>
      <c r="O17" s="33">
        <f t="shared" ref="O17:V17" si="2">SUM(O3:O16)</f>
        <v>0</v>
      </c>
      <c r="P17" s="33">
        <f t="shared" si="2"/>
        <v>0</v>
      </c>
      <c r="Q17" s="33">
        <f t="shared" si="2"/>
        <v>0</v>
      </c>
      <c r="R17" s="33">
        <f t="shared" si="2"/>
        <v>0</v>
      </c>
      <c r="S17" s="33">
        <f t="shared" si="2"/>
        <v>0</v>
      </c>
      <c r="T17" s="33">
        <f t="shared" si="2"/>
        <v>0</v>
      </c>
      <c r="U17" s="33">
        <f t="shared" si="2"/>
        <v>0</v>
      </c>
      <c r="V17" s="32">
        <f t="shared" si="2"/>
        <v>53</v>
      </c>
    </row>
    <row r="18" spans="1:22" ht="17.2" customHeight="1" thickBot="1" x14ac:dyDescent="0.55000000000000004">
      <c r="A18" s="31" t="s">
        <v>69</v>
      </c>
      <c r="E18" s="40"/>
      <c r="F18" s="40"/>
    </row>
    <row r="19" spans="1:22" ht="17.2" customHeight="1" thickBot="1" x14ac:dyDescent="0.55000000000000004">
      <c r="A19" s="34" t="str">
        <f>A2</f>
        <v>BLIND #</v>
      </c>
      <c r="B19" s="41"/>
      <c r="C19" s="36">
        <f t="shared" ref="C19:N19" si="3">C2</f>
        <v>1</v>
      </c>
      <c r="D19" s="36">
        <f t="shared" si="3"/>
        <v>2</v>
      </c>
      <c r="E19" s="36">
        <f t="shared" si="3"/>
        <v>3</v>
      </c>
      <c r="F19" s="36">
        <f t="shared" si="3"/>
        <v>4</v>
      </c>
      <c r="G19" s="36">
        <f t="shared" si="3"/>
        <v>5</v>
      </c>
      <c r="H19" s="36">
        <f t="shared" si="3"/>
        <v>6</v>
      </c>
      <c r="I19" s="36">
        <f t="shared" si="3"/>
        <v>7</v>
      </c>
      <c r="J19" s="36">
        <f t="shared" si="3"/>
        <v>8</v>
      </c>
      <c r="K19" s="36">
        <f t="shared" si="3"/>
        <v>9</v>
      </c>
      <c r="L19" s="36">
        <f t="shared" si="3"/>
        <v>10</v>
      </c>
      <c r="M19" s="36">
        <f t="shared" si="3"/>
        <v>11</v>
      </c>
      <c r="N19" s="36">
        <f t="shared" si="3"/>
        <v>12</v>
      </c>
      <c r="O19" s="36">
        <v>13</v>
      </c>
      <c r="P19" s="36">
        <v>14</v>
      </c>
      <c r="Q19" s="36">
        <v>15</v>
      </c>
      <c r="R19" s="36">
        <v>16</v>
      </c>
      <c r="S19" s="36">
        <v>17</v>
      </c>
      <c r="T19" s="36">
        <v>18</v>
      </c>
      <c r="U19" s="36">
        <v>19</v>
      </c>
      <c r="V19" s="37" t="s">
        <v>2</v>
      </c>
    </row>
    <row r="20" spans="1:22" ht="17.2" customHeight="1" x14ac:dyDescent="0.5">
      <c r="A20" s="32" t="str">
        <f>A3</f>
        <v>BLUEBILL</v>
      </c>
      <c r="K20" s="33">
        <v>1</v>
      </c>
      <c r="V20" s="32">
        <f>SUM(C20:U20)</f>
        <v>1</v>
      </c>
    </row>
    <row r="21" spans="1:22" ht="17.2" customHeight="1" x14ac:dyDescent="0.5">
      <c r="A21" s="32" t="str">
        <f t="shared" ref="A21:A33" si="4">A4</f>
        <v>CANVASBACK</v>
      </c>
      <c r="H21" s="33">
        <v>1</v>
      </c>
      <c r="V21" s="32">
        <f t="shared" ref="V21:V33" si="5">SUM(C21:U21)</f>
        <v>1</v>
      </c>
    </row>
    <row r="22" spans="1:22" ht="17.2" customHeight="1" x14ac:dyDescent="0.5">
      <c r="A22" s="32" t="str">
        <f t="shared" si="4"/>
        <v>GADWALL</v>
      </c>
      <c r="G22" s="33">
        <v>7</v>
      </c>
      <c r="H22" s="33">
        <v>1</v>
      </c>
      <c r="O22" s="33">
        <v>1</v>
      </c>
      <c r="V22" s="32">
        <f t="shared" si="5"/>
        <v>9</v>
      </c>
    </row>
    <row r="23" spans="1:22" ht="17.2" customHeight="1" x14ac:dyDescent="0.5">
      <c r="A23" s="32" t="str">
        <f t="shared" si="4"/>
        <v>GEESE</v>
      </c>
      <c r="V23" s="32">
        <f t="shared" si="5"/>
        <v>0</v>
      </c>
    </row>
    <row r="24" spans="1:22" ht="17.2" customHeight="1" x14ac:dyDescent="0.5">
      <c r="A24" s="32" t="str">
        <f t="shared" si="4"/>
        <v>MALLARD</v>
      </c>
      <c r="F24" s="33">
        <v>1</v>
      </c>
      <c r="G24" s="33">
        <v>1</v>
      </c>
      <c r="H24" s="33">
        <v>3</v>
      </c>
      <c r="N24" s="33">
        <v>1</v>
      </c>
      <c r="V24" s="32">
        <f t="shared" si="5"/>
        <v>6</v>
      </c>
    </row>
    <row r="25" spans="1:22" ht="17.2" customHeight="1" x14ac:dyDescent="0.5">
      <c r="A25" s="32" t="str">
        <f t="shared" si="4"/>
        <v>PINTAIL</v>
      </c>
      <c r="E25" s="33">
        <v>4</v>
      </c>
      <c r="F25" s="33">
        <v>5</v>
      </c>
      <c r="G25" s="33">
        <v>7</v>
      </c>
      <c r="H25" s="33">
        <v>13</v>
      </c>
      <c r="I25" s="33">
        <v>5</v>
      </c>
      <c r="K25" s="33">
        <v>1</v>
      </c>
      <c r="L25" s="33">
        <v>12</v>
      </c>
      <c r="M25" s="33">
        <v>2</v>
      </c>
      <c r="N25" s="33">
        <v>7</v>
      </c>
      <c r="V25" s="32">
        <f t="shared" si="5"/>
        <v>56</v>
      </c>
    </row>
    <row r="26" spans="1:22" ht="17.2" customHeight="1" x14ac:dyDescent="0.5">
      <c r="A26" s="32" t="str">
        <f t="shared" si="4"/>
        <v>REDHEAD</v>
      </c>
      <c r="V26" s="32">
        <f t="shared" si="5"/>
        <v>0</v>
      </c>
    </row>
    <row r="27" spans="1:22" ht="17.2" customHeight="1" x14ac:dyDescent="0.5">
      <c r="A27" s="32" t="str">
        <f t="shared" si="4"/>
        <v>RINGNECK</v>
      </c>
      <c r="F27" s="33">
        <v>1</v>
      </c>
      <c r="H27" s="33">
        <v>1</v>
      </c>
      <c r="V27" s="32">
        <f t="shared" si="5"/>
        <v>2</v>
      </c>
    </row>
    <row r="28" spans="1:22" ht="17.2" customHeight="1" x14ac:dyDescent="0.5">
      <c r="A28" s="32" t="str">
        <f t="shared" si="4"/>
        <v>RUDDY</v>
      </c>
      <c r="H28" s="33">
        <v>1</v>
      </c>
      <c r="I28" s="33">
        <v>1</v>
      </c>
      <c r="V28" s="32">
        <f t="shared" si="5"/>
        <v>2</v>
      </c>
    </row>
    <row r="29" spans="1:22" ht="17.2" customHeight="1" x14ac:dyDescent="0.5">
      <c r="A29" s="32" t="str">
        <f t="shared" si="4"/>
        <v>SPOONY</v>
      </c>
      <c r="D29" s="33">
        <v>2</v>
      </c>
      <c r="E29" s="33">
        <v>1</v>
      </c>
      <c r="F29" s="33">
        <v>7</v>
      </c>
      <c r="G29" s="33">
        <v>3</v>
      </c>
      <c r="H29" s="33">
        <v>5</v>
      </c>
      <c r="I29" s="33">
        <v>5</v>
      </c>
      <c r="K29" s="33">
        <v>2</v>
      </c>
      <c r="L29" s="33">
        <v>3</v>
      </c>
      <c r="N29" s="33">
        <v>7</v>
      </c>
      <c r="O29" s="33">
        <v>1</v>
      </c>
      <c r="V29" s="32">
        <f t="shared" si="5"/>
        <v>36</v>
      </c>
    </row>
    <row r="30" spans="1:22" ht="17.2" customHeight="1" x14ac:dyDescent="0.5">
      <c r="A30" s="32" t="str">
        <f t="shared" si="4"/>
        <v>TEAL</v>
      </c>
      <c r="D30" s="33">
        <v>2</v>
      </c>
      <c r="E30" s="33">
        <v>5</v>
      </c>
      <c r="F30" s="33">
        <v>16</v>
      </c>
      <c r="G30" s="33">
        <v>21</v>
      </c>
      <c r="H30" s="33">
        <v>25</v>
      </c>
      <c r="I30" s="33">
        <v>12</v>
      </c>
      <c r="K30" s="33">
        <v>8</v>
      </c>
      <c r="L30" s="33">
        <v>13</v>
      </c>
      <c r="M30" s="33">
        <v>1</v>
      </c>
      <c r="N30" s="33">
        <v>7</v>
      </c>
      <c r="V30" s="32">
        <f t="shared" si="5"/>
        <v>110</v>
      </c>
    </row>
    <row r="31" spans="1:22" ht="17.2" customHeight="1" x14ac:dyDescent="0.5">
      <c r="A31" s="32" t="str">
        <f t="shared" si="4"/>
        <v>WIDGEON</v>
      </c>
      <c r="E31" s="33">
        <v>1</v>
      </c>
      <c r="G31" s="33">
        <v>1</v>
      </c>
      <c r="H31" s="33">
        <v>3</v>
      </c>
      <c r="I31" s="33">
        <v>1</v>
      </c>
      <c r="N31" s="33">
        <v>3</v>
      </c>
      <c r="V31" s="32">
        <f t="shared" si="5"/>
        <v>9</v>
      </c>
    </row>
    <row r="32" spans="1:22" ht="17.2" customHeight="1" x14ac:dyDescent="0.5">
      <c r="A32" s="32" t="str">
        <f t="shared" si="4"/>
        <v>MISC</v>
      </c>
      <c r="E32" s="33">
        <v>1</v>
      </c>
      <c r="G32" s="33">
        <v>1</v>
      </c>
      <c r="V32" s="32">
        <f t="shared" si="5"/>
        <v>2</v>
      </c>
    </row>
    <row r="33" spans="1:24" ht="17.2" customHeight="1" thickBot="1" x14ac:dyDescent="0.55000000000000004">
      <c r="A33" s="32" t="str">
        <f t="shared" si="4"/>
        <v>OTHER</v>
      </c>
      <c r="C33" s="38"/>
      <c r="D33" s="38"/>
      <c r="E33" s="38"/>
      <c r="F33" s="38"/>
      <c r="G33" s="38"/>
      <c r="H33" s="38"/>
      <c r="I33" s="38"/>
      <c r="J33" s="38"/>
      <c r="K33" s="38"/>
      <c r="L33" s="38"/>
      <c r="M33" s="38"/>
      <c r="N33" s="38"/>
      <c r="O33" s="38"/>
      <c r="P33" s="38"/>
      <c r="Q33" s="38"/>
      <c r="R33" s="38"/>
      <c r="S33" s="38"/>
      <c r="T33" s="38"/>
      <c r="U33" s="38"/>
      <c r="V33" s="39">
        <f t="shared" si="5"/>
        <v>0</v>
      </c>
    </row>
    <row r="34" spans="1:24" ht="17.2" customHeight="1" thickBot="1" x14ac:dyDescent="0.55000000000000004">
      <c r="A34" s="32" t="s">
        <v>25</v>
      </c>
      <c r="C34" s="33">
        <f>0+SUM(C20:C33)</f>
        <v>0</v>
      </c>
      <c r="D34" s="33">
        <f t="shared" ref="D34:N34" si="6">0+SUM(D20:D33)</f>
        <v>4</v>
      </c>
      <c r="E34" s="33">
        <f t="shared" si="6"/>
        <v>12</v>
      </c>
      <c r="F34" s="33">
        <f t="shared" si="6"/>
        <v>30</v>
      </c>
      <c r="G34" s="33">
        <f t="shared" si="6"/>
        <v>41</v>
      </c>
      <c r="H34" s="33">
        <f t="shared" si="6"/>
        <v>53</v>
      </c>
      <c r="I34" s="33">
        <f t="shared" si="6"/>
        <v>24</v>
      </c>
      <c r="J34" s="33">
        <f t="shared" si="6"/>
        <v>0</v>
      </c>
      <c r="K34" s="33">
        <f t="shared" si="6"/>
        <v>12</v>
      </c>
      <c r="L34" s="33">
        <f t="shared" si="6"/>
        <v>28</v>
      </c>
      <c r="M34" s="33">
        <f t="shared" si="6"/>
        <v>3</v>
      </c>
      <c r="N34" s="33">
        <f t="shared" si="6"/>
        <v>25</v>
      </c>
      <c r="O34" s="33">
        <f t="shared" ref="O34:U34" si="7">0+SUM(O20:O33)</f>
        <v>2</v>
      </c>
      <c r="P34" s="33">
        <f t="shared" si="7"/>
        <v>0</v>
      </c>
      <c r="Q34" s="33">
        <f t="shared" si="7"/>
        <v>0</v>
      </c>
      <c r="R34" s="33">
        <f t="shared" si="7"/>
        <v>0</v>
      </c>
      <c r="S34" s="33">
        <f t="shared" si="7"/>
        <v>0</v>
      </c>
      <c r="T34" s="33">
        <f t="shared" si="7"/>
        <v>0</v>
      </c>
      <c r="U34" s="33">
        <f t="shared" si="7"/>
        <v>0</v>
      </c>
      <c r="V34" s="32">
        <f>SUM(V20:V33)</f>
        <v>234</v>
      </c>
    </row>
    <row r="35" spans="1:24" ht="17.2" customHeight="1" thickBot="1" x14ac:dyDescent="0.55000000000000004">
      <c r="A35" s="31" t="s">
        <v>38</v>
      </c>
      <c r="B35" s="31"/>
      <c r="C35" s="40"/>
      <c r="D35" s="40"/>
      <c r="E35" s="40"/>
      <c r="F35" s="40"/>
      <c r="G35" s="40"/>
      <c r="H35" s="40"/>
      <c r="I35" s="40"/>
      <c r="J35" s="40"/>
      <c r="K35" s="40"/>
      <c r="L35" s="40"/>
      <c r="M35" s="40"/>
      <c r="N35" s="40"/>
      <c r="O35" s="40"/>
      <c r="P35" s="40"/>
      <c r="Q35" s="40"/>
      <c r="R35" s="40"/>
      <c r="S35" s="40"/>
      <c r="T35" s="40"/>
      <c r="U35" s="40"/>
      <c r="V35" s="42"/>
      <c r="W35" s="43" t="s">
        <v>60</v>
      </c>
      <c r="X35" s="44" t="s">
        <v>57</v>
      </c>
    </row>
    <row r="36" spans="1:24" ht="17.2" customHeight="1" thickBot="1" x14ac:dyDescent="0.55000000000000004">
      <c r="A36" s="34" t="str">
        <f>A19</f>
        <v>BLIND #</v>
      </c>
      <c r="B36" s="41"/>
      <c r="C36" s="36">
        <f t="shared" ref="C36:U36" si="8">C19</f>
        <v>1</v>
      </c>
      <c r="D36" s="36">
        <f t="shared" si="8"/>
        <v>2</v>
      </c>
      <c r="E36" s="36">
        <f t="shared" si="8"/>
        <v>3</v>
      </c>
      <c r="F36" s="36">
        <f t="shared" si="8"/>
        <v>4</v>
      </c>
      <c r="G36" s="36">
        <f t="shared" si="8"/>
        <v>5</v>
      </c>
      <c r="H36" s="36">
        <f t="shared" si="8"/>
        <v>6</v>
      </c>
      <c r="I36" s="36">
        <f t="shared" si="8"/>
        <v>7</v>
      </c>
      <c r="J36" s="36">
        <f t="shared" si="8"/>
        <v>8</v>
      </c>
      <c r="K36" s="36">
        <f t="shared" si="8"/>
        <v>9</v>
      </c>
      <c r="L36" s="36">
        <f t="shared" si="8"/>
        <v>10</v>
      </c>
      <c r="M36" s="36">
        <f t="shared" si="8"/>
        <v>11</v>
      </c>
      <c r="N36" s="36">
        <f t="shared" si="8"/>
        <v>12</v>
      </c>
      <c r="O36" s="36">
        <f t="shared" si="8"/>
        <v>13</v>
      </c>
      <c r="P36" s="36">
        <f t="shared" si="8"/>
        <v>14</v>
      </c>
      <c r="Q36" s="36">
        <f t="shared" si="8"/>
        <v>15</v>
      </c>
      <c r="R36" s="36">
        <f t="shared" si="8"/>
        <v>16</v>
      </c>
      <c r="S36" s="36">
        <f t="shared" si="8"/>
        <v>17</v>
      </c>
      <c r="T36" s="36">
        <f t="shared" si="8"/>
        <v>18</v>
      </c>
      <c r="U36" s="36">
        <f t="shared" si="8"/>
        <v>19</v>
      </c>
      <c r="V36" s="42" t="s">
        <v>2</v>
      </c>
      <c r="W36" s="45" t="s">
        <v>61</v>
      </c>
      <c r="X36" s="46" t="s">
        <v>59</v>
      </c>
    </row>
    <row r="37" spans="1:24" ht="17.2" customHeight="1" x14ac:dyDescent="0.5">
      <c r="A37" s="32" t="str">
        <f>A20</f>
        <v>BLUEBILL</v>
      </c>
      <c r="C37" s="33">
        <f t="shared" ref="C37:N50" si="9">C3+C20</f>
        <v>0</v>
      </c>
      <c r="D37" s="33">
        <f t="shared" si="9"/>
        <v>0</v>
      </c>
      <c r="E37" s="33">
        <f t="shared" si="9"/>
        <v>0</v>
      </c>
      <c r="F37" s="33">
        <f t="shared" si="9"/>
        <v>1</v>
      </c>
      <c r="G37" s="33">
        <f t="shared" si="9"/>
        <v>3</v>
      </c>
      <c r="H37" s="33">
        <f t="shared" si="9"/>
        <v>0</v>
      </c>
      <c r="I37" s="33">
        <f t="shared" si="9"/>
        <v>0</v>
      </c>
      <c r="J37" s="33">
        <f t="shared" si="9"/>
        <v>0</v>
      </c>
      <c r="K37" s="33">
        <f t="shared" si="9"/>
        <v>1</v>
      </c>
      <c r="L37" s="33">
        <f t="shared" si="9"/>
        <v>0</v>
      </c>
      <c r="M37" s="33">
        <f t="shared" si="9"/>
        <v>0</v>
      </c>
      <c r="N37" s="33">
        <f t="shared" si="9"/>
        <v>1</v>
      </c>
      <c r="O37" s="33">
        <f t="shared" ref="O37:U37" si="10">O3+O20</f>
        <v>0</v>
      </c>
      <c r="P37" s="33">
        <f t="shared" si="10"/>
        <v>0</v>
      </c>
      <c r="Q37" s="33">
        <f t="shared" si="10"/>
        <v>0</v>
      </c>
      <c r="R37" s="33">
        <f t="shared" si="10"/>
        <v>0</v>
      </c>
      <c r="S37" s="33">
        <f t="shared" si="10"/>
        <v>0</v>
      </c>
      <c r="T37" s="33">
        <f t="shared" si="10"/>
        <v>0</v>
      </c>
      <c r="U37" s="33">
        <f t="shared" si="10"/>
        <v>0</v>
      </c>
      <c r="V37" s="32">
        <f>SUM(C37:U37)</f>
        <v>6</v>
      </c>
      <c r="W37" s="47">
        <f>V37/$V$51</f>
        <v>2.0905923344947737E-2</v>
      </c>
      <c r="X37" s="48">
        <f>15/8166</f>
        <v>1.8368846436443791E-3</v>
      </c>
    </row>
    <row r="38" spans="1:24" ht="17.2" customHeight="1" x14ac:dyDescent="0.5">
      <c r="A38" s="32" t="str">
        <f t="shared" ref="A38:A49" si="11">A21</f>
        <v>CANVASBACK</v>
      </c>
      <c r="C38" s="33">
        <f t="shared" si="9"/>
        <v>0</v>
      </c>
      <c r="D38" s="33">
        <f t="shared" si="9"/>
        <v>0</v>
      </c>
      <c r="E38" s="33">
        <f t="shared" si="9"/>
        <v>0</v>
      </c>
      <c r="F38" s="33">
        <f t="shared" si="9"/>
        <v>0</v>
      </c>
      <c r="G38" s="33">
        <f t="shared" si="9"/>
        <v>0</v>
      </c>
      <c r="H38" s="33">
        <f t="shared" si="9"/>
        <v>1</v>
      </c>
      <c r="I38" s="33">
        <f t="shared" si="9"/>
        <v>0</v>
      </c>
      <c r="J38" s="33">
        <f t="shared" si="9"/>
        <v>0</v>
      </c>
      <c r="K38" s="33">
        <f t="shared" si="9"/>
        <v>0</v>
      </c>
      <c r="L38" s="33">
        <f t="shared" si="9"/>
        <v>0</v>
      </c>
      <c r="M38" s="33">
        <f t="shared" si="9"/>
        <v>0</v>
      </c>
      <c r="N38" s="33">
        <f t="shared" si="9"/>
        <v>1</v>
      </c>
      <c r="O38" s="33">
        <f t="shared" ref="O38:U38" si="12">O4+O21</f>
        <v>0</v>
      </c>
      <c r="P38" s="33">
        <f t="shared" si="12"/>
        <v>0</v>
      </c>
      <c r="Q38" s="33">
        <f t="shared" si="12"/>
        <v>0</v>
      </c>
      <c r="R38" s="33">
        <f t="shared" si="12"/>
        <v>0</v>
      </c>
      <c r="S38" s="33">
        <f t="shared" si="12"/>
        <v>0</v>
      </c>
      <c r="T38" s="33">
        <f t="shared" si="12"/>
        <v>0</v>
      </c>
      <c r="U38" s="33">
        <f t="shared" si="12"/>
        <v>0</v>
      </c>
      <c r="V38" s="32">
        <f t="shared" ref="V38:V50" si="13">SUM(C38:U38)</f>
        <v>2</v>
      </c>
      <c r="W38" s="47">
        <f t="shared" ref="W38:W50" si="14">V38/$V$51</f>
        <v>6.9686411149825784E-3</v>
      </c>
      <c r="X38" s="48">
        <f>23/8166</f>
        <v>2.8165564535880482E-3</v>
      </c>
    </row>
    <row r="39" spans="1:24" ht="17.2" customHeight="1" x14ac:dyDescent="0.5">
      <c r="A39" s="32" t="str">
        <f t="shared" si="11"/>
        <v>GADWALL</v>
      </c>
      <c r="C39" s="33">
        <f t="shared" si="9"/>
        <v>0</v>
      </c>
      <c r="D39" s="33">
        <f t="shared" si="9"/>
        <v>0</v>
      </c>
      <c r="E39" s="33">
        <f t="shared" si="9"/>
        <v>1</v>
      </c>
      <c r="F39" s="33">
        <f t="shared" si="9"/>
        <v>0</v>
      </c>
      <c r="G39" s="33">
        <f t="shared" si="9"/>
        <v>9</v>
      </c>
      <c r="H39" s="33">
        <f t="shared" si="9"/>
        <v>1</v>
      </c>
      <c r="I39" s="33">
        <f t="shared" si="9"/>
        <v>0</v>
      </c>
      <c r="J39" s="33">
        <f t="shared" si="9"/>
        <v>0</v>
      </c>
      <c r="K39" s="33">
        <f t="shared" si="9"/>
        <v>0</v>
      </c>
      <c r="L39" s="33">
        <f t="shared" si="9"/>
        <v>2</v>
      </c>
      <c r="M39" s="33">
        <f t="shared" si="9"/>
        <v>1</v>
      </c>
      <c r="N39" s="33">
        <f t="shared" si="9"/>
        <v>0</v>
      </c>
      <c r="O39" s="33">
        <f t="shared" ref="O39:U39" si="15">O5+O22</f>
        <v>1</v>
      </c>
      <c r="P39" s="33">
        <f t="shared" si="15"/>
        <v>0</v>
      </c>
      <c r="Q39" s="33">
        <f t="shared" si="15"/>
        <v>0</v>
      </c>
      <c r="R39" s="33">
        <f t="shared" si="15"/>
        <v>0</v>
      </c>
      <c r="S39" s="33">
        <f t="shared" si="15"/>
        <v>0</v>
      </c>
      <c r="T39" s="33">
        <f t="shared" si="15"/>
        <v>0</v>
      </c>
      <c r="U39" s="33">
        <f t="shared" si="15"/>
        <v>0</v>
      </c>
      <c r="V39" s="32">
        <f t="shared" si="13"/>
        <v>15</v>
      </c>
      <c r="W39" s="47">
        <f t="shared" si="14"/>
        <v>5.2264808362369339E-2</v>
      </c>
      <c r="X39" s="48">
        <f>1320/8166</f>
        <v>0.16164584864070536</v>
      </c>
    </row>
    <row r="40" spans="1:24" ht="17.2" customHeight="1" x14ac:dyDescent="0.5">
      <c r="A40" s="32" t="str">
        <f t="shared" si="11"/>
        <v>GEESE</v>
      </c>
      <c r="C40" s="33">
        <f t="shared" si="9"/>
        <v>0</v>
      </c>
      <c r="D40" s="33">
        <f t="shared" si="9"/>
        <v>0</v>
      </c>
      <c r="E40" s="33">
        <f t="shared" si="9"/>
        <v>0</v>
      </c>
      <c r="F40" s="33">
        <f t="shared" si="9"/>
        <v>0</v>
      </c>
      <c r="G40" s="33">
        <f t="shared" si="9"/>
        <v>0</v>
      </c>
      <c r="H40" s="33">
        <f t="shared" si="9"/>
        <v>0</v>
      </c>
      <c r="I40" s="33">
        <f t="shared" si="9"/>
        <v>0</v>
      </c>
      <c r="J40" s="33">
        <f t="shared" si="9"/>
        <v>0</v>
      </c>
      <c r="K40" s="33">
        <f t="shared" si="9"/>
        <v>0</v>
      </c>
      <c r="L40" s="33">
        <f t="shared" si="9"/>
        <v>0</v>
      </c>
      <c r="M40" s="33">
        <f t="shared" si="9"/>
        <v>0</v>
      </c>
      <c r="N40" s="33">
        <f t="shared" si="9"/>
        <v>1</v>
      </c>
      <c r="O40" s="33">
        <f t="shared" ref="O40:U40" si="16">O6+O23</f>
        <v>0</v>
      </c>
      <c r="P40" s="33">
        <f t="shared" si="16"/>
        <v>0</v>
      </c>
      <c r="Q40" s="33">
        <f t="shared" si="16"/>
        <v>0</v>
      </c>
      <c r="R40" s="33">
        <f t="shared" si="16"/>
        <v>0</v>
      </c>
      <c r="S40" s="33">
        <f t="shared" si="16"/>
        <v>0</v>
      </c>
      <c r="T40" s="33">
        <f t="shared" si="16"/>
        <v>0</v>
      </c>
      <c r="U40" s="33">
        <f t="shared" si="16"/>
        <v>0</v>
      </c>
      <c r="V40" s="32">
        <f t="shared" si="13"/>
        <v>1</v>
      </c>
      <c r="W40" s="47">
        <f t="shared" si="14"/>
        <v>3.4843205574912892E-3</v>
      </c>
      <c r="X40" s="48">
        <f>17/8166</f>
        <v>2.0818025961302964E-3</v>
      </c>
    </row>
    <row r="41" spans="1:24" ht="17.2" customHeight="1" x14ac:dyDescent="0.5">
      <c r="A41" s="32" t="str">
        <f t="shared" si="11"/>
        <v>MALLARD</v>
      </c>
      <c r="C41" s="33">
        <f t="shared" si="9"/>
        <v>0</v>
      </c>
      <c r="D41" s="33">
        <f t="shared" si="9"/>
        <v>0</v>
      </c>
      <c r="E41" s="33">
        <f t="shared" si="9"/>
        <v>0</v>
      </c>
      <c r="F41" s="33">
        <f t="shared" si="9"/>
        <v>3</v>
      </c>
      <c r="G41" s="33">
        <f t="shared" si="9"/>
        <v>3</v>
      </c>
      <c r="H41" s="33">
        <f t="shared" si="9"/>
        <v>3</v>
      </c>
      <c r="I41" s="33">
        <f t="shared" si="9"/>
        <v>0</v>
      </c>
      <c r="J41" s="33">
        <f t="shared" si="9"/>
        <v>0</v>
      </c>
      <c r="K41" s="33">
        <f t="shared" si="9"/>
        <v>0</v>
      </c>
      <c r="L41" s="33">
        <f t="shared" si="9"/>
        <v>3</v>
      </c>
      <c r="M41" s="33">
        <f t="shared" si="9"/>
        <v>0</v>
      </c>
      <c r="N41" s="33">
        <f t="shared" si="9"/>
        <v>1</v>
      </c>
      <c r="O41" s="33">
        <f t="shared" ref="O41:U41" si="17">O7+O24</f>
        <v>0</v>
      </c>
      <c r="P41" s="33">
        <f t="shared" si="17"/>
        <v>0</v>
      </c>
      <c r="Q41" s="33">
        <f t="shared" si="17"/>
        <v>0</v>
      </c>
      <c r="R41" s="33">
        <f t="shared" si="17"/>
        <v>0</v>
      </c>
      <c r="S41" s="33">
        <f t="shared" si="17"/>
        <v>0</v>
      </c>
      <c r="T41" s="33">
        <f t="shared" si="17"/>
        <v>0</v>
      </c>
      <c r="U41" s="33">
        <f t="shared" si="17"/>
        <v>0</v>
      </c>
      <c r="V41" s="32">
        <f t="shared" si="13"/>
        <v>13</v>
      </c>
      <c r="W41" s="47">
        <f t="shared" si="14"/>
        <v>4.5296167247386762E-2</v>
      </c>
      <c r="X41" s="48">
        <f>617/8166</f>
        <v>7.555718834190546E-2</v>
      </c>
    </row>
    <row r="42" spans="1:24" ht="17.2" customHeight="1" x14ac:dyDescent="0.5">
      <c r="A42" s="32" t="str">
        <f t="shared" si="11"/>
        <v>PINTAIL</v>
      </c>
      <c r="C42" s="33">
        <f t="shared" si="9"/>
        <v>0</v>
      </c>
      <c r="D42" s="33">
        <f t="shared" si="9"/>
        <v>0</v>
      </c>
      <c r="E42" s="33">
        <f t="shared" si="9"/>
        <v>4</v>
      </c>
      <c r="F42" s="33">
        <f t="shared" si="9"/>
        <v>5</v>
      </c>
      <c r="G42" s="33">
        <f t="shared" si="9"/>
        <v>7</v>
      </c>
      <c r="H42" s="33">
        <f t="shared" si="9"/>
        <v>13</v>
      </c>
      <c r="I42" s="33">
        <f t="shared" si="9"/>
        <v>5</v>
      </c>
      <c r="J42" s="33">
        <f t="shared" si="9"/>
        <v>0</v>
      </c>
      <c r="K42" s="33">
        <f t="shared" si="9"/>
        <v>1</v>
      </c>
      <c r="L42" s="33">
        <f t="shared" si="9"/>
        <v>12</v>
      </c>
      <c r="M42" s="33">
        <f t="shared" si="9"/>
        <v>2</v>
      </c>
      <c r="N42" s="33">
        <f t="shared" si="9"/>
        <v>7</v>
      </c>
      <c r="O42" s="33">
        <f t="shared" ref="O42:U42" si="18">O8+O25</f>
        <v>0</v>
      </c>
      <c r="P42" s="33">
        <f t="shared" si="18"/>
        <v>0</v>
      </c>
      <c r="Q42" s="33">
        <f t="shared" si="18"/>
        <v>0</v>
      </c>
      <c r="R42" s="33">
        <f t="shared" si="18"/>
        <v>0</v>
      </c>
      <c r="S42" s="33">
        <f t="shared" si="18"/>
        <v>0</v>
      </c>
      <c r="T42" s="33">
        <f t="shared" si="18"/>
        <v>0</v>
      </c>
      <c r="U42" s="33">
        <f t="shared" si="18"/>
        <v>0</v>
      </c>
      <c r="V42" s="32">
        <f t="shared" si="13"/>
        <v>56</v>
      </c>
      <c r="W42" s="47">
        <f t="shared" si="14"/>
        <v>0.1951219512195122</v>
      </c>
      <c r="X42" s="48">
        <f>539/8166</f>
        <v>6.6005388194954689E-2</v>
      </c>
    </row>
    <row r="43" spans="1:24" ht="17.2" customHeight="1" x14ac:dyDescent="0.5">
      <c r="A43" s="32" t="str">
        <f t="shared" si="11"/>
        <v>REDHEAD</v>
      </c>
      <c r="C43" s="33">
        <f t="shared" si="9"/>
        <v>0</v>
      </c>
      <c r="D43" s="33">
        <f t="shared" si="9"/>
        <v>1</v>
      </c>
      <c r="E43" s="33">
        <f t="shared" si="9"/>
        <v>0</v>
      </c>
      <c r="F43" s="33">
        <f t="shared" si="9"/>
        <v>0</v>
      </c>
      <c r="G43" s="33">
        <f t="shared" si="9"/>
        <v>0</v>
      </c>
      <c r="H43" s="33">
        <f t="shared" si="9"/>
        <v>0</v>
      </c>
      <c r="I43" s="33">
        <f t="shared" si="9"/>
        <v>0</v>
      </c>
      <c r="J43" s="33">
        <f t="shared" si="9"/>
        <v>0</v>
      </c>
      <c r="K43" s="33">
        <f t="shared" si="9"/>
        <v>0</v>
      </c>
      <c r="L43" s="33">
        <f t="shared" si="9"/>
        <v>1</v>
      </c>
      <c r="M43" s="33">
        <f t="shared" si="9"/>
        <v>0</v>
      </c>
      <c r="N43" s="33">
        <f t="shared" si="9"/>
        <v>0</v>
      </c>
      <c r="O43" s="33">
        <f t="shared" ref="O43:U43" si="19">O9+O26</f>
        <v>0</v>
      </c>
      <c r="P43" s="33">
        <f t="shared" si="19"/>
        <v>0</v>
      </c>
      <c r="Q43" s="33">
        <f t="shared" si="19"/>
        <v>0</v>
      </c>
      <c r="R43" s="33">
        <f t="shared" si="19"/>
        <v>0</v>
      </c>
      <c r="S43" s="33">
        <f t="shared" si="19"/>
        <v>0</v>
      </c>
      <c r="T43" s="33">
        <f t="shared" si="19"/>
        <v>0</v>
      </c>
      <c r="U43" s="33">
        <f t="shared" si="19"/>
        <v>0</v>
      </c>
      <c r="V43" s="32">
        <f t="shared" si="13"/>
        <v>2</v>
      </c>
      <c r="W43" s="47">
        <f t="shared" si="14"/>
        <v>6.9686411149825784E-3</v>
      </c>
      <c r="X43" s="48">
        <f>455/8166</f>
        <v>5.5718834190546164E-2</v>
      </c>
    </row>
    <row r="44" spans="1:24" ht="17.2" customHeight="1" x14ac:dyDescent="0.5">
      <c r="A44" s="32" t="str">
        <f t="shared" si="11"/>
        <v>RINGNECK</v>
      </c>
      <c r="C44" s="33">
        <f t="shared" si="9"/>
        <v>0</v>
      </c>
      <c r="D44" s="33">
        <f t="shared" si="9"/>
        <v>0</v>
      </c>
      <c r="E44" s="33">
        <f t="shared" si="9"/>
        <v>0</v>
      </c>
      <c r="F44" s="33">
        <f t="shared" si="9"/>
        <v>1</v>
      </c>
      <c r="G44" s="33">
        <f t="shared" si="9"/>
        <v>0</v>
      </c>
      <c r="H44" s="33">
        <f t="shared" si="9"/>
        <v>1</v>
      </c>
      <c r="I44" s="33">
        <f t="shared" si="9"/>
        <v>0</v>
      </c>
      <c r="J44" s="33">
        <f t="shared" si="9"/>
        <v>0</v>
      </c>
      <c r="K44" s="33">
        <f t="shared" si="9"/>
        <v>0</v>
      </c>
      <c r="L44" s="33">
        <f t="shared" si="9"/>
        <v>0</v>
      </c>
      <c r="M44" s="33">
        <f t="shared" si="9"/>
        <v>0</v>
      </c>
      <c r="N44" s="33">
        <f t="shared" si="9"/>
        <v>0</v>
      </c>
      <c r="O44" s="33">
        <f t="shared" ref="O44:U44" si="20">O10+O27</f>
        <v>0</v>
      </c>
      <c r="P44" s="33">
        <f t="shared" si="20"/>
        <v>0</v>
      </c>
      <c r="Q44" s="33">
        <f t="shared" si="20"/>
        <v>0</v>
      </c>
      <c r="R44" s="33">
        <f t="shared" si="20"/>
        <v>0</v>
      </c>
      <c r="S44" s="33">
        <f t="shared" si="20"/>
        <v>0</v>
      </c>
      <c r="T44" s="33">
        <f t="shared" si="20"/>
        <v>0</v>
      </c>
      <c r="U44" s="33">
        <f t="shared" si="20"/>
        <v>0</v>
      </c>
      <c r="V44" s="32">
        <f t="shared" si="13"/>
        <v>2</v>
      </c>
      <c r="W44" s="47">
        <f t="shared" si="14"/>
        <v>6.9686411149825784E-3</v>
      </c>
      <c r="X44" s="48">
        <f>179/8166</f>
        <v>2.1920156747489591E-2</v>
      </c>
    </row>
    <row r="45" spans="1:24" ht="17.2" customHeight="1" x14ac:dyDescent="0.5">
      <c r="A45" s="32" t="str">
        <f t="shared" si="11"/>
        <v>RUDDY</v>
      </c>
      <c r="C45" s="33">
        <f t="shared" si="9"/>
        <v>0</v>
      </c>
      <c r="D45" s="33">
        <f t="shared" si="9"/>
        <v>0</v>
      </c>
      <c r="E45" s="33">
        <f t="shared" si="9"/>
        <v>0</v>
      </c>
      <c r="F45" s="33">
        <f t="shared" si="9"/>
        <v>0</v>
      </c>
      <c r="G45" s="33">
        <f t="shared" si="9"/>
        <v>1</v>
      </c>
      <c r="H45" s="33">
        <f t="shared" si="9"/>
        <v>1</v>
      </c>
      <c r="I45" s="33">
        <f t="shared" si="9"/>
        <v>1</v>
      </c>
      <c r="J45" s="33">
        <f t="shared" si="9"/>
        <v>0</v>
      </c>
      <c r="K45" s="33">
        <f t="shared" si="9"/>
        <v>0</v>
      </c>
      <c r="L45" s="33">
        <f t="shared" si="9"/>
        <v>1</v>
      </c>
      <c r="M45" s="33">
        <f t="shared" si="9"/>
        <v>0</v>
      </c>
      <c r="N45" s="33">
        <f t="shared" si="9"/>
        <v>0</v>
      </c>
      <c r="O45" s="33">
        <f t="shared" ref="O45:U45" si="21">O11+O28</f>
        <v>0</v>
      </c>
      <c r="P45" s="33">
        <f t="shared" si="21"/>
        <v>0</v>
      </c>
      <c r="Q45" s="33">
        <f t="shared" si="21"/>
        <v>0</v>
      </c>
      <c r="R45" s="33">
        <f t="shared" si="21"/>
        <v>0</v>
      </c>
      <c r="S45" s="33">
        <f t="shared" si="21"/>
        <v>0</v>
      </c>
      <c r="T45" s="33">
        <f t="shared" si="21"/>
        <v>0</v>
      </c>
      <c r="U45" s="33">
        <f t="shared" si="21"/>
        <v>0</v>
      </c>
      <c r="V45" s="32">
        <f t="shared" si="13"/>
        <v>4</v>
      </c>
      <c r="W45" s="47">
        <f t="shared" si="14"/>
        <v>1.3937282229965157E-2</v>
      </c>
      <c r="X45" s="48">
        <f>66/8166</f>
        <v>8.0822924320352683E-3</v>
      </c>
    </row>
    <row r="46" spans="1:24" ht="17.2" customHeight="1" x14ac:dyDescent="0.5">
      <c r="A46" s="32" t="str">
        <f t="shared" si="11"/>
        <v>SPOONY</v>
      </c>
      <c r="C46" s="33">
        <f t="shared" si="9"/>
        <v>0</v>
      </c>
      <c r="D46" s="33">
        <f t="shared" si="9"/>
        <v>3</v>
      </c>
      <c r="E46" s="33">
        <f t="shared" si="9"/>
        <v>1</v>
      </c>
      <c r="F46" s="33">
        <f t="shared" si="9"/>
        <v>7</v>
      </c>
      <c r="G46" s="33">
        <f t="shared" si="9"/>
        <v>9</v>
      </c>
      <c r="H46" s="33">
        <f t="shared" si="9"/>
        <v>6</v>
      </c>
      <c r="I46" s="33">
        <f t="shared" si="9"/>
        <v>6</v>
      </c>
      <c r="J46" s="33">
        <f t="shared" si="9"/>
        <v>0</v>
      </c>
      <c r="K46" s="33">
        <f t="shared" si="9"/>
        <v>3</v>
      </c>
      <c r="L46" s="33">
        <f t="shared" si="9"/>
        <v>3</v>
      </c>
      <c r="M46" s="33">
        <f t="shared" si="9"/>
        <v>1</v>
      </c>
      <c r="N46" s="33">
        <f t="shared" si="9"/>
        <v>9</v>
      </c>
      <c r="O46" s="33">
        <f t="shared" ref="O46:U46" si="22">O12+O29</f>
        <v>1</v>
      </c>
      <c r="P46" s="33">
        <f t="shared" si="22"/>
        <v>0</v>
      </c>
      <c r="Q46" s="33">
        <f t="shared" si="22"/>
        <v>0</v>
      </c>
      <c r="R46" s="33">
        <f t="shared" si="22"/>
        <v>0</v>
      </c>
      <c r="S46" s="33">
        <f t="shared" si="22"/>
        <v>0</v>
      </c>
      <c r="T46" s="33">
        <f t="shared" si="22"/>
        <v>0</v>
      </c>
      <c r="U46" s="33">
        <f t="shared" si="22"/>
        <v>0</v>
      </c>
      <c r="V46" s="32">
        <f t="shared" si="13"/>
        <v>49</v>
      </c>
      <c r="W46" s="47">
        <f t="shared" si="14"/>
        <v>0.17073170731707318</v>
      </c>
      <c r="X46" s="48">
        <f>1882/8166</f>
        <v>0.2304677932892481</v>
      </c>
    </row>
    <row r="47" spans="1:24" ht="17.2" customHeight="1" x14ac:dyDescent="0.5">
      <c r="A47" s="32" t="str">
        <f t="shared" si="11"/>
        <v>TEAL</v>
      </c>
      <c r="C47" s="33">
        <f t="shared" si="9"/>
        <v>0</v>
      </c>
      <c r="D47" s="33">
        <f t="shared" si="9"/>
        <v>2</v>
      </c>
      <c r="E47" s="33">
        <f t="shared" si="9"/>
        <v>7</v>
      </c>
      <c r="F47" s="33">
        <f t="shared" si="9"/>
        <v>18</v>
      </c>
      <c r="G47" s="33">
        <f t="shared" si="9"/>
        <v>22</v>
      </c>
      <c r="H47" s="33">
        <f t="shared" si="9"/>
        <v>25</v>
      </c>
      <c r="I47" s="33">
        <f t="shared" si="9"/>
        <v>12</v>
      </c>
      <c r="J47" s="33">
        <f t="shared" si="9"/>
        <v>0</v>
      </c>
      <c r="K47" s="33">
        <f t="shared" si="9"/>
        <v>8</v>
      </c>
      <c r="L47" s="33">
        <f t="shared" si="9"/>
        <v>15</v>
      </c>
      <c r="M47" s="33">
        <f t="shared" si="9"/>
        <v>3</v>
      </c>
      <c r="N47" s="33">
        <f t="shared" si="9"/>
        <v>12</v>
      </c>
      <c r="O47" s="33">
        <f t="shared" ref="O47:U47" si="23">O13+O30</f>
        <v>0</v>
      </c>
      <c r="P47" s="33">
        <f t="shared" si="23"/>
        <v>0</v>
      </c>
      <c r="Q47" s="33">
        <f t="shared" si="23"/>
        <v>0</v>
      </c>
      <c r="R47" s="33">
        <f t="shared" si="23"/>
        <v>0</v>
      </c>
      <c r="S47" s="33">
        <f t="shared" si="23"/>
        <v>0</v>
      </c>
      <c r="T47" s="33">
        <f t="shared" si="23"/>
        <v>0</v>
      </c>
      <c r="U47" s="33">
        <f t="shared" si="23"/>
        <v>0</v>
      </c>
      <c r="V47" s="32">
        <f t="shared" si="13"/>
        <v>124</v>
      </c>
      <c r="W47" s="47">
        <f t="shared" si="14"/>
        <v>0.43205574912891986</v>
      </c>
      <c r="X47" s="48">
        <f>2597/8166</f>
        <v>0.31802596130296351</v>
      </c>
    </row>
    <row r="48" spans="1:24" ht="17.2" customHeight="1" x14ac:dyDescent="0.5">
      <c r="A48" s="32" t="str">
        <f t="shared" si="11"/>
        <v>WIDGEON</v>
      </c>
      <c r="C48" s="33">
        <f t="shared" si="9"/>
        <v>0</v>
      </c>
      <c r="D48" s="33">
        <f t="shared" si="9"/>
        <v>0</v>
      </c>
      <c r="E48" s="33">
        <f t="shared" si="9"/>
        <v>1</v>
      </c>
      <c r="F48" s="33">
        <f t="shared" si="9"/>
        <v>0</v>
      </c>
      <c r="G48" s="33">
        <f t="shared" si="9"/>
        <v>2</v>
      </c>
      <c r="H48" s="33">
        <f t="shared" si="9"/>
        <v>3</v>
      </c>
      <c r="I48" s="33">
        <f t="shared" si="9"/>
        <v>1</v>
      </c>
      <c r="J48" s="33">
        <f t="shared" si="9"/>
        <v>0</v>
      </c>
      <c r="K48" s="33">
        <f t="shared" si="9"/>
        <v>0</v>
      </c>
      <c r="L48" s="33">
        <f t="shared" si="9"/>
        <v>0</v>
      </c>
      <c r="M48" s="33">
        <f t="shared" si="9"/>
        <v>0</v>
      </c>
      <c r="N48" s="33">
        <f t="shared" si="9"/>
        <v>3</v>
      </c>
      <c r="O48" s="33">
        <f t="shared" ref="O48:U48" si="24">O14+O31</f>
        <v>0</v>
      </c>
      <c r="P48" s="33">
        <f t="shared" si="24"/>
        <v>0</v>
      </c>
      <c r="Q48" s="33">
        <f t="shared" si="24"/>
        <v>0</v>
      </c>
      <c r="R48" s="33">
        <f t="shared" si="24"/>
        <v>0</v>
      </c>
      <c r="S48" s="33">
        <f t="shared" si="24"/>
        <v>0</v>
      </c>
      <c r="T48" s="33">
        <f t="shared" si="24"/>
        <v>0</v>
      </c>
      <c r="U48" s="33">
        <f t="shared" si="24"/>
        <v>0</v>
      </c>
      <c r="V48" s="32">
        <f t="shared" si="13"/>
        <v>10</v>
      </c>
      <c r="W48" s="47">
        <f t="shared" si="14"/>
        <v>3.484320557491289E-2</v>
      </c>
      <c r="X48" s="48">
        <f>320/8166</f>
        <v>3.9186872397746757E-2</v>
      </c>
    </row>
    <row r="49" spans="1:24" ht="17.2" customHeight="1" x14ac:dyDescent="0.5">
      <c r="A49" s="32" t="str">
        <f t="shared" si="11"/>
        <v>MISC</v>
      </c>
      <c r="C49" s="33">
        <f t="shared" si="9"/>
        <v>0</v>
      </c>
      <c r="D49" s="33">
        <f t="shared" si="9"/>
        <v>0</v>
      </c>
      <c r="E49" s="33">
        <f t="shared" si="9"/>
        <v>1</v>
      </c>
      <c r="F49" s="33">
        <f t="shared" si="9"/>
        <v>0</v>
      </c>
      <c r="G49" s="33">
        <f t="shared" si="9"/>
        <v>1</v>
      </c>
      <c r="H49" s="33">
        <f t="shared" si="9"/>
        <v>1</v>
      </c>
      <c r="I49" s="33">
        <f t="shared" si="9"/>
        <v>0</v>
      </c>
      <c r="J49" s="33">
        <f t="shared" si="9"/>
        <v>0</v>
      </c>
      <c r="K49" s="33">
        <f t="shared" si="9"/>
        <v>0</v>
      </c>
      <c r="L49" s="33">
        <f t="shared" si="9"/>
        <v>0</v>
      </c>
      <c r="M49" s="33">
        <f t="shared" si="9"/>
        <v>0</v>
      </c>
      <c r="N49" s="33">
        <f t="shared" si="9"/>
        <v>0</v>
      </c>
      <c r="O49" s="33">
        <f t="shared" ref="O49:U49" si="25">O15+O32</f>
        <v>0</v>
      </c>
      <c r="P49" s="33">
        <f t="shared" si="25"/>
        <v>0</v>
      </c>
      <c r="Q49" s="33">
        <f t="shared" si="25"/>
        <v>0</v>
      </c>
      <c r="R49" s="33">
        <f t="shared" si="25"/>
        <v>0</v>
      </c>
      <c r="S49" s="33">
        <f t="shared" si="25"/>
        <v>0</v>
      </c>
      <c r="T49" s="33">
        <f t="shared" si="25"/>
        <v>0</v>
      </c>
      <c r="U49" s="33">
        <f t="shared" si="25"/>
        <v>0</v>
      </c>
      <c r="V49" s="32">
        <f t="shared" si="13"/>
        <v>3</v>
      </c>
      <c r="W49" s="47">
        <f t="shared" si="14"/>
        <v>1.0452961672473868E-2</v>
      </c>
      <c r="X49" s="48">
        <f>100/8166</f>
        <v>1.224589762429586E-2</v>
      </c>
    </row>
    <row r="50" spans="1:24" ht="17.2" customHeight="1" thickBot="1" x14ac:dyDescent="0.55000000000000004">
      <c r="A50" s="32" t="s">
        <v>58</v>
      </c>
      <c r="C50" s="38">
        <f t="shared" si="9"/>
        <v>0</v>
      </c>
      <c r="D50" s="38">
        <f t="shared" si="9"/>
        <v>0</v>
      </c>
      <c r="E50" s="38">
        <f t="shared" si="9"/>
        <v>0</v>
      </c>
      <c r="F50" s="38">
        <f t="shared" si="9"/>
        <v>0</v>
      </c>
      <c r="G50" s="38">
        <f t="shared" si="9"/>
        <v>0</v>
      </c>
      <c r="H50" s="38">
        <f t="shared" si="9"/>
        <v>0</v>
      </c>
      <c r="I50" s="38">
        <f t="shared" si="9"/>
        <v>0</v>
      </c>
      <c r="J50" s="38">
        <f t="shared" si="9"/>
        <v>0</v>
      </c>
      <c r="K50" s="38">
        <f t="shared" si="9"/>
        <v>0</v>
      </c>
      <c r="L50" s="38">
        <f t="shared" si="9"/>
        <v>0</v>
      </c>
      <c r="M50" s="38">
        <f t="shared" si="9"/>
        <v>0</v>
      </c>
      <c r="N50" s="38">
        <f t="shared" si="9"/>
        <v>0</v>
      </c>
      <c r="O50" s="38">
        <f t="shared" ref="O50:U50" si="26">O16+O33</f>
        <v>0</v>
      </c>
      <c r="P50" s="38">
        <f t="shared" si="26"/>
        <v>0</v>
      </c>
      <c r="Q50" s="38">
        <f t="shared" si="26"/>
        <v>0</v>
      </c>
      <c r="R50" s="38">
        <f t="shared" si="26"/>
        <v>0</v>
      </c>
      <c r="S50" s="38">
        <f t="shared" si="26"/>
        <v>0</v>
      </c>
      <c r="T50" s="38">
        <f t="shared" si="26"/>
        <v>0</v>
      </c>
      <c r="U50" s="38">
        <f t="shared" si="26"/>
        <v>0</v>
      </c>
      <c r="V50" s="49">
        <f t="shared" si="13"/>
        <v>0</v>
      </c>
      <c r="W50" s="50">
        <f t="shared" si="14"/>
        <v>0</v>
      </c>
      <c r="X50" s="51">
        <f>36/8166</f>
        <v>4.40852314474651E-3</v>
      </c>
    </row>
    <row r="51" spans="1:24" ht="17.2" customHeight="1" x14ac:dyDescent="0.5">
      <c r="A51" s="32" t="s">
        <v>25</v>
      </c>
      <c r="C51" s="33">
        <f>0+SUM(C37:C50)</f>
        <v>0</v>
      </c>
      <c r="D51" s="33">
        <f t="shared" ref="D51:N51" si="27">0+SUM(D37:D50)</f>
        <v>6</v>
      </c>
      <c r="E51" s="33">
        <f t="shared" si="27"/>
        <v>15</v>
      </c>
      <c r="F51" s="33">
        <f t="shared" si="27"/>
        <v>35</v>
      </c>
      <c r="G51" s="33">
        <f t="shared" si="27"/>
        <v>57</v>
      </c>
      <c r="H51" s="33">
        <f t="shared" si="27"/>
        <v>55</v>
      </c>
      <c r="I51" s="33">
        <f t="shared" si="27"/>
        <v>25</v>
      </c>
      <c r="J51" s="33">
        <f t="shared" si="27"/>
        <v>0</v>
      </c>
      <c r="K51" s="33">
        <f t="shared" si="27"/>
        <v>13</v>
      </c>
      <c r="L51" s="33">
        <f t="shared" si="27"/>
        <v>37</v>
      </c>
      <c r="M51" s="33">
        <f t="shared" si="27"/>
        <v>7</v>
      </c>
      <c r="N51" s="33">
        <f t="shared" si="27"/>
        <v>35</v>
      </c>
      <c r="O51" s="33">
        <f t="shared" ref="O51:U51" si="28">0+SUM(O37:O50)</f>
        <v>2</v>
      </c>
      <c r="P51" s="33">
        <f t="shared" si="28"/>
        <v>0</v>
      </c>
      <c r="Q51" s="33">
        <f t="shared" si="28"/>
        <v>0</v>
      </c>
      <c r="R51" s="33">
        <f t="shared" si="28"/>
        <v>0</v>
      </c>
      <c r="S51" s="33">
        <f t="shared" si="28"/>
        <v>0</v>
      </c>
      <c r="T51" s="33">
        <f t="shared" si="28"/>
        <v>0</v>
      </c>
      <c r="U51" s="33">
        <f t="shared" si="28"/>
        <v>0</v>
      </c>
      <c r="V51" s="32">
        <f>SUM(V37:V50)</f>
        <v>287</v>
      </c>
      <c r="X51" s="52"/>
    </row>
    <row r="52" spans="1:24" ht="17.2" customHeight="1" x14ac:dyDescent="0.5">
      <c r="A52" s="32" t="s">
        <v>48</v>
      </c>
      <c r="C52" s="53">
        <f t="shared" ref="C52:N52" si="29">C51/$V$51</f>
        <v>0</v>
      </c>
      <c r="D52" s="53">
        <f t="shared" si="29"/>
        <v>2.0905923344947737E-2</v>
      </c>
      <c r="E52" s="53">
        <f t="shared" si="29"/>
        <v>5.2264808362369339E-2</v>
      </c>
      <c r="F52" s="53">
        <f t="shared" si="29"/>
        <v>0.12195121951219512</v>
      </c>
      <c r="G52" s="53">
        <f t="shared" si="29"/>
        <v>0.19860627177700349</v>
      </c>
      <c r="H52" s="53">
        <f t="shared" si="29"/>
        <v>0.19163763066202091</v>
      </c>
      <c r="I52" s="53">
        <f t="shared" si="29"/>
        <v>8.7108013937282236E-2</v>
      </c>
      <c r="J52" s="53">
        <f t="shared" si="29"/>
        <v>0</v>
      </c>
      <c r="K52" s="53">
        <f t="shared" si="29"/>
        <v>4.5296167247386762E-2</v>
      </c>
      <c r="L52" s="53">
        <f t="shared" si="29"/>
        <v>0.1289198606271777</v>
      </c>
      <c r="M52" s="53">
        <f t="shared" si="29"/>
        <v>2.4390243902439025E-2</v>
      </c>
      <c r="N52" s="53">
        <f t="shared" si="29"/>
        <v>0.12195121951219512</v>
      </c>
      <c r="O52" s="53">
        <f t="shared" ref="O52:U52" si="30">O51/$V$51</f>
        <v>6.9686411149825784E-3</v>
      </c>
      <c r="P52" s="53">
        <f t="shared" si="30"/>
        <v>0</v>
      </c>
      <c r="Q52" s="53">
        <f t="shared" si="30"/>
        <v>0</v>
      </c>
      <c r="R52" s="53">
        <f t="shared" si="30"/>
        <v>0</v>
      </c>
      <c r="S52" s="53">
        <f t="shared" si="30"/>
        <v>0</v>
      </c>
      <c r="T52" s="53">
        <f t="shared" si="30"/>
        <v>0</v>
      </c>
      <c r="U52" s="53">
        <f t="shared" si="30"/>
        <v>0</v>
      </c>
    </row>
    <row r="53" spans="1:24" ht="17.2" customHeight="1" x14ac:dyDescent="0.5">
      <c r="A53" s="31" t="s">
        <v>47</v>
      </c>
    </row>
    <row r="54" spans="1:24" ht="17.2" customHeight="1" x14ac:dyDescent="0.5">
      <c r="A54" s="32" t="s">
        <v>40</v>
      </c>
      <c r="D54" s="33">
        <v>80</v>
      </c>
    </row>
    <row r="55" spans="1:24" ht="17.2" customHeight="1" x14ac:dyDescent="0.5">
      <c r="A55" s="32" t="s">
        <v>41</v>
      </c>
      <c r="D55" s="54">
        <f>V17/D54</f>
        <v>0.66249999999999998</v>
      </c>
    </row>
    <row r="56" spans="1:24" ht="17.2" customHeight="1" x14ac:dyDescent="0.5">
      <c r="A56" s="32" t="s">
        <v>42</v>
      </c>
      <c r="D56" s="33">
        <v>193</v>
      </c>
    </row>
    <row r="57" spans="1:24" ht="17.2" customHeight="1" x14ac:dyDescent="0.5">
      <c r="A57" s="32" t="s">
        <v>43</v>
      </c>
      <c r="D57" s="54">
        <f>V34/D56</f>
        <v>1.2124352331606219</v>
      </c>
    </row>
    <row r="58" spans="1:24" ht="17.2" customHeight="1" x14ac:dyDescent="0.5">
      <c r="A58" s="32" t="s">
        <v>44</v>
      </c>
      <c r="D58" s="33">
        <f>D54+D56</f>
        <v>273</v>
      </c>
      <c r="F58" s="55" t="s">
        <v>62</v>
      </c>
    </row>
    <row r="59" spans="1:24" ht="17.2" customHeight="1" x14ac:dyDescent="0.5">
      <c r="A59" s="32" t="s">
        <v>45</v>
      </c>
      <c r="D59" s="54">
        <f>V51/D58</f>
        <v>1.0512820512820513</v>
      </c>
      <c r="F59" s="54">
        <f>8166/2963</f>
        <v>2.7559905501181237</v>
      </c>
    </row>
    <row r="60" spans="1:24" ht="17.2" customHeight="1" x14ac:dyDescent="0.5">
      <c r="A60" s="32" t="s">
        <v>46</v>
      </c>
      <c r="D60" s="56">
        <f>V51/250</f>
        <v>1.1479999999999999</v>
      </c>
      <c r="F60" s="54">
        <f>8166/2400</f>
        <v>3.4024999999999999</v>
      </c>
      <c r="G60" s="57" t="s">
        <v>77</v>
      </c>
    </row>
    <row r="61" spans="1:24" ht="17.2" customHeight="1" x14ac:dyDescent="0.5">
      <c r="F61" s="54">
        <f>5200/8166</f>
        <v>0.63678667646338472</v>
      </c>
      <c r="G61" s="57" t="s">
        <v>64</v>
      </c>
    </row>
    <row r="62" spans="1:24" ht="17.2" customHeight="1" x14ac:dyDescent="0.5">
      <c r="A62" s="31" t="s">
        <v>49</v>
      </c>
    </row>
    <row r="63" spans="1:24" ht="17.2" customHeight="1" x14ac:dyDescent="0.5">
      <c r="A63" s="32" t="s">
        <v>74</v>
      </c>
    </row>
    <row r="64" spans="1:24" ht="17.2" customHeight="1" x14ac:dyDescent="0.5">
      <c r="A64" s="32" t="s">
        <v>72</v>
      </c>
    </row>
    <row r="65" spans="1:1" ht="17.2" customHeight="1" x14ac:dyDescent="0.5">
      <c r="A65" s="32" t="s">
        <v>71</v>
      </c>
    </row>
    <row r="66" spans="1:1" ht="17.2" customHeight="1" x14ac:dyDescent="0.5">
      <c r="A66" s="32" t="s">
        <v>73</v>
      </c>
    </row>
    <row r="67" spans="1:1" ht="17.2" customHeight="1" x14ac:dyDescent="0.5">
      <c r="A67" s="31" t="s">
        <v>56</v>
      </c>
    </row>
    <row r="68" spans="1:1" ht="17.2" customHeight="1" x14ac:dyDescent="0.5">
      <c r="A68" s="32" t="s">
        <v>75</v>
      </c>
    </row>
    <row r="69" spans="1:1" ht="17.2" customHeight="1" x14ac:dyDescent="0.5">
      <c r="A69" s="32" t="s">
        <v>76</v>
      </c>
    </row>
    <row r="70" spans="1:1" ht="17.2" customHeight="1" x14ac:dyDescent="0.5">
      <c r="A70" s="32" t="s">
        <v>78</v>
      </c>
    </row>
  </sheetData>
  <phoneticPr fontId="0" type="noConversion"/>
  <printOptions horizontalCentered="1" gridLines="1" gridLinesSet="0"/>
  <pageMargins left="0.5" right="0.5" top="0.75" bottom="0.75" header="0.5" footer="0.5"/>
  <pageSetup scale="42" orientation="landscape" r:id="rId1"/>
  <headerFooter alignWithMargins="0">
    <oddHeader>&amp;C&amp;"Arial,Bold"&amp;14&amp;A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69"/>
  <sheetViews>
    <sheetView topLeftCell="A42" zoomScale="70" zoomScaleNormal="70" workbookViewId="0">
      <selection activeCell="A50" sqref="A50"/>
    </sheetView>
  </sheetViews>
  <sheetFormatPr defaultColWidth="9.1171875" defaultRowHeight="16.350000000000001" x14ac:dyDescent="0.5"/>
  <cols>
    <col min="1" max="1" width="17" style="32" customWidth="1"/>
    <col min="2" max="2" width="3.29296875" style="32" customWidth="1"/>
    <col min="3" max="3" width="12.29296875" style="33" customWidth="1"/>
    <col min="4" max="4" width="9" style="33" customWidth="1"/>
    <col min="5" max="5" width="9.1171875" style="33" customWidth="1"/>
    <col min="6" max="6" width="9.703125" style="33" customWidth="1"/>
    <col min="7" max="7" width="10.87890625" style="33" customWidth="1"/>
    <col min="8" max="9" width="9.87890625" style="33" customWidth="1"/>
    <col min="10" max="10" width="8.87890625" style="33" customWidth="1"/>
    <col min="11" max="11" width="11.87890625" style="33" customWidth="1"/>
    <col min="12" max="12" width="10" style="33" customWidth="1"/>
    <col min="13" max="13" width="9.1171875" style="33" customWidth="1"/>
    <col min="14" max="14" width="9.52734375" style="33" customWidth="1"/>
    <col min="15" max="15" width="9.41015625" style="33" customWidth="1"/>
    <col min="16" max="16" width="8.52734375" style="33" customWidth="1"/>
    <col min="17" max="17" width="9.703125" style="33" customWidth="1"/>
    <col min="18" max="18" width="9.1171875" style="33" customWidth="1"/>
    <col min="19" max="19" width="9" style="33" customWidth="1"/>
    <col min="20" max="21" width="9.29296875" style="33" customWidth="1"/>
    <col min="22" max="22" width="8.52734375" style="33" customWidth="1"/>
    <col min="23" max="23" width="9.41015625" style="33" customWidth="1"/>
    <col min="24" max="24" width="8.87890625" style="32" customWidth="1"/>
    <col min="25" max="25" width="12.1171875" style="32" customWidth="1"/>
    <col min="26" max="26" width="11.703125" style="32" customWidth="1"/>
    <col min="27" max="16384" width="9.1171875" style="32"/>
  </cols>
  <sheetData>
    <row r="1" spans="1:24" ht="17.2" customHeight="1" thickBot="1" x14ac:dyDescent="0.55000000000000004">
      <c r="A1" s="31" t="s">
        <v>79</v>
      </c>
    </row>
    <row r="2" spans="1:24" ht="17.2" customHeight="1" thickBot="1" x14ac:dyDescent="0.55000000000000004">
      <c r="A2" s="34" t="s">
        <v>39</v>
      </c>
      <c r="B2" s="35"/>
      <c r="C2" s="36">
        <v>1</v>
      </c>
      <c r="D2" s="36">
        <v>2</v>
      </c>
      <c r="E2" s="36">
        <v>3</v>
      </c>
      <c r="F2" s="36">
        <v>4</v>
      </c>
      <c r="G2" s="36">
        <v>5</v>
      </c>
      <c r="H2" s="36">
        <v>6</v>
      </c>
      <c r="I2" s="36">
        <v>7</v>
      </c>
      <c r="J2" s="36">
        <v>8</v>
      </c>
      <c r="K2" s="36">
        <v>9</v>
      </c>
      <c r="L2" s="36">
        <v>10</v>
      </c>
      <c r="M2" s="36">
        <v>11</v>
      </c>
      <c r="N2" s="36">
        <v>12</v>
      </c>
      <c r="O2" s="36">
        <v>13</v>
      </c>
      <c r="P2" s="36">
        <v>14</v>
      </c>
      <c r="Q2" s="36">
        <v>15</v>
      </c>
      <c r="R2" s="36">
        <v>16</v>
      </c>
      <c r="S2" s="36">
        <v>17</v>
      </c>
      <c r="T2" s="36">
        <v>18</v>
      </c>
      <c r="U2" s="36">
        <v>19</v>
      </c>
      <c r="V2" s="36">
        <v>20</v>
      </c>
      <c r="W2" s="36">
        <v>21</v>
      </c>
      <c r="X2" s="37" t="s">
        <v>2</v>
      </c>
    </row>
    <row r="3" spans="1:24" ht="17.2" customHeight="1" x14ac:dyDescent="0.5">
      <c r="A3" s="32" t="s">
        <v>17</v>
      </c>
      <c r="X3" s="32">
        <f>SUM(C3:W3)</f>
        <v>0</v>
      </c>
    </row>
    <row r="4" spans="1:24" ht="17.2" customHeight="1" x14ac:dyDescent="0.5">
      <c r="A4" s="32" t="s">
        <v>35</v>
      </c>
      <c r="F4" s="33">
        <v>1</v>
      </c>
      <c r="I4" s="33">
        <v>1</v>
      </c>
      <c r="X4" s="32">
        <f t="shared" ref="X4:X16" si="0">SUM(C4:W4)</f>
        <v>2</v>
      </c>
    </row>
    <row r="5" spans="1:24" ht="17.2" customHeight="1" x14ac:dyDescent="0.5">
      <c r="A5" s="32" t="s">
        <v>16</v>
      </c>
      <c r="D5" s="33">
        <v>1</v>
      </c>
      <c r="G5" s="33">
        <v>1</v>
      </c>
      <c r="I5" s="33">
        <v>7</v>
      </c>
      <c r="S5" s="33">
        <v>1</v>
      </c>
      <c r="X5" s="32">
        <f t="shared" si="0"/>
        <v>10</v>
      </c>
    </row>
    <row r="6" spans="1:24" ht="17.2" customHeight="1" x14ac:dyDescent="0.5">
      <c r="A6" s="32" t="s">
        <v>29</v>
      </c>
      <c r="L6" s="33">
        <v>1</v>
      </c>
      <c r="X6" s="32">
        <f t="shared" si="0"/>
        <v>1</v>
      </c>
    </row>
    <row r="7" spans="1:24" ht="17.2" customHeight="1" x14ac:dyDescent="0.5">
      <c r="A7" s="32" t="s">
        <v>18</v>
      </c>
      <c r="D7" s="33">
        <v>4</v>
      </c>
      <c r="F7" s="33">
        <v>1</v>
      </c>
      <c r="G7" s="33">
        <v>1</v>
      </c>
      <c r="L7" s="33">
        <v>1</v>
      </c>
      <c r="N7" s="33">
        <v>1</v>
      </c>
      <c r="X7" s="32">
        <f t="shared" si="0"/>
        <v>8</v>
      </c>
    </row>
    <row r="8" spans="1:24" ht="17.2" customHeight="1" x14ac:dyDescent="0.5">
      <c r="A8" s="32" t="s">
        <v>19</v>
      </c>
      <c r="C8" s="33">
        <v>3</v>
      </c>
      <c r="D8" s="33">
        <v>1</v>
      </c>
      <c r="F8" s="33">
        <v>2</v>
      </c>
      <c r="G8" s="33">
        <v>1</v>
      </c>
      <c r="H8" s="33">
        <v>4</v>
      </c>
      <c r="I8" s="33">
        <v>5</v>
      </c>
      <c r="X8" s="32">
        <f t="shared" si="0"/>
        <v>16</v>
      </c>
    </row>
    <row r="9" spans="1:24" ht="17.2" customHeight="1" x14ac:dyDescent="0.5">
      <c r="A9" s="32" t="s">
        <v>20</v>
      </c>
      <c r="D9" s="33">
        <v>2</v>
      </c>
      <c r="F9" s="33">
        <v>1</v>
      </c>
      <c r="X9" s="32">
        <f t="shared" si="0"/>
        <v>3</v>
      </c>
    </row>
    <row r="10" spans="1:24" ht="17.2" customHeight="1" x14ac:dyDescent="0.5">
      <c r="A10" s="32" t="s">
        <v>21</v>
      </c>
      <c r="D10" s="33">
        <v>1</v>
      </c>
      <c r="L10" s="33">
        <v>2</v>
      </c>
      <c r="X10" s="32">
        <f t="shared" si="0"/>
        <v>3</v>
      </c>
    </row>
    <row r="11" spans="1:24" ht="17.2" customHeight="1" x14ac:dyDescent="0.5">
      <c r="A11" s="32" t="s">
        <v>34</v>
      </c>
      <c r="X11" s="32">
        <f t="shared" si="0"/>
        <v>0</v>
      </c>
    </row>
    <row r="12" spans="1:24" ht="17.2" customHeight="1" x14ac:dyDescent="0.5">
      <c r="A12" s="32" t="s">
        <v>22</v>
      </c>
      <c r="C12" s="33">
        <v>4</v>
      </c>
      <c r="D12" s="33">
        <v>8</v>
      </c>
      <c r="F12" s="33">
        <v>10</v>
      </c>
      <c r="G12" s="33">
        <v>8</v>
      </c>
      <c r="H12" s="33">
        <v>7</v>
      </c>
      <c r="I12" s="33">
        <v>19</v>
      </c>
      <c r="L12" s="33">
        <v>11</v>
      </c>
      <c r="N12" s="33">
        <v>1</v>
      </c>
      <c r="S12" s="33">
        <v>8</v>
      </c>
      <c r="W12" s="33">
        <v>5</v>
      </c>
      <c r="X12" s="32">
        <f t="shared" si="0"/>
        <v>81</v>
      </c>
    </row>
    <row r="13" spans="1:24" ht="17.2" customHeight="1" x14ac:dyDescent="0.5">
      <c r="A13" s="32" t="s">
        <v>23</v>
      </c>
      <c r="C13" s="33">
        <v>3</v>
      </c>
      <c r="D13" s="33">
        <v>5</v>
      </c>
      <c r="F13" s="33">
        <v>6</v>
      </c>
      <c r="G13" s="33">
        <v>10</v>
      </c>
      <c r="H13" s="33">
        <v>8</v>
      </c>
      <c r="I13" s="33">
        <v>12</v>
      </c>
      <c r="K13" s="33">
        <v>1</v>
      </c>
      <c r="L13" s="33">
        <v>11</v>
      </c>
      <c r="N13" s="33">
        <v>2</v>
      </c>
      <c r="S13" s="33">
        <v>1</v>
      </c>
      <c r="X13" s="32">
        <f t="shared" si="0"/>
        <v>59</v>
      </c>
    </row>
    <row r="14" spans="1:24" ht="17.2" customHeight="1" x14ac:dyDescent="0.5">
      <c r="A14" s="32" t="s">
        <v>24</v>
      </c>
      <c r="C14" s="33">
        <v>2</v>
      </c>
      <c r="F14" s="33">
        <v>1</v>
      </c>
      <c r="G14" s="33">
        <v>7</v>
      </c>
      <c r="H14" s="33">
        <v>1</v>
      </c>
      <c r="I14" s="33">
        <v>4</v>
      </c>
      <c r="X14" s="32">
        <f t="shared" si="0"/>
        <v>15</v>
      </c>
    </row>
    <row r="15" spans="1:24" ht="17.2" customHeight="1" x14ac:dyDescent="0.5">
      <c r="A15" s="32" t="s">
        <v>36</v>
      </c>
      <c r="D15" s="33">
        <v>2</v>
      </c>
      <c r="G15" s="33">
        <v>2</v>
      </c>
      <c r="I15" s="33">
        <v>5</v>
      </c>
      <c r="X15" s="32">
        <f t="shared" si="0"/>
        <v>9</v>
      </c>
    </row>
    <row r="16" spans="1:24" ht="17.2" customHeight="1" thickBot="1" x14ac:dyDescent="0.55000000000000004">
      <c r="A16" s="32" t="s">
        <v>37</v>
      </c>
      <c r="C16" s="38"/>
      <c r="D16" s="38"/>
      <c r="E16" s="38"/>
      <c r="F16" s="38"/>
      <c r="G16" s="38"/>
      <c r="H16" s="38"/>
      <c r="I16" s="38"/>
      <c r="J16" s="38"/>
      <c r="K16" s="38"/>
      <c r="L16" s="38"/>
      <c r="M16" s="38"/>
      <c r="N16" s="38"/>
      <c r="O16" s="38"/>
      <c r="P16" s="38"/>
      <c r="Q16" s="38"/>
      <c r="R16" s="38"/>
      <c r="S16" s="38"/>
      <c r="T16" s="38"/>
      <c r="U16" s="38"/>
      <c r="V16" s="38"/>
      <c r="W16" s="38"/>
      <c r="X16" s="39">
        <f t="shared" si="0"/>
        <v>0</v>
      </c>
    </row>
    <row r="17" spans="1:24" ht="17.2" customHeight="1" x14ac:dyDescent="0.5">
      <c r="A17" s="32" t="s">
        <v>25</v>
      </c>
      <c r="C17" s="33">
        <f>SUM(C3:C16)</f>
        <v>12</v>
      </c>
      <c r="D17" s="33">
        <f t="shared" ref="D17:X17" si="1">SUM(D3:D16)</f>
        <v>24</v>
      </c>
      <c r="E17" s="33">
        <f t="shared" si="1"/>
        <v>0</v>
      </c>
      <c r="F17" s="33">
        <f t="shared" si="1"/>
        <v>22</v>
      </c>
      <c r="G17" s="33">
        <f t="shared" si="1"/>
        <v>30</v>
      </c>
      <c r="H17" s="33">
        <f t="shared" si="1"/>
        <v>20</v>
      </c>
      <c r="I17" s="33">
        <f t="shared" si="1"/>
        <v>53</v>
      </c>
      <c r="J17" s="33">
        <f t="shared" si="1"/>
        <v>0</v>
      </c>
      <c r="K17" s="33">
        <f t="shared" si="1"/>
        <v>1</v>
      </c>
      <c r="L17" s="33">
        <f t="shared" si="1"/>
        <v>26</v>
      </c>
      <c r="M17" s="33">
        <f t="shared" si="1"/>
        <v>0</v>
      </c>
      <c r="N17" s="33">
        <f t="shared" si="1"/>
        <v>4</v>
      </c>
      <c r="O17" s="33">
        <f t="shared" si="1"/>
        <v>0</v>
      </c>
      <c r="P17" s="33">
        <f t="shared" si="1"/>
        <v>0</v>
      </c>
      <c r="Q17" s="33">
        <f t="shared" si="1"/>
        <v>0</v>
      </c>
      <c r="R17" s="33">
        <f t="shared" si="1"/>
        <v>0</v>
      </c>
      <c r="S17" s="33">
        <f t="shared" si="1"/>
        <v>10</v>
      </c>
      <c r="T17" s="33">
        <f t="shared" si="1"/>
        <v>0</v>
      </c>
      <c r="U17" s="33">
        <f t="shared" si="1"/>
        <v>0</v>
      </c>
      <c r="V17" s="33">
        <f>SUM(V3:V16)</f>
        <v>0</v>
      </c>
      <c r="W17" s="33">
        <f>SUM(W3:W16)</f>
        <v>5</v>
      </c>
      <c r="X17" s="32">
        <f t="shared" si="1"/>
        <v>207</v>
      </c>
    </row>
    <row r="18" spans="1:24" ht="17.2" customHeight="1" thickBot="1" x14ac:dyDescent="0.55000000000000004">
      <c r="A18" s="31" t="s">
        <v>80</v>
      </c>
      <c r="E18" s="40"/>
      <c r="F18" s="40"/>
    </row>
    <row r="19" spans="1:24" ht="17.2" customHeight="1" thickBot="1" x14ac:dyDescent="0.55000000000000004">
      <c r="A19" s="34" t="str">
        <f>A2</f>
        <v>BLIND #</v>
      </c>
      <c r="B19" s="41"/>
      <c r="C19" s="36">
        <f t="shared" ref="C19:N19" si="2">C2</f>
        <v>1</v>
      </c>
      <c r="D19" s="36">
        <f t="shared" si="2"/>
        <v>2</v>
      </c>
      <c r="E19" s="36">
        <f t="shared" si="2"/>
        <v>3</v>
      </c>
      <c r="F19" s="36">
        <f t="shared" si="2"/>
        <v>4</v>
      </c>
      <c r="G19" s="36">
        <f t="shared" si="2"/>
        <v>5</v>
      </c>
      <c r="H19" s="36">
        <f t="shared" si="2"/>
        <v>6</v>
      </c>
      <c r="I19" s="36">
        <f t="shared" si="2"/>
        <v>7</v>
      </c>
      <c r="J19" s="36">
        <f t="shared" si="2"/>
        <v>8</v>
      </c>
      <c r="K19" s="36">
        <f t="shared" si="2"/>
        <v>9</v>
      </c>
      <c r="L19" s="36">
        <f t="shared" si="2"/>
        <v>10</v>
      </c>
      <c r="M19" s="36">
        <f t="shared" si="2"/>
        <v>11</v>
      </c>
      <c r="N19" s="36">
        <f t="shared" si="2"/>
        <v>12</v>
      </c>
      <c r="O19" s="36">
        <v>13</v>
      </c>
      <c r="P19" s="36">
        <v>14</v>
      </c>
      <c r="Q19" s="36">
        <v>15</v>
      </c>
      <c r="R19" s="36">
        <v>16</v>
      </c>
      <c r="S19" s="36">
        <v>17</v>
      </c>
      <c r="T19" s="36">
        <v>18</v>
      </c>
      <c r="U19" s="36">
        <v>19</v>
      </c>
      <c r="V19" s="36">
        <v>20</v>
      </c>
      <c r="W19" s="36">
        <v>21</v>
      </c>
      <c r="X19" s="37" t="s">
        <v>2</v>
      </c>
    </row>
    <row r="20" spans="1:24" ht="17.2" customHeight="1" x14ac:dyDescent="0.5">
      <c r="A20" s="32" t="str">
        <f>A3</f>
        <v>BLUEBILL</v>
      </c>
      <c r="X20" s="32">
        <f t="shared" ref="X20:X33" si="3">SUM(C20:W20)</f>
        <v>0</v>
      </c>
    </row>
    <row r="21" spans="1:24" ht="17.2" customHeight="1" x14ac:dyDescent="0.5">
      <c r="A21" s="32" t="str">
        <f t="shared" ref="A21:A33" si="4">A4</f>
        <v>CANVASBACK</v>
      </c>
      <c r="F21" s="33">
        <v>1</v>
      </c>
      <c r="G21" s="33">
        <v>2</v>
      </c>
      <c r="I21" s="33">
        <v>2</v>
      </c>
      <c r="L21" s="33">
        <v>1</v>
      </c>
      <c r="X21" s="32">
        <f t="shared" si="3"/>
        <v>6</v>
      </c>
    </row>
    <row r="22" spans="1:24" ht="17.2" customHeight="1" x14ac:dyDescent="0.5">
      <c r="A22" s="32" t="str">
        <f t="shared" si="4"/>
        <v>GADWALL</v>
      </c>
      <c r="G22" s="33">
        <v>2</v>
      </c>
      <c r="H22" s="33">
        <v>2</v>
      </c>
      <c r="I22" s="33">
        <v>2</v>
      </c>
      <c r="X22" s="32">
        <f t="shared" si="3"/>
        <v>6</v>
      </c>
    </row>
    <row r="23" spans="1:24" ht="17.2" customHeight="1" x14ac:dyDescent="0.5">
      <c r="A23" s="32" t="str">
        <f t="shared" si="4"/>
        <v>GEESE</v>
      </c>
      <c r="X23" s="32">
        <f t="shared" si="3"/>
        <v>0</v>
      </c>
    </row>
    <row r="24" spans="1:24" ht="17.2" customHeight="1" x14ac:dyDescent="0.5">
      <c r="A24" s="32" t="str">
        <f t="shared" si="4"/>
        <v>MALLARD</v>
      </c>
      <c r="G24" s="33">
        <v>1</v>
      </c>
      <c r="H24" s="33">
        <v>3</v>
      </c>
      <c r="L24" s="33">
        <v>1</v>
      </c>
      <c r="S24" s="33">
        <v>2</v>
      </c>
      <c r="X24" s="32">
        <f t="shared" si="3"/>
        <v>7</v>
      </c>
    </row>
    <row r="25" spans="1:24" ht="17.2" customHeight="1" x14ac:dyDescent="0.5">
      <c r="A25" s="32" t="str">
        <f t="shared" si="4"/>
        <v>PINTAIL</v>
      </c>
      <c r="C25" s="33">
        <v>4</v>
      </c>
      <c r="D25" s="33">
        <v>1</v>
      </c>
      <c r="E25" s="33">
        <v>1</v>
      </c>
      <c r="F25" s="33">
        <v>16</v>
      </c>
      <c r="G25" s="33">
        <v>8</v>
      </c>
      <c r="H25" s="33">
        <v>6</v>
      </c>
      <c r="I25" s="33">
        <v>5</v>
      </c>
      <c r="L25" s="33">
        <v>4</v>
      </c>
      <c r="S25" s="33">
        <v>4</v>
      </c>
      <c r="V25" s="33">
        <v>2</v>
      </c>
      <c r="W25" s="33">
        <f>2</f>
        <v>2</v>
      </c>
      <c r="X25" s="32">
        <f t="shared" si="3"/>
        <v>53</v>
      </c>
    </row>
    <row r="26" spans="1:24" ht="17.2" customHeight="1" x14ac:dyDescent="0.5">
      <c r="A26" s="32" t="str">
        <f t="shared" si="4"/>
        <v>REDHEAD</v>
      </c>
      <c r="S26" s="33">
        <v>1</v>
      </c>
      <c r="X26" s="32">
        <f t="shared" si="3"/>
        <v>1</v>
      </c>
    </row>
    <row r="27" spans="1:24" ht="17.2" customHeight="1" x14ac:dyDescent="0.5">
      <c r="A27" s="32" t="str">
        <f t="shared" si="4"/>
        <v>RINGNECK</v>
      </c>
      <c r="C27" s="33">
        <v>1</v>
      </c>
      <c r="X27" s="32">
        <f t="shared" si="3"/>
        <v>1</v>
      </c>
    </row>
    <row r="28" spans="1:24" ht="17.2" customHeight="1" x14ac:dyDescent="0.5">
      <c r="A28" s="32" t="str">
        <f t="shared" si="4"/>
        <v>RUDDY</v>
      </c>
      <c r="G28" s="33">
        <v>2</v>
      </c>
      <c r="H28" s="33">
        <v>1</v>
      </c>
      <c r="N28" s="33">
        <v>1</v>
      </c>
      <c r="S28" s="33">
        <v>1</v>
      </c>
      <c r="X28" s="32">
        <f t="shared" si="3"/>
        <v>5</v>
      </c>
    </row>
    <row r="29" spans="1:24" ht="17.2" customHeight="1" x14ac:dyDescent="0.5">
      <c r="A29" s="32" t="str">
        <f t="shared" si="4"/>
        <v>SPOONY</v>
      </c>
      <c r="C29" s="33">
        <v>8</v>
      </c>
      <c r="D29" s="33">
        <v>4</v>
      </c>
      <c r="F29" s="33">
        <v>3</v>
      </c>
      <c r="G29" s="33">
        <v>10</v>
      </c>
      <c r="H29" s="33">
        <v>2</v>
      </c>
      <c r="I29" s="33">
        <v>5</v>
      </c>
      <c r="L29" s="33">
        <v>5</v>
      </c>
      <c r="N29" s="33">
        <v>1</v>
      </c>
      <c r="P29" s="33">
        <v>2</v>
      </c>
      <c r="S29" s="33">
        <f>8</f>
        <v>8</v>
      </c>
      <c r="V29" s="33">
        <v>1</v>
      </c>
      <c r="X29" s="32">
        <f t="shared" si="3"/>
        <v>49</v>
      </c>
    </row>
    <row r="30" spans="1:24" ht="17.2" customHeight="1" x14ac:dyDescent="0.5">
      <c r="A30" s="32" t="str">
        <f t="shared" si="4"/>
        <v>TEAL</v>
      </c>
      <c r="C30" s="33">
        <v>19</v>
      </c>
      <c r="D30" s="33">
        <v>27</v>
      </c>
      <c r="F30" s="33">
        <v>46</v>
      </c>
      <c r="G30" s="33">
        <v>40</v>
      </c>
      <c r="H30" s="33">
        <v>18</v>
      </c>
      <c r="I30" s="33">
        <v>40</v>
      </c>
      <c r="J30" s="33">
        <v>6</v>
      </c>
      <c r="K30" s="33">
        <v>9</v>
      </c>
      <c r="L30" s="33">
        <v>34</v>
      </c>
      <c r="N30" s="33">
        <v>11</v>
      </c>
      <c r="P30" s="33">
        <f>6</f>
        <v>6</v>
      </c>
      <c r="S30" s="33">
        <f>14</f>
        <v>14</v>
      </c>
      <c r="V30" s="33">
        <v>2</v>
      </c>
      <c r="X30" s="32">
        <f t="shared" si="3"/>
        <v>272</v>
      </c>
    </row>
    <row r="31" spans="1:24" ht="17.2" customHeight="1" x14ac:dyDescent="0.5">
      <c r="A31" s="32" t="str">
        <f t="shared" si="4"/>
        <v>WIDGEON</v>
      </c>
      <c r="C31" s="33">
        <v>6</v>
      </c>
      <c r="D31" s="33">
        <v>4</v>
      </c>
      <c r="F31" s="33">
        <v>3</v>
      </c>
      <c r="G31" s="33">
        <v>6</v>
      </c>
      <c r="H31" s="33">
        <v>6</v>
      </c>
      <c r="I31" s="33">
        <v>8</v>
      </c>
      <c r="J31" s="33">
        <v>1</v>
      </c>
      <c r="K31" s="33">
        <v>2</v>
      </c>
      <c r="L31" s="33">
        <v>2</v>
      </c>
      <c r="V31" s="33">
        <v>4</v>
      </c>
      <c r="X31" s="32">
        <f t="shared" si="3"/>
        <v>42</v>
      </c>
    </row>
    <row r="32" spans="1:24" ht="17.2" customHeight="1" x14ac:dyDescent="0.5">
      <c r="A32" s="32" t="str">
        <f t="shared" si="4"/>
        <v>MISC</v>
      </c>
      <c r="D32" s="33">
        <v>1</v>
      </c>
      <c r="F32" s="33">
        <v>4</v>
      </c>
      <c r="G32" s="33">
        <v>1</v>
      </c>
      <c r="L32" s="33">
        <v>8</v>
      </c>
      <c r="N32" s="33">
        <v>1</v>
      </c>
      <c r="S32" s="33">
        <v>1</v>
      </c>
      <c r="X32" s="32">
        <f t="shared" si="3"/>
        <v>16</v>
      </c>
    </row>
    <row r="33" spans="1:26" ht="17.2" customHeight="1" thickBot="1" x14ac:dyDescent="0.55000000000000004">
      <c r="A33" s="32" t="str">
        <f t="shared" si="4"/>
        <v>OTHER</v>
      </c>
      <c r="C33" s="38"/>
      <c r="D33" s="38"/>
      <c r="E33" s="38"/>
      <c r="F33" s="38"/>
      <c r="G33" s="38"/>
      <c r="H33" s="38"/>
      <c r="I33" s="38"/>
      <c r="J33" s="38"/>
      <c r="K33" s="38"/>
      <c r="L33" s="38"/>
      <c r="M33" s="38"/>
      <c r="N33" s="38"/>
      <c r="O33" s="38"/>
      <c r="P33" s="38"/>
      <c r="Q33" s="38"/>
      <c r="R33" s="38"/>
      <c r="S33" s="38"/>
      <c r="T33" s="38"/>
      <c r="U33" s="38"/>
      <c r="V33" s="38"/>
      <c r="W33" s="38"/>
      <c r="X33" s="39">
        <f t="shared" si="3"/>
        <v>0</v>
      </c>
    </row>
    <row r="34" spans="1:26" ht="17.2" customHeight="1" thickBot="1" x14ac:dyDescent="0.55000000000000004">
      <c r="A34" s="32" t="s">
        <v>25</v>
      </c>
      <c r="C34" s="33">
        <f>0+SUM(C20:C33)</f>
        <v>38</v>
      </c>
      <c r="D34" s="33">
        <f t="shared" ref="D34:U34" si="5">0+SUM(D20:D33)</f>
        <v>37</v>
      </c>
      <c r="E34" s="33">
        <f t="shared" si="5"/>
        <v>1</v>
      </c>
      <c r="F34" s="33">
        <f t="shared" si="5"/>
        <v>73</v>
      </c>
      <c r="G34" s="33">
        <f t="shared" si="5"/>
        <v>72</v>
      </c>
      <c r="H34" s="33">
        <f t="shared" si="5"/>
        <v>38</v>
      </c>
      <c r="I34" s="33">
        <f t="shared" si="5"/>
        <v>62</v>
      </c>
      <c r="J34" s="33">
        <f t="shared" si="5"/>
        <v>7</v>
      </c>
      <c r="K34" s="33">
        <f t="shared" si="5"/>
        <v>11</v>
      </c>
      <c r="L34" s="33">
        <f t="shared" si="5"/>
        <v>55</v>
      </c>
      <c r="M34" s="33">
        <f t="shared" si="5"/>
        <v>0</v>
      </c>
      <c r="N34" s="33">
        <f t="shared" si="5"/>
        <v>14</v>
      </c>
      <c r="O34" s="33">
        <f t="shared" si="5"/>
        <v>0</v>
      </c>
      <c r="P34" s="33">
        <f t="shared" si="5"/>
        <v>8</v>
      </c>
      <c r="Q34" s="33">
        <f t="shared" si="5"/>
        <v>0</v>
      </c>
      <c r="R34" s="33">
        <f t="shared" si="5"/>
        <v>0</v>
      </c>
      <c r="S34" s="33">
        <f t="shared" si="5"/>
        <v>31</v>
      </c>
      <c r="T34" s="33">
        <f t="shared" si="5"/>
        <v>0</v>
      </c>
      <c r="U34" s="33">
        <f t="shared" si="5"/>
        <v>0</v>
      </c>
      <c r="V34" s="33">
        <f>0+SUM(V20:V33)</f>
        <v>9</v>
      </c>
      <c r="W34" s="33">
        <f>0+SUM(W20:W33)</f>
        <v>2</v>
      </c>
      <c r="X34" s="32">
        <f>SUM(X20:X33)</f>
        <v>458</v>
      </c>
    </row>
    <row r="35" spans="1:26" ht="17.2" customHeight="1" thickBot="1" x14ac:dyDescent="0.55000000000000004">
      <c r="A35" s="31" t="s">
        <v>38</v>
      </c>
      <c r="B35" s="31"/>
      <c r="C35" s="40"/>
      <c r="D35" s="40"/>
      <c r="E35" s="40"/>
      <c r="F35" s="40"/>
      <c r="G35" s="40"/>
      <c r="H35" s="40"/>
      <c r="I35" s="40"/>
      <c r="J35" s="40"/>
      <c r="K35" s="40"/>
      <c r="L35" s="40"/>
      <c r="M35" s="40"/>
      <c r="N35" s="40"/>
      <c r="O35" s="40"/>
      <c r="P35" s="40"/>
      <c r="Q35" s="40"/>
      <c r="R35" s="40"/>
      <c r="S35" s="40"/>
      <c r="T35" s="40"/>
      <c r="U35" s="40"/>
      <c r="V35" s="58"/>
      <c r="W35" s="58"/>
      <c r="X35" s="42"/>
      <c r="Y35" s="43" t="s">
        <v>60</v>
      </c>
      <c r="Z35" s="44" t="s">
        <v>57</v>
      </c>
    </row>
    <row r="36" spans="1:26" ht="17.2" customHeight="1" thickBot="1" x14ac:dyDescent="0.55000000000000004">
      <c r="A36" s="34" t="str">
        <f>A19</f>
        <v>BLIND #</v>
      </c>
      <c r="B36" s="41"/>
      <c r="C36" s="36">
        <f t="shared" ref="C36:U36" si="6">C19</f>
        <v>1</v>
      </c>
      <c r="D36" s="36">
        <f t="shared" si="6"/>
        <v>2</v>
      </c>
      <c r="E36" s="36">
        <f t="shared" si="6"/>
        <v>3</v>
      </c>
      <c r="F36" s="36">
        <f t="shared" si="6"/>
        <v>4</v>
      </c>
      <c r="G36" s="36">
        <f t="shared" si="6"/>
        <v>5</v>
      </c>
      <c r="H36" s="36">
        <f t="shared" si="6"/>
        <v>6</v>
      </c>
      <c r="I36" s="36">
        <f t="shared" si="6"/>
        <v>7</v>
      </c>
      <c r="J36" s="36">
        <f t="shared" si="6"/>
        <v>8</v>
      </c>
      <c r="K36" s="36">
        <f t="shared" si="6"/>
        <v>9</v>
      </c>
      <c r="L36" s="36">
        <f t="shared" si="6"/>
        <v>10</v>
      </c>
      <c r="M36" s="36">
        <f t="shared" si="6"/>
        <v>11</v>
      </c>
      <c r="N36" s="36">
        <f t="shared" si="6"/>
        <v>12</v>
      </c>
      <c r="O36" s="36">
        <f t="shared" si="6"/>
        <v>13</v>
      </c>
      <c r="P36" s="36">
        <f t="shared" si="6"/>
        <v>14</v>
      </c>
      <c r="Q36" s="36">
        <f t="shared" si="6"/>
        <v>15</v>
      </c>
      <c r="R36" s="36">
        <f t="shared" si="6"/>
        <v>16</v>
      </c>
      <c r="S36" s="36">
        <f t="shared" si="6"/>
        <v>17</v>
      </c>
      <c r="T36" s="36">
        <f t="shared" si="6"/>
        <v>18</v>
      </c>
      <c r="U36" s="36">
        <f t="shared" si="6"/>
        <v>19</v>
      </c>
      <c r="V36" s="58">
        <v>20</v>
      </c>
      <c r="W36" s="58">
        <v>21</v>
      </c>
      <c r="X36" s="42" t="s">
        <v>2</v>
      </c>
      <c r="Y36" s="45" t="s">
        <v>61</v>
      </c>
      <c r="Z36" s="46" t="s">
        <v>59</v>
      </c>
    </row>
    <row r="37" spans="1:26" ht="17.2" customHeight="1" x14ac:dyDescent="0.5">
      <c r="A37" s="32" t="str">
        <f>A20</f>
        <v>BLUEBILL</v>
      </c>
      <c r="C37" s="33">
        <f t="shared" ref="C37:U50" si="7">C3+C20</f>
        <v>0</v>
      </c>
      <c r="D37" s="33">
        <f t="shared" si="7"/>
        <v>0</v>
      </c>
      <c r="E37" s="33">
        <f t="shared" si="7"/>
        <v>0</v>
      </c>
      <c r="F37" s="33">
        <f t="shared" si="7"/>
        <v>0</v>
      </c>
      <c r="G37" s="33">
        <f t="shared" si="7"/>
        <v>0</v>
      </c>
      <c r="H37" s="33">
        <f t="shared" si="7"/>
        <v>0</v>
      </c>
      <c r="I37" s="33">
        <f t="shared" si="7"/>
        <v>0</v>
      </c>
      <c r="J37" s="33">
        <f t="shared" si="7"/>
        <v>0</v>
      </c>
      <c r="K37" s="33">
        <f t="shared" si="7"/>
        <v>0</v>
      </c>
      <c r="L37" s="33">
        <f t="shared" si="7"/>
        <v>0</v>
      </c>
      <c r="M37" s="33">
        <f t="shared" si="7"/>
        <v>0</v>
      </c>
      <c r="N37" s="33">
        <f t="shared" si="7"/>
        <v>0</v>
      </c>
      <c r="O37" s="33">
        <f t="shared" si="7"/>
        <v>0</v>
      </c>
      <c r="P37" s="33">
        <f t="shared" si="7"/>
        <v>0</v>
      </c>
      <c r="Q37" s="33">
        <f t="shared" si="7"/>
        <v>0</v>
      </c>
      <c r="R37" s="33">
        <f t="shared" si="7"/>
        <v>0</v>
      </c>
      <c r="S37" s="33">
        <f t="shared" si="7"/>
        <v>0</v>
      </c>
      <c r="T37" s="33">
        <f t="shared" si="7"/>
        <v>0</v>
      </c>
      <c r="U37" s="33">
        <f t="shared" si="7"/>
        <v>0</v>
      </c>
      <c r="V37" s="33">
        <f t="shared" ref="V37:W49" si="8">V3+V20</f>
        <v>0</v>
      </c>
      <c r="W37" s="33">
        <f t="shared" si="8"/>
        <v>0</v>
      </c>
      <c r="X37" s="32">
        <f>SUM(C37:W37)</f>
        <v>0</v>
      </c>
      <c r="Y37" s="47">
        <f>X37/$X$51</f>
        <v>0</v>
      </c>
      <c r="Z37" s="48">
        <f>0/10068</f>
        <v>0</v>
      </c>
    </row>
    <row r="38" spans="1:26" ht="17.2" customHeight="1" x14ac:dyDescent="0.5">
      <c r="A38" s="32" t="str">
        <f t="shared" ref="A38:A49" si="9">A21</f>
        <v>CANVASBACK</v>
      </c>
      <c r="C38" s="33">
        <f t="shared" si="7"/>
        <v>0</v>
      </c>
      <c r="D38" s="33">
        <f t="shared" si="7"/>
        <v>0</v>
      </c>
      <c r="E38" s="33">
        <f t="shared" si="7"/>
        <v>0</v>
      </c>
      <c r="F38" s="33">
        <f t="shared" si="7"/>
        <v>2</v>
      </c>
      <c r="G38" s="33">
        <f t="shared" si="7"/>
        <v>2</v>
      </c>
      <c r="H38" s="33">
        <f t="shared" si="7"/>
        <v>0</v>
      </c>
      <c r="I38" s="33">
        <f t="shared" si="7"/>
        <v>3</v>
      </c>
      <c r="J38" s="33">
        <f t="shared" si="7"/>
        <v>0</v>
      </c>
      <c r="K38" s="33">
        <f t="shared" si="7"/>
        <v>0</v>
      </c>
      <c r="L38" s="33">
        <f t="shared" si="7"/>
        <v>1</v>
      </c>
      <c r="M38" s="33">
        <f t="shared" si="7"/>
        <v>0</v>
      </c>
      <c r="N38" s="33">
        <f t="shared" si="7"/>
        <v>0</v>
      </c>
      <c r="O38" s="33">
        <f t="shared" si="7"/>
        <v>0</v>
      </c>
      <c r="P38" s="33">
        <f t="shared" si="7"/>
        <v>0</v>
      </c>
      <c r="Q38" s="33">
        <f t="shared" si="7"/>
        <v>0</v>
      </c>
      <c r="R38" s="33">
        <f t="shared" si="7"/>
        <v>0</v>
      </c>
      <c r="S38" s="33">
        <f t="shared" si="7"/>
        <v>0</v>
      </c>
      <c r="T38" s="33">
        <f t="shared" si="7"/>
        <v>0</v>
      </c>
      <c r="U38" s="33">
        <f t="shared" si="7"/>
        <v>0</v>
      </c>
      <c r="V38" s="33">
        <f t="shared" si="8"/>
        <v>0</v>
      </c>
      <c r="W38" s="33">
        <f t="shared" si="8"/>
        <v>0</v>
      </c>
      <c r="X38" s="32">
        <f t="shared" ref="X38:X50" si="10">SUM(C38:W38)</f>
        <v>8</v>
      </c>
      <c r="Y38" s="47">
        <f t="shared" ref="Y38:Y50" si="11">X38/$X$51</f>
        <v>1.2030075187969926E-2</v>
      </c>
      <c r="Z38" s="48">
        <f>56/10068</f>
        <v>5.5621771950735005E-3</v>
      </c>
    </row>
    <row r="39" spans="1:26" ht="17.2" customHeight="1" x14ac:dyDescent="0.5">
      <c r="A39" s="32" t="str">
        <f t="shared" si="9"/>
        <v>GADWALL</v>
      </c>
      <c r="C39" s="33">
        <f t="shared" si="7"/>
        <v>0</v>
      </c>
      <c r="D39" s="33">
        <f t="shared" si="7"/>
        <v>1</v>
      </c>
      <c r="E39" s="33">
        <f t="shared" si="7"/>
        <v>0</v>
      </c>
      <c r="F39" s="33">
        <f t="shared" si="7"/>
        <v>0</v>
      </c>
      <c r="G39" s="33">
        <f t="shared" si="7"/>
        <v>3</v>
      </c>
      <c r="H39" s="33">
        <f t="shared" si="7"/>
        <v>2</v>
      </c>
      <c r="I39" s="33">
        <f t="shared" si="7"/>
        <v>9</v>
      </c>
      <c r="J39" s="33">
        <f t="shared" si="7"/>
        <v>0</v>
      </c>
      <c r="K39" s="33">
        <f t="shared" si="7"/>
        <v>0</v>
      </c>
      <c r="L39" s="33">
        <f t="shared" si="7"/>
        <v>0</v>
      </c>
      <c r="M39" s="33">
        <f t="shared" si="7"/>
        <v>0</v>
      </c>
      <c r="N39" s="33">
        <f t="shared" si="7"/>
        <v>0</v>
      </c>
      <c r="O39" s="33">
        <f t="shared" si="7"/>
        <v>0</v>
      </c>
      <c r="P39" s="33">
        <f t="shared" si="7"/>
        <v>0</v>
      </c>
      <c r="Q39" s="33">
        <f t="shared" si="7"/>
        <v>0</v>
      </c>
      <c r="R39" s="33">
        <f t="shared" si="7"/>
        <v>0</v>
      </c>
      <c r="S39" s="33">
        <f t="shared" si="7"/>
        <v>1</v>
      </c>
      <c r="T39" s="33">
        <f t="shared" si="7"/>
        <v>0</v>
      </c>
      <c r="U39" s="33">
        <f t="shared" si="7"/>
        <v>0</v>
      </c>
      <c r="V39" s="33">
        <f t="shared" si="8"/>
        <v>0</v>
      </c>
      <c r="W39" s="33">
        <f t="shared" si="8"/>
        <v>0</v>
      </c>
      <c r="X39" s="32">
        <f t="shared" si="10"/>
        <v>16</v>
      </c>
      <c r="Y39" s="47">
        <f t="shared" si="11"/>
        <v>2.4060150375939851E-2</v>
      </c>
      <c r="Z39" s="48">
        <f>1878/10068</f>
        <v>0.18653158522050059</v>
      </c>
    </row>
    <row r="40" spans="1:26" ht="17.2" customHeight="1" x14ac:dyDescent="0.5">
      <c r="A40" s="32" t="str">
        <f t="shared" si="9"/>
        <v>GEESE</v>
      </c>
      <c r="C40" s="33">
        <f t="shared" si="7"/>
        <v>0</v>
      </c>
      <c r="D40" s="33">
        <f t="shared" si="7"/>
        <v>0</v>
      </c>
      <c r="E40" s="33">
        <f t="shared" si="7"/>
        <v>0</v>
      </c>
      <c r="F40" s="33">
        <f t="shared" si="7"/>
        <v>0</v>
      </c>
      <c r="G40" s="33">
        <f t="shared" si="7"/>
        <v>0</v>
      </c>
      <c r="H40" s="33">
        <f t="shared" si="7"/>
        <v>0</v>
      </c>
      <c r="I40" s="33">
        <f t="shared" si="7"/>
        <v>0</v>
      </c>
      <c r="J40" s="33">
        <f t="shared" si="7"/>
        <v>0</v>
      </c>
      <c r="K40" s="33">
        <f t="shared" si="7"/>
        <v>0</v>
      </c>
      <c r="L40" s="33">
        <f t="shared" si="7"/>
        <v>1</v>
      </c>
      <c r="M40" s="33">
        <f t="shared" si="7"/>
        <v>0</v>
      </c>
      <c r="N40" s="33">
        <f t="shared" si="7"/>
        <v>0</v>
      </c>
      <c r="O40" s="33">
        <f t="shared" si="7"/>
        <v>0</v>
      </c>
      <c r="P40" s="33">
        <f t="shared" si="7"/>
        <v>0</v>
      </c>
      <c r="Q40" s="33">
        <f t="shared" si="7"/>
        <v>0</v>
      </c>
      <c r="R40" s="33">
        <f t="shared" si="7"/>
        <v>0</v>
      </c>
      <c r="S40" s="33">
        <f t="shared" si="7"/>
        <v>0</v>
      </c>
      <c r="T40" s="33">
        <f t="shared" si="7"/>
        <v>0</v>
      </c>
      <c r="U40" s="33">
        <f t="shared" si="7"/>
        <v>0</v>
      </c>
      <c r="V40" s="33">
        <f t="shared" si="8"/>
        <v>0</v>
      </c>
      <c r="W40" s="33">
        <f t="shared" si="8"/>
        <v>0</v>
      </c>
      <c r="X40" s="32">
        <f t="shared" si="10"/>
        <v>1</v>
      </c>
      <c r="Y40" s="47">
        <f t="shared" si="11"/>
        <v>1.5037593984962407E-3</v>
      </c>
      <c r="Z40" s="48">
        <f>12/10068</f>
        <v>1.1918951132300357E-3</v>
      </c>
    </row>
    <row r="41" spans="1:26" ht="17.2" customHeight="1" x14ac:dyDescent="0.5">
      <c r="A41" s="32" t="str">
        <f t="shared" si="9"/>
        <v>MALLARD</v>
      </c>
      <c r="C41" s="33">
        <f t="shared" si="7"/>
        <v>0</v>
      </c>
      <c r="D41" s="33">
        <f t="shared" si="7"/>
        <v>4</v>
      </c>
      <c r="E41" s="33">
        <f t="shared" si="7"/>
        <v>0</v>
      </c>
      <c r="F41" s="33">
        <f t="shared" si="7"/>
        <v>1</v>
      </c>
      <c r="G41" s="33">
        <f t="shared" si="7"/>
        <v>2</v>
      </c>
      <c r="H41" s="33">
        <f t="shared" si="7"/>
        <v>3</v>
      </c>
      <c r="I41" s="33">
        <f t="shared" si="7"/>
        <v>0</v>
      </c>
      <c r="J41" s="33">
        <f t="shared" si="7"/>
        <v>0</v>
      </c>
      <c r="K41" s="33">
        <f t="shared" si="7"/>
        <v>0</v>
      </c>
      <c r="L41" s="33">
        <f t="shared" si="7"/>
        <v>2</v>
      </c>
      <c r="M41" s="33">
        <f t="shared" si="7"/>
        <v>0</v>
      </c>
      <c r="N41" s="33">
        <f t="shared" si="7"/>
        <v>1</v>
      </c>
      <c r="O41" s="33">
        <f t="shared" si="7"/>
        <v>0</v>
      </c>
      <c r="P41" s="33">
        <f t="shared" si="7"/>
        <v>0</v>
      </c>
      <c r="Q41" s="33">
        <f t="shared" si="7"/>
        <v>0</v>
      </c>
      <c r="R41" s="33">
        <f t="shared" si="7"/>
        <v>0</v>
      </c>
      <c r="S41" s="33">
        <f t="shared" si="7"/>
        <v>2</v>
      </c>
      <c r="T41" s="33">
        <f t="shared" si="7"/>
        <v>0</v>
      </c>
      <c r="U41" s="33">
        <f t="shared" si="7"/>
        <v>0</v>
      </c>
      <c r="V41" s="33">
        <f t="shared" si="8"/>
        <v>0</v>
      </c>
      <c r="W41" s="33">
        <f t="shared" si="8"/>
        <v>0</v>
      </c>
      <c r="X41" s="32">
        <f t="shared" si="10"/>
        <v>15</v>
      </c>
      <c r="Y41" s="47">
        <f t="shared" si="11"/>
        <v>2.2556390977443608E-2</v>
      </c>
      <c r="Z41" s="48">
        <f>557/10068</f>
        <v>5.5323798172427496E-2</v>
      </c>
    </row>
    <row r="42" spans="1:26" ht="17.2" customHeight="1" x14ac:dyDescent="0.5">
      <c r="A42" s="32" t="str">
        <f t="shared" si="9"/>
        <v>PINTAIL</v>
      </c>
      <c r="C42" s="33">
        <f t="shared" si="7"/>
        <v>7</v>
      </c>
      <c r="D42" s="33">
        <f t="shared" si="7"/>
        <v>2</v>
      </c>
      <c r="E42" s="33">
        <f t="shared" si="7"/>
        <v>1</v>
      </c>
      <c r="F42" s="33">
        <f t="shared" si="7"/>
        <v>18</v>
      </c>
      <c r="G42" s="33">
        <f t="shared" si="7"/>
        <v>9</v>
      </c>
      <c r="H42" s="33">
        <f t="shared" si="7"/>
        <v>10</v>
      </c>
      <c r="I42" s="33">
        <f t="shared" si="7"/>
        <v>10</v>
      </c>
      <c r="J42" s="33">
        <f t="shared" si="7"/>
        <v>0</v>
      </c>
      <c r="K42" s="33">
        <f t="shared" si="7"/>
        <v>0</v>
      </c>
      <c r="L42" s="33">
        <f t="shared" si="7"/>
        <v>4</v>
      </c>
      <c r="M42" s="33">
        <f t="shared" si="7"/>
        <v>0</v>
      </c>
      <c r="N42" s="33">
        <f t="shared" si="7"/>
        <v>0</v>
      </c>
      <c r="O42" s="33">
        <f t="shared" si="7"/>
        <v>0</v>
      </c>
      <c r="P42" s="33">
        <f t="shared" si="7"/>
        <v>0</v>
      </c>
      <c r="Q42" s="33">
        <f t="shared" si="7"/>
        <v>0</v>
      </c>
      <c r="R42" s="33">
        <f t="shared" si="7"/>
        <v>0</v>
      </c>
      <c r="S42" s="33">
        <f t="shared" si="7"/>
        <v>4</v>
      </c>
      <c r="T42" s="33">
        <f t="shared" si="7"/>
        <v>0</v>
      </c>
      <c r="U42" s="33">
        <f t="shared" si="7"/>
        <v>0</v>
      </c>
      <c r="V42" s="33">
        <f t="shared" si="8"/>
        <v>2</v>
      </c>
      <c r="W42" s="33">
        <f t="shared" si="8"/>
        <v>2</v>
      </c>
      <c r="X42" s="32">
        <f t="shared" si="10"/>
        <v>69</v>
      </c>
      <c r="Y42" s="47">
        <f t="shared" si="11"/>
        <v>0.10375939849624061</v>
      </c>
      <c r="Z42" s="48">
        <f>499/10068</f>
        <v>4.9562971791815652E-2</v>
      </c>
    </row>
    <row r="43" spans="1:26" ht="17.2" customHeight="1" x14ac:dyDescent="0.5">
      <c r="A43" s="32" t="str">
        <f t="shared" si="9"/>
        <v>REDHEAD</v>
      </c>
      <c r="C43" s="33">
        <f t="shared" si="7"/>
        <v>0</v>
      </c>
      <c r="D43" s="33">
        <f t="shared" si="7"/>
        <v>2</v>
      </c>
      <c r="E43" s="33">
        <f t="shared" si="7"/>
        <v>0</v>
      </c>
      <c r="F43" s="33">
        <f t="shared" si="7"/>
        <v>1</v>
      </c>
      <c r="G43" s="33">
        <f t="shared" si="7"/>
        <v>0</v>
      </c>
      <c r="H43" s="33">
        <f t="shared" si="7"/>
        <v>0</v>
      </c>
      <c r="I43" s="33">
        <f t="shared" si="7"/>
        <v>0</v>
      </c>
      <c r="J43" s="33">
        <f t="shared" si="7"/>
        <v>0</v>
      </c>
      <c r="K43" s="33">
        <f t="shared" si="7"/>
        <v>0</v>
      </c>
      <c r="L43" s="33">
        <f t="shared" si="7"/>
        <v>0</v>
      </c>
      <c r="M43" s="33">
        <f t="shared" si="7"/>
        <v>0</v>
      </c>
      <c r="N43" s="33">
        <f t="shared" si="7"/>
        <v>0</v>
      </c>
      <c r="O43" s="33">
        <f t="shared" si="7"/>
        <v>0</v>
      </c>
      <c r="P43" s="33">
        <f t="shared" si="7"/>
        <v>0</v>
      </c>
      <c r="Q43" s="33">
        <f t="shared" si="7"/>
        <v>0</v>
      </c>
      <c r="R43" s="33">
        <f t="shared" si="7"/>
        <v>0</v>
      </c>
      <c r="S43" s="33">
        <f t="shared" si="7"/>
        <v>1</v>
      </c>
      <c r="T43" s="33">
        <f t="shared" si="7"/>
        <v>0</v>
      </c>
      <c r="U43" s="33">
        <f t="shared" si="7"/>
        <v>0</v>
      </c>
      <c r="V43" s="33">
        <f t="shared" si="8"/>
        <v>0</v>
      </c>
      <c r="W43" s="33">
        <f t="shared" si="8"/>
        <v>0</v>
      </c>
      <c r="X43" s="32">
        <f t="shared" si="10"/>
        <v>4</v>
      </c>
      <c r="Y43" s="47">
        <f t="shared" si="11"/>
        <v>6.0150375939849628E-3</v>
      </c>
      <c r="Z43" s="48">
        <f>643/10068</f>
        <v>6.3865713150576084E-2</v>
      </c>
    </row>
    <row r="44" spans="1:26" ht="17.2" customHeight="1" x14ac:dyDescent="0.5">
      <c r="A44" s="32" t="str">
        <f t="shared" si="9"/>
        <v>RINGNECK</v>
      </c>
      <c r="C44" s="33">
        <f t="shared" si="7"/>
        <v>1</v>
      </c>
      <c r="D44" s="33">
        <f t="shared" si="7"/>
        <v>1</v>
      </c>
      <c r="E44" s="33">
        <f t="shared" si="7"/>
        <v>0</v>
      </c>
      <c r="F44" s="33">
        <f t="shared" si="7"/>
        <v>0</v>
      </c>
      <c r="G44" s="33">
        <f t="shared" si="7"/>
        <v>0</v>
      </c>
      <c r="H44" s="33">
        <f t="shared" si="7"/>
        <v>0</v>
      </c>
      <c r="I44" s="33">
        <f t="shared" si="7"/>
        <v>0</v>
      </c>
      <c r="J44" s="33">
        <f t="shared" si="7"/>
        <v>0</v>
      </c>
      <c r="K44" s="33">
        <f t="shared" si="7"/>
        <v>0</v>
      </c>
      <c r="L44" s="33">
        <f t="shared" si="7"/>
        <v>2</v>
      </c>
      <c r="M44" s="33">
        <f t="shared" si="7"/>
        <v>0</v>
      </c>
      <c r="N44" s="33">
        <f t="shared" si="7"/>
        <v>0</v>
      </c>
      <c r="O44" s="33">
        <f t="shared" si="7"/>
        <v>0</v>
      </c>
      <c r="P44" s="33">
        <f t="shared" si="7"/>
        <v>0</v>
      </c>
      <c r="Q44" s="33">
        <f t="shared" si="7"/>
        <v>0</v>
      </c>
      <c r="R44" s="33">
        <f t="shared" si="7"/>
        <v>0</v>
      </c>
      <c r="S44" s="33">
        <f t="shared" si="7"/>
        <v>0</v>
      </c>
      <c r="T44" s="33">
        <f t="shared" si="7"/>
        <v>0</v>
      </c>
      <c r="U44" s="33">
        <f t="shared" si="7"/>
        <v>0</v>
      </c>
      <c r="V44" s="33">
        <f t="shared" si="8"/>
        <v>0</v>
      </c>
      <c r="W44" s="33">
        <f t="shared" si="8"/>
        <v>0</v>
      </c>
      <c r="X44" s="32">
        <f t="shared" si="10"/>
        <v>4</v>
      </c>
      <c r="Y44" s="47">
        <f t="shared" si="11"/>
        <v>6.0150375939849628E-3</v>
      </c>
      <c r="Z44" s="48">
        <f>222/10068</f>
        <v>2.2050059594755662E-2</v>
      </c>
    </row>
    <row r="45" spans="1:26" ht="17.2" customHeight="1" x14ac:dyDescent="0.5">
      <c r="A45" s="32" t="str">
        <f t="shared" si="9"/>
        <v>RUDDY</v>
      </c>
      <c r="C45" s="33">
        <f t="shared" si="7"/>
        <v>0</v>
      </c>
      <c r="D45" s="33">
        <f t="shared" si="7"/>
        <v>0</v>
      </c>
      <c r="E45" s="33">
        <f t="shared" si="7"/>
        <v>0</v>
      </c>
      <c r="F45" s="33">
        <f t="shared" si="7"/>
        <v>0</v>
      </c>
      <c r="G45" s="33">
        <f t="shared" si="7"/>
        <v>2</v>
      </c>
      <c r="H45" s="33">
        <f t="shared" si="7"/>
        <v>1</v>
      </c>
      <c r="I45" s="33">
        <f t="shared" si="7"/>
        <v>0</v>
      </c>
      <c r="J45" s="33">
        <f t="shared" si="7"/>
        <v>0</v>
      </c>
      <c r="K45" s="33">
        <f t="shared" si="7"/>
        <v>0</v>
      </c>
      <c r="L45" s="33">
        <f t="shared" si="7"/>
        <v>0</v>
      </c>
      <c r="M45" s="33">
        <f t="shared" si="7"/>
        <v>0</v>
      </c>
      <c r="N45" s="33">
        <f t="shared" si="7"/>
        <v>1</v>
      </c>
      <c r="O45" s="33">
        <f t="shared" si="7"/>
        <v>0</v>
      </c>
      <c r="P45" s="33">
        <f t="shared" si="7"/>
        <v>0</v>
      </c>
      <c r="Q45" s="33">
        <f t="shared" si="7"/>
        <v>0</v>
      </c>
      <c r="R45" s="33">
        <f t="shared" si="7"/>
        <v>0</v>
      </c>
      <c r="S45" s="33">
        <f t="shared" si="7"/>
        <v>1</v>
      </c>
      <c r="T45" s="33">
        <f t="shared" si="7"/>
        <v>0</v>
      </c>
      <c r="U45" s="33">
        <f t="shared" si="7"/>
        <v>0</v>
      </c>
      <c r="V45" s="33">
        <f t="shared" si="8"/>
        <v>0</v>
      </c>
      <c r="W45" s="33">
        <f t="shared" si="8"/>
        <v>0</v>
      </c>
      <c r="X45" s="32">
        <f t="shared" si="10"/>
        <v>5</v>
      </c>
      <c r="Y45" s="47">
        <f t="shared" si="11"/>
        <v>7.5187969924812026E-3</v>
      </c>
      <c r="Z45" s="48">
        <f>0/10068</f>
        <v>0</v>
      </c>
    </row>
    <row r="46" spans="1:26" ht="17.2" customHeight="1" x14ac:dyDescent="0.5">
      <c r="A46" s="32" t="str">
        <f t="shared" si="9"/>
        <v>SPOONY</v>
      </c>
      <c r="C46" s="33">
        <f t="shared" si="7"/>
        <v>12</v>
      </c>
      <c r="D46" s="33">
        <f t="shared" si="7"/>
        <v>12</v>
      </c>
      <c r="E46" s="33">
        <f t="shared" si="7"/>
        <v>0</v>
      </c>
      <c r="F46" s="33">
        <f t="shared" si="7"/>
        <v>13</v>
      </c>
      <c r="G46" s="33">
        <f t="shared" si="7"/>
        <v>18</v>
      </c>
      <c r="H46" s="33">
        <f t="shared" si="7"/>
        <v>9</v>
      </c>
      <c r="I46" s="33">
        <f t="shared" si="7"/>
        <v>24</v>
      </c>
      <c r="J46" s="33">
        <f t="shared" si="7"/>
        <v>0</v>
      </c>
      <c r="K46" s="33">
        <f t="shared" si="7"/>
        <v>0</v>
      </c>
      <c r="L46" s="33">
        <f t="shared" si="7"/>
        <v>16</v>
      </c>
      <c r="M46" s="33">
        <f t="shared" si="7"/>
        <v>0</v>
      </c>
      <c r="N46" s="33">
        <f t="shared" si="7"/>
        <v>2</v>
      </c>
      <c r="O46" s="33">
        <f t="shared" si="7"/>
        <v>0</v>
      </c>
      <c r="P46" s="33">
        <f t="shared" si="7"/>
        <v>2</v>
      </c>
      <c r="Q46" s="33">
        <f t="shared" si="7"/>
        <v>0</v>
      </c>
      <c r="R46" s="33">
        <f t="shared" si="7"/>
        <v>0</v>
      </c>
      <c r="S46" s="33">
        <f t="shared" si="7"/>
        <v>16</v>
      </c>
      <c r="T46" s="33">
        <f t="shared" si="7"/>
        <v>0</v>
      </c>
      <c r="U46" s="33">
        <f t="shared" si="7"/>
        <v>0</v>
      </c>
      <c r="V46" s="33">
        <f t="shared" si="8"/>
        <v>1</v>
      </c>
      <c r="W46" s="33">
        <f t="shared" si="8"/>
        <v>5</v>
      </c>
      <c r="X46" s="32">
        <f t="shared" si="10"/>
        <v>130</v>
      </c>
      <c r="Y46" s="47">
        <f t="shared" si="11"/>
        <v>0.19548872180451127</v>
      </c>
      <c r="Z46" s="48">
        <f>2383/10068</f>
        <v>0.23669050456893126</v>
      </c>
    </row>
    <row r="47" spans="1:26" ht="17.2" customHeight="1" x14ac:dyDescent="0.5">
      <c r="A47" s="32" t="str">
        <f t="shared" si="9"/>
        <v>TEAL</v>
      </c>
      <c r="C47" s="33">
        <f t="shared" si="7"/>
        <v>22</v>
      </c>
      <c r="D47" s="33">
        <f t="shared" si="7"/>
        <v>32</v>
      </c>
      <c r="E47" s="33">
        <f t="shared" si="7"/>
        <v>0</v>
      </c>
      <c r="F47" s="33">
        <f t="shared" si="7"/>
        <v>52</v>
      </c>
      <c r="G47" s="33">
        <f t="shared" si="7"/>
        <v>50</v>
      </c>
      <c r="H47" s="33">
        <f t="shared" si="7"/>
        <v>26</v>
      </c>
      <c r="I47" s="33">
        <f t="shared" si="7"/>
        <v>52</v>
      </c>
      <c r="J47" s="33">
        <f t="shared" si="7"/>
        <v>6</v>
      </c>
      <c r="K47" s="33">
        <f t="shared" si="7"/>
        <v>10</v>
      </c>
      <c r="L47" s="33">
        <f t="shared" si="7"/>
        <v>45</v>
      </c>
      <c r="M47" s="33">
        <f t="shared" si="7"/>
        <v>0</v>
      </c>
      <c r="N47" s="33">
        <f t="shared" si="7"/>
        <v>13</v>
      </c>
      <c r="O47" s="33">
        <f t="shared" si="7"/>
        <v>0</v>
      </c>
      <c r="P47" s="33">
        <f t="shared" si="7"/>
        <v>6</v>
      </c>
      <c r="Q47" s="33">
        <f t="shared" si="7"/>
        <v>0</v>
      </c>
      <c r="R47" s="33">
        <f t="shared" si="7"/>
        <v>0</v>
      </c>
      <c r="S47" s="33">
        <f t="shared" si="7"/>
        <v>15</v>
      </c>
      <c r="T47" s="33">
        <f t="shared" si="7"/>
        <v>0</v>
      </c>
      <c r="U47" s="33">
        <f t="shared" si="7"/>
        <v>0</v>
      </c>
      <c r="V47" s="33">
        <f t="shared" si="8"/>
        <v>2</v>
      </c>
      <c r="W47" s="33">
        <f t="shared" si="8"/>
        <v>0</v>
      </c>
      <c r="X47" s="32">
        <f t="shared" si="10"/>
        <v>331</v>
      </c>
      <c r="Y47" s="47">
        <f t="shared" si="11"/>
        <v>0.49774436090225566</v>
      </c>
      <c r="Z47" s="48">
        <f>3008/10068</f>
        <v>0.2987683750496623</v>
      </c>
    </row>
    <row r="48" spans="1:26" ht="17.2" customHeight="1" x14ac:dyDescent="0.5">
      <c r="A48" s="32" t="str">
        <f t="shared" si="9"/>
        <v>WIDGEON</v>
      </c>
      <c r="C48" s="33">
        <f t="shared" si="7"/>
        <v>8</v>
      </c>
      <c r="D48" s="33">
        <f t="shared" si="7"/>
        <v>4</v>
      </c>
      <c r="E48" s="33">
        <f t="shared" si="7"/>
        <v>0</v>
      </c>
      <c r="F48" s="33">
        <f t="shared" si="7"/>
        <v>4</v>
      </c>
      <c r="G48" s="33">
        <f t="shared" si="7"/>
        <v>13</v>
      </c>
      <c r="H48" s="33">
        <f t="shared" si="7"/>
        <v>7</v>
      </c>
      <c r="I48" s="33">
        <f t="shared" si="7"/>
        <v>12</v>
      </c>
      <c r="J48" s="33">
        <f t="shared" si="7"/>
        <v>1</v>
      </c>
      <c r="K48" s="33">
        <f t="shared" si="7"/>
        <v>2</v>
      </c>
      <c r="L48" s="33">
        <f t="shared" si="7"/>
        <v>2</v>
      </c>
      <c r="M48" s="33">
        <f t="shared" si="7"/>
        <v>0</v>
      </c>
      <c r="N48" s="33">
        <f t="shared" si="7"/>
        <v>0</v>
      </c>
      <c r="O48" s="33">
        <f t="shared" si="7"/>
        <v>0</v>
      </c>
      <c r="P48" s="33">
        <f t="shared" si="7"/>
        <v>0</v>
      </c>
      <c r="Q48" s="33">
        <f t="shared" si="7"/>
        <v>0</v>
      </c>
      <c r="R48" s="33">
        <f t="shared" si="7"/>
        <v>0</v>
      </c>
      <c r="S48" s="33">
        <f t="shared" si="7"/>
        <v>0</v>
      </c>
      <c r="T48" s="33">
        <f t="shared" si="7"/>
        <v>0</v>
      </c>
      <c r="U48" s="33">
        <f t="shared" si="7"/>
        <v>0</v>
      </c>
      <c r="V48" s="33">
        <f t="shared" si="8"/>
        <v>4</v>
      </c>
      <c r="W48" s="33">
        <f t="shared" si="8"/>
        <v>0</v>
      </c>
      <c r="X48" s="32">
        <f t="shared" si="10"/>
        <v>57</v>
      </c>
      <c r="Y48" s="47">
        <f t="shared" si="11"/>
        <v>8.5714285714285715E-2</v>
      </c>
      <c r="Z48" s="48">
        <f>475/10068</f>
        <v>4.7179181565355582E-2</v>
      </c>
    </row>
    <row r="49" spans="1:26" ht="17.2" customHeight="1" x14ac:dyDescent="0.5">
      <c r="A49" s="32" t="str">
        <f t="shared" si="9"/>
        <v>MISC</v>
      </c>
      <c r="C49" s="33">
        <f t="shared" si="7"/>
        <v>0</v>
      </c>
      <c r="D49" s="33">
        <f t="shared" si="7"/>
        <v>3</v>
      </c>
      <c r="E49" s="33">
        <f t="shared" si="7"/>
        <v>0</v>
      </c>
      <c r="F49" s="33">
        <f t="shared" si="7"/>
        <v>4</v>
      </c>
      <c r="G49" s="33">
        <f t="shared" si="7"/>
        <v>3</v>
      </c>
      <c r="H49" s="33">
        <f t="shared" si="7"/>
        <v>0</v>
      </c>
      <c r="I49" s="33">
        <f t="shared" si="7"/>
        <v>5</v>
      </c>
      <c r="J49" s="33">
        <f t="shared" si="7"/>
        <v>0</v>
      </c>
      <c r="K49" s="33">
        <f t="shared" si="7"/>
        <v>0</v>
      </c>
      <c r="L49" s="33">
        <f t="shared" si="7"/>
        <v>8</v>
      </c>
      <c r="M49" s="33">
        <f t="shared" si="7"/>
        <v>0</v>
      </c>
      <c r="N49" s="33">
        <f t="shared" si="7"/>
        <v>1</v>
      </c>
      <c r="O49" s="33">
        <f t="shared" si="7"/>
        <v>0</v>
      </c>
      <c r="P49" s="33">
        <f t="shared" si="7"/>
        <v>0</v>
      </c>
      <c r="Q49" s="33">
        <f t="shared" si="7"/>
        <v>0</v>
      </c>
      <c r="R49" s="33">
        <f t="shared" si="7"/>
        <v>0</v>
      </c>
      <c r="S49" s="33">
        <f t="shared" si="7"/>
        <v>1</v>
      </c>
      <c r="T49" s="33">
        <f t="shared" si="7"/>
        <v>0</v>
      </c>
      <c r="U49" s="33">
        <f t="shared" si="7"/>
        <v>0</v>
      </c>
      <c r="V49" s="33">
        <f t="shared" si="8"/>
        <v>0</v>
      </c>
      <c r="W49" s="33">
        <f t="shared" si="8"/>
        <v>0</v>
      </c>
      <c r="X49" s="32">
        <f t="shared" si="10"/>
        <v>25</v>
      </c>
      <c r="Y49" s="47">
        <f t="shared" si="11"/>
        <v>3.7593984962406013E-2</v>
      </c>
      <c r="Z49" s="48">
        <f>314/10068</f>
        <v>3.118792212951927E-2</v>
      </c>
    </row>
    <row r="50" spans="1:26" ht="17.2" customHeight="1" thickBot="1" x14ac:dyDescent="0.55000000000000004">
      <c r="A50" s="32" t="s">
        <v>58</v>
      </c>
      <c r="C50" s="38">
        <f t="shared" si="7"/>
        <v>0</v>
      </c>
      <c r="D50" s="38">
        <f t="shared" si="7"/>
        <v>0</v>
      </c>
      <c r="E50" s="38">
        <f t="shared" si="7"/>
        <v>0</v>
      </c>
      <c r="F50" s="38">
        <f t="shared" si="7"/>
        <v>0</v>
      </c>
      <c r="G50" s="38">
        <f t="shared" si="7"/>
        <v>0</v>
      </c>
      <c r="H50" s="38">
        <f t="shared" si="7"/>
        <v>0</v>
      </c>
      <c r="I50" s="38">
        <f t="shared" si="7"/>
        <v>0</v>
      </c>
      <c r="J50" s="38">
        <f t="shared" si="7"/>
        <v>0</v>
      </c>
      <c r="K50" s="38">
        <f t="shared" ref="K50:U50" si="12">K16+K33</f>
        <v>0</v>
      </c>
      <c r="L50" s="38">
        <f t="shared" si="12"/>
        <v>0</v>
      </c>
      <c r="M50" s="38">
        <f t="shared" si="12"/>
        <v>0</v>
      </c>
      <c r="N50" s="38">
        <f t="shared" si="12"/>
        <v>0</v>
      </c>
      <c r="O50" s="38">
        <f t="shared" si="12"/>
        <v>0</v>
      </c>
      <c r="P50" s="38">
        <f t="shared" si="12"/>
        <v>0</v>
      </c>
      <c r="Q50" s="38">
        <f t="shared" si="12"/>
        <v>0</v>
      </c>
      <c r="R50" s="38">
        <f t="shared" si="12"/>
        <v>0</v>
      </c>
      <c r="S50" s="38">
        <f t="shared" si="12"/>
        <v>0</v>
      </c>
      <c r="T50" s="38">
        <f t="shared" si="12"/>
        <v>0</v>
      </c>
      <c r="U50" s="38">
        <f t="shared" si="12"/>
        <v>0</v>
      </c>
      <c r="V50" s="38">
        <f>V16+V33</f>
        <v>0</v>
      </c>
      <c r="W50" s="38">
        <f>W16+W33</f>
        <v>0</v>
      </c>
      <c r="X50" s="49">
        <f t="shared" si="10"/>
        <v>0</v>
      </c>
      <c r="Y50" s="50">
        <f t="shared" si="11"/>
        <v>0</v>
      </c>
      <c r="Z50" s="51">
        <f>27/10068</f>
        <v>2.6817640047675805E-3</v>
      </c>
    </row>
    <row r="51" spans="1:26" ht="17.2" customHeight="1" x14ac:dyDescent="0.5">
      <c r="A51" s="32" t="s">
        <v>25</v>
      </c>
      <c r="C51" s="33">
        <f>0+SUM(C37:C50)</f>
        <v>50</v>
      </c>
      <c r="D51" s="33">
        <f t="shared" ref="D51:U51" si="13">0+SUM(D37:D50)</f>
        <v>61</v>
      </c>
      <c r="E51" s="33">
        <f t="shared" si="13"/>
        <v>1</v>
      </c>
      <c r="F51" s="33">
        <f t="shared" si="13"/>
        <v>95</v>
      </c>
      <c r="G51" s="33">
        <f t="shared" si="13"/>
        <v>102</v>
      </c>
      <c r="H51" s="33">
        <f t="shared" si="13"/>
        <v>58</v>
      </c>
      <c r="I51" s="33">
        <f t="shared" si="13"/>
        <v>115</v>
      </c>
      <c r="J51" s="33">
        <f t="shared" si="13"/>
        <v>7</v>
      </c>
      <c r="K51" s="33">
        <f t="shared" si="13"/>
        <v>12</v>
      </c>
      <c r="L51" s="33">
        <f t="shared" si="13"/>
        <v>81</v>
      </c>
      <c r="M51" s="33">
        <f t="shared" si="13"/>
        <v>0</v>
      </c>
      <c r="N51" s="33">
        <f t="shared" si="13"/>
        <v>18</v>
      </c>
      <c r="O51" s="33">
        <f t="shared" si="13"/>
        <v>0</v>
      </c>
      <c r="P51" s="33">
        <f t="shared" si="13"/>
        <v>8</v>
      </c>
      <c r="Q51" s="33">
        <f t="shared" si="13"/>
        <v>0</v>
      </c>
      <c r="R51" s="33">
        <f t="shared" si="13"/>
        <v>0</v>
      </c>
      <c r="S51" s="33">
        <f t="shared" si="13"/>
        <v>41</v>
      </c>
      <c r="T51" s="33">
        <f t="shared" si="13"/>
        <v>0</v>
      </c>
      <c r="U51" s="33">
        <f t="shared" si="13"/>
        <v>0</v>
      </c>
      <c r="V51" s="33">
        <f>0+SUM(V37:V50)</f>
        <v>9</v>
      </c>
      <c r="W51" s="33">
        <f>0+SUM(W37:W50)</f>
        <v>7</v>
      </c>
      <c r="X51" s="32">
        <f>SUM(X37:X50)</f>
        <v>665</v>
      </c>
      <c r="Z51" s="52"/>
    </row>
    <row r="52" spans="1:26" ht="17.2" customHeight="1" x14ac:dyDescent="0.5">
      <c r="A52" s="32" t="s">
        <v>48</v>
      </c>
      <c r="C52" s="53">
        <f t="shared" ref="C52:U52" si="14">C51/$X$51</f>
        <v>7.5187969924812026E-2</v>
      </c>
      <c r="D52" s="53">
        <f t="shared" si="14"/>
        <v>9.1729323308270674E-2</v>
      </c>
      <c r="E52" s="53">
        <f t="shared" si="14"/>
        <v>1.5037593984962407E-3</v>
      </c>
      <c r="F52" s="53">
        <f t="shared" si="14"/>
        <v>0.14285714285714285</v>
      </c>
      <c r="G52" s="53">
        <f t="shared" si="14"/>
        <v>0.15338345864661654</v>
      </c>
      <c r="H52" s="53">
        <f t="shared" si="14"/>
        <v>8.7218045112781958E-2</v>
      </c>
      <c r="I52" s="53">
        <f t="shared" si="14"/>
        <v>0.17293233082706766</v>
      </c>
      <c r="J52" s="53">
        <f t="shared" si="14"/>
        <v>1.0526315789473684E-2</v>
      </c>
      <c r="K52" s="53">
        <f t="shared" si="14"/>
        <v>1.8045112781954888E-2</v>
      </c>
      <c r="L52" s="53">
        <f t="shared" si="14"/>
        <v>0.12180451127819548</v>
      </c>
      <c r="M52" s="53">
        <f t="shared" si="14"/>
        <v>0</v>
      </c>
      <c r="N52" s="53">
        <f t="shared" si="14"/>
        <v>2.7067669172932331E-2</v>
      </c>
      <c r="O52" s="53">
        <f t="shared" si="14"/>
        <v>0</v>
      </c>
      <c r="P52" s="53">
        <f t="shared" si="14"/>
        <v>1.2030075187969926E-2</v>
      </c>
      <c r="Q52" s="53">
        <f t="shared" si="14"/>
        <v>0</v>
      </c>
      <c r="R52" s="53">
        <f t="shared" si="14"/>
        <v>0</v>
      </c>
      <c r="S52" s="53">
        <f t="shared" si="14"/>
        <v>6.1654135338345864E-2</v>
      </c>
      <c r="T52" s="53">
        <f t="shared" si="14"/>
        <v>0</v>
      </c>
      <c r="U52" s="53">
        <f t="shared" si="14"/>
        <v>0</v>
      </c>
      <c r="V52" s="53">
        <f>V51/$X$51</f>
        <v>1.3533834586466165E-2</v>
      </c>
      <c r="W52" s="53">
        <f>W51/$X$51</f>
        <v>1.0526315789473684E-2</v>
      </c>
    </row>
    <row r="53" spans="1:26" ht="17.2" customHeight="1" x14ac:dyDescent="0.5">
      <c r="A53" s="31" t="s">
        <v>47</v>
      </c>
    </row>
    <row r="54" spans="1:26" ht="17.2" customHeight="1" x14ac:dyDescent="0.5">
      <c r="A54" s="32" t="s">
        <v>40</v>
      </c>
      <c r="D54" s="59">
        <v>112.5</v>
      </c>
    </row>
    <row r="55" spans="1:26" ht="17.2" customHeight="1" x14ac:dyDescent="0.5">
      <c r="A55" s="32" t="s">
        <v>41</v>
      </c>
      <c r="D55" s="54">
        <f>X17/D54</f>
        <v>1.84</v>
      </c>
    </row>
    <row r="56" spans="1:26" ht="17.2" customHeight="1" x14ac:dyDescent="0.5">
      <c r="A56" s="32" t="s">
        <v>42</v>
      </c>
      <c r="D56" s="59">
        <v>189.62649999999999</v>
      </c>
    </row>
    <row r="57" spans="1:26" ht="17.2" customHeight="1" x14ac:dyDescent="0.5">
      <c r="A57" s="32" t="s">
        <v>43</v>
      </c>
      <c r="D57" s="54">
        <f>X34/D56</f>
        <v>2.4152742364595667</v>
      </c>
      <c r="F57" s="55" t="s">
        <v>62</v>
      </c>
    </row>
    <row r="58" spans="1:26" ht="17.2" customHeight="1" x14ac:dyDescent="0.5">
      <c r="A58" s="32" t="s">
        <v>44</v>
      </c>
      <c r="D58" s="59">
        <f>D54+D56</f>
        <v>302.12649999999996</v>
      </c>
      <c r="F58" s="54">
        <f>10068/3358</f>
        <v>2.9982132221560454</v>
      </c>
      <c r="J58" s="55" t="s">
        <v>86</v>
      </c>
      <c r="L58" s="33">
        <v>26</v>
      </c>
    </row>
    <row r="59" spans="1:26" ht="17.2" customHeight="1" x14ac:dyDescent="0.5">
      <c r="A59" s="32" t="s">
        <v>45</v>
      </c>
      <c r="D59" s="54">
        <f>X51/D58</f>
        <v>2.2010647857768189</v>
      </c>
      <c r="F59" s="54">
        <f>10068/2400</f>
        <v>4.1950000000000003</v>
      </c>
      <c r="G59" s="57" t="s">
        <v>77</v>
      </c>
      <c r="J59" s="55" t="s">
        <v>82</v>
      </c>
      <c r="L59" s="54">
        <f>SUM(N51:W51)/L58</f>
        <v>3.1923076923076925</v>
      </c>
    </row>
    <row r="60" spans="1:26" ht="17.2" customHeight="1" x14ac:dyDescent="0.5">
      <c r="A60" s="32" t="s">
        <v>46</v>
      </c>
      <c r="D60" s="56">
        <f>X51/250</f>
        <v>2.66</v>
      </c>
      <c r="F60" s="54">
        <f>5200/10068</f>
        <v>0.51648788239968213</v>
      </c>
      <c r="G60" s="57" t="s">
        <v>64</v>
      </c>
    </row>
    <row r="61" spans="1:26" ht="17.2" customHeight="1" x14ac:dyDescent="0.5">
      <c r="A61" s="31" t="s">
        <v>49</v>
      </c>
    </row>
    <row r="62" spans="1:26" ht="17.2" customHeight="1" x14ac:dyDescent="0.5">
      <c r="A62" s="32" t="s">
        <v>81</v>
      </c>
    </row>
    <row r="63" spans="1:26" ht="17.2" customHeight="1" x14ac:dyDescent="0.5">
      <c r="A63" s="32" t="s">
        <v>71</v>
      </c>
    </row>
    <row r="64" spans="1:26" ht="17.2" customHeight="1" x14ac:dyDescent="0.5">
      <c r="A64" s="32" t="s">
        <v>83</v>
      </c>
    </row>
    <row r="65" spans="1:1" ht="17.2" customHeight="1" x14ac:dyDescent="0.5">
      <c r="A65" s="31" t="s">
        <v>56</v>
      </c>
    </row>
    <row r="66" spans="1:1" ht="17.2" customHeight="1" x14ac:dyDescent="0.5">
      <c r="A66" s="32" t="s">
        <v>84</v>
      </c>
    </row>
    <row r="67" spans="1:1" ht="17.2" customHeight="1" x14ac:dyDescent="0.5">
      <c r="A67" s="32" t="s">
        <v>85</v>
      </c>
    </row>
    <row r="68" spans="1:1" ht="17.2" customHeight="1" x14ac:dyDescent="0.5">
      <c r="A68" s="32" t="s">
        <v>88</v>
      </c>
    </row>
    <row r="69" spans="1:1" ht="17.2" customHeight="1" x14ac:dyDescent="0.5">
      <c r="A69" s="32" t="s">
        <v>87</v>
      </c>
    </row>
  </sheetData>
  <phoneticPr fontId="0" type="noConversion"/>
  <printOptions horizontalCentered="1" gridLines="1" gridLinesSet="0"/>
  <pageMargins left="0.25" right="0.25" top="0.65" bottom="0.25" header="0.52" footer="0.5"/>
  <pageSetup scale="47" orientation="landscape" r:id="rId1"/>
  <headerFooter alignWithMargins="0">
    <oddHeader>&amp;C&amp;"Arial,Bold"&amp;14&amp;A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72"/>
  <sheetViews>
    <sheetView topLeftCell="A42" zoomScale="70" zoomScaleNormal="70" workbookViewId="0">
      <selection activeCell="M65" sqref="M65"/>
    </sheetView>
  </sheetViews>
  <sheetFormatPr defaultColWidth="7.703125" defaultRowHeight="16.350000000000001" x14ac:dyDescent="0.5"/>
  <cols>
    <col min="1" max="1" width="20.1171875" style="32" customWidth="1"/>
    <col min="2" max="2" width="4.41015625" style="32" customWidth="1"/>
    <col min="3" max="4" width="8.703125" style="33" customWidth="1"/>
    <col min="5" max="5" width="10.3515625" style="33" customWidth="1"/>
    <col min="6" max="6" width="8.1171875" style="33" customWidth="1"/>
    <col min="7" max="7" width="7.52734375" style="33" customWidth="1"/>
    <col min="8" max="8" width="8.703125" style="33" customWidth="1"/>
    <col min="9" max="9" width="10.41015625" style="33" customWidth="1"/>
    <col min="10" max="23" width="8.703125" style="33" customWidth="1"/>
    <col min="24" max="24" width="8.703125" style="32" customWidth="1"/>
    <col min="25" max="25" width="9.29296875" style="32" customWidth="1"/>
    <col min="26" max="26" width="9.87890625" style="32" customWidth="1"/>
    <col min="27" max="16384" width="7.703125" style="32"/>
  </cols>
  <sheetData>
    <row r="1" spans="1:24" ht="16.7" thickBot="1" x14ac:dyDescent="0.55000000000000004">
      <c r="A1" s="31" t="s">
        <v>89</v>
      </c>
      <c r="D1" s="33" t="s">
        <v>90</v>
      </c>
      <c r="F1" s="33" t="s">
        <v>99</v>
      </c>
    </row>
    <row r="2" spans="1:24" ht="16.7" thickBot="1" x14ac:dyDescent="0.55000000000000004">
      <c r="A2" s="34" t="s">
        <v>39</v>
      </c>
      <c r="B2" s="35"/>
      <c r="C2" s="36">
        <v>1</v>
      </c>
      <c r="D2" s="36">
        <v>2</v>
      </c>
      <c r="E2" s="36">
        <v>3</v>
      </c>
      <c r="F2" s="36">
        <v>4</v>
      </c>
      <c r="G2" s="36">
        <v>5</v>
      </c>
      <c r="H2" s="36">
        <v>6</v>
      </c>
      <c r="I2" s="36">
        <v>7</v>
      </c>
      <c r="J2" s="36">
        <v>8</v>
      </c>
      <c r="K2" s="36">
        <v>9</v>
      </c>
      <c r="L2" s="36">
        <v>10</v>
      </c>
      <c r="M2" s="36">
        <v>11</v>
      </c>
      <c r="N2" s="36">
        <v>12</v>
      </c>
      <c r="O2" s="36">
        <v>13</v>
      </c>
      <c r="P2" s="36">
        <v>14</v>
      </c>
      <c r="Q2" s="36">
        <v>15</v>
      </c>
      <c r="R2" s="36">
        <v>16</v>
      </c>
      <c r="S2" s="36">
        <v>17</v>
      </c>
      <c r="T2" s="36">
        <v>18</v>
      </c>
      <c r="U2" s="36">
        <v>19</v>
      </c>
      <c r="V2" s="36">
        <v>20</v>
      </c>
      <c r="W2" s="36">
        <v>21</v>
      </c>
      <c r="X2" s="37" t="s">
        <v>2</v>
      </c>
    </row>
    <row r="3" spans="1:24" x14ac:dyDescent="0.5">
      <c r="A3" s="32" t="s">
        <v>17</v>
      </c>
      <c r="G3" s="33">
        <v>1</v>
      </c>
      <c r="I3" s="33">
        <v>2</v>
      </c>
      <c r="L3" s="33">
        <v>1</v>
      </c>
      <c r="S3" s="33">
        <v>1</v>
      </c>
      <c r="X3" s="32">
        <f>SUM(C3:W3)</f>
        <v>5</v>
      </c>
    </row>
    <row r="4" spans="1:24" x14ac:dyDescent="0.5">
      <c r="A4" s="32" t="s">
        <v>35</v>
      </c>
      <c r="X4" s="32">
        <f t="shared" ref="X4:X16" si="0">SUM(C4:W4)</f>
        <v>0</v>
      </c>
    </row>
    <row r="5" spans="1:24" x14ac:dyDescent="0.5">
      <c r="A5" s="32" t="s">
        <v>16</v>
      </c>
      <c r="E5" s="33">
        <v>1</v>
      </c>
      <c r="F5" s="33">
        <v>1</v>
      </c>
      <c r="G5" s="33">
        <v>1</v>
      </c>
      <c r="I5" s="33">
        <v>4</v>
      </c>
      <c r="L5" s="33">
        <v>1</v>
      </c>
      <c r="R5" s="33">
        <v>1</v>
      </c>
      <c r="S5" s="33">
        <v>3</v>
      </c>
      <c r="X5" s="32">
        <f t="shared" si="0"/>
        <v>12</v>
      </c>
    </row>
    <row r="6" spans="1:24" x14ac:dyDescent="0.5">
      <c r="A6" s="32" t="s">
        <v>29</v>
      </c>
      <c r="G6" s="33">
        <v>1</v>
      </c>
      <c r="I6" s="33">
        <v>1</v>
      </c>
      <c r="R6" s="33">
        <v>1</v>
      </c>
      <c r="X6" s="32">
        <f t="shared" si="0"/>
        <v>3</v>
      </c>
    </row>
    <row r="7" spans="1:24" x14ac:dyDescent="0.5">
      <c r="A7" s="32" t="s">
        <v>18</v>
      </c>
      <c r="G7" s="33">
        <v>2</v>
      </c>
      <c r="X7" s="32">
        <f t="shared" si="0"/>
        <v>2</v>
      </c>
    </row>
    <row r="8" spans="1:24" x14ac:dyDescent="0.5">
      <c r="A8" s="32" t="s">
        <v>19</v>
      </c>
      <c r="D8" s="33">
        <v>2</v>
      </c>
      <c r="E8" s="33">
        <v>3</v>
      </c>
      <c r="G8" s="33">
        <v>7</v>
      </c>
      <c r="I8" s="33">
        <v>3</v>
      </c>
      <c r="L8" s="33">
        <v>2</v>
      </c>
      <c r="S8" s="33">
        <v>5</v>
      </c>
      <c r="X8" s="32">
        <f t="shared" si="0"/>
        <v>22</v>
      </c>
    </row>
    <row r="9" spans="1:24" x14ac:dyDescent="0.5">
      <c r="A9" s="32" t="s">
        <v>20</v>
      </c>
      <c r="I9" s="33">
        <v>1</v>
      </c>
      <c r="X9" s="32">
        <f t="shared" si="0"/>
        <v>1</v>
      </c>
    </row>
    <row r="10" spans="1:24" x14ac:dyDescent="0.5">
      <c r="A10" s="32" t="s">
        <v>21</v>
      </c>
      <c r="D10" s="33">
        <v>1</v>
      </c>
      <c r="E10" s="33">
        <v>1</v>
      </c>
      <c r="L10" s="33">
        <v>1</v>
      </c>
      <c r="X10" s="32">
        <f t="shared" si="0"/>
        <v>3</v>
      </c>
    </row>
    <row r="11" spans="1:24" x14ac:dyDescent="0.5">
      <c r="A11" s="32" t="s">
        <v>98</v>
      </c>
      <c r="E11" s="33">
        <v>1</v>
      </c>
      <c r="I11" s="33">
        <v>1</v>
      </c>
      <c r="X11" s="32">
        <f t="shared" si="0"/>
        <v>2</v>
      </c>
    </row>
    <row r="12" spans="1:24" x14ac:dyDescent="0.5">
      <c r="A12" s="32" t="s">
        <v>22</v>
      </c>
      <c r="C12" s="33">
        <v>15</v>
      </c>
      <c r="D12" s="33">
        <v>9</v>
      </c>
      <c r="E12" s="33">
        <v>5</v>
      </c>
      <c r="F12" s="33">
        <v>6</v>
      </c>
      <c r="G12" s="33">
        <v>3</v>
      </c>
      <c r="H12" s="33">
        <v>1</v>
      </c>
      <c r="I12" s="33">
        <v>13</v>
      </c>
      <c r="L12" s="33">
        <v>11</v>
      </c>
      <c r="N12" s="33">
        <v>2</v>
      </c>
      <c r="R12" s="33">
        <v>6</v>
      </c>
      <c r="S12" s="33">
        <v>6</v>
      </c>
      <c r="W12" s="33">
        <v>1</v>
      </c>
      <c r="X12" s="32">
        <f t="shared" si="0"/>
        <v>78</v>
      </c>
    </row>
    <row r="13" spans="1:24" x14ac:dyDescent="0.5">
      <c r="A13" s="32" t="s">
        <v>23</v>
      </c>
      <c r="C13" s="33">
        <v>7</v>
      </c>
      <c r="D13" s="33">
        <v>2</v>
      </c>
      <c r="F13" s="33">
        <v>6</v>
      </c>
      <c r="G13" s="33">
        <v>4</v>
      </c>
      <c r="I13" s="33">
        <v>22</v>
      </c>
      <c r="L13" s="33">
        <v>4</v>
      </c>
      <c r="N13" s="33">
        <v>1</v>
      </c>
      <c r="R13" s="33">
        <v>1</v>
      </c>
      <c r="S13" s="33">
        <v>3</v>
      </c>
      <c r="W13" s="33">
        <v>2</v>
      </c>
      <c r="X13" s="32">
        <f t="shared" si="0"/>
        <v>52</v>
      </c>
    </row>
    <row r="14" spans="1:24" x14ac:dyDescent="0.5">
      <c r="A14" s="32" t="s">
        <v>24</v>
      </c>
      <c r="C14" s="33">
        <v>1</v>
      </c>
      <c r="H14" s="33">
        <v>2</v>
      </c>
      <c r="S14" s="33">
        <v>1</v>
      </c>
      <c r="X14" s="32">
        <f t="shared" si="0"/>
        <v>4</v>
      </c>
    </row>
    <row r="15" spans="1:24" x14ac:dyDescent="0.5">
      <c r="A15" s="32" t="s">
        <v>36</v>
      </c>
      <c r="X15" s="32">
        <f t="shared" si="0"/>
        <v>0</v>
      </c>
    </row>
    <row r="16" spans="1:24" ht="16.7" thickBot="1" x14ac:dyDescent="0.55000000000000004">
      <c r="A16" s="32" t="s">
        <v>37</v>
      </c>
      <c r="C16" s="38"/>
      <c r="D16" s="38"/>
      <c r="E16" s="38"/>
      <c r="F16" s="38"/>
      <c r="G16" s="38"/>
      <c r="H16" s="38"/>
      <c r="I16" s="38"/>
      <c r="J16" s="38"/>
      <c r="K16" s="38"/>
      <c r="L16" s="38"/>
      <c r="M16" s="38"/>
      <c r="N16" s="38"/>
      <c r="O16" s="38"/>
      <c r="P16" s="38"/>
      <c r="Q16" s="38"/>
      <c r="R16" s="38"/>
      <c r="S16" s="38"/>
      <c r="T16" s="38"/>
      <c r="U16" s="38"/>
      <c r="V16" s="38"/>
      <c r="W16" s="38"/>
      <c r="X16" s="39">
        <f t="shared" si="0"/>
        <v>0</v>
      </c>
    </row>
    <row r="17" spans="1:24" x14ac:dyDescent="0.5">
      <c r="A17" s="32" t="s">
        <v>25</v>
      </c>
      <c r="C17" s="33">
        <f>SUM(C3:C16)</f>
        <v>23</v>
      </c>
      <c r="D17" s="33">
        <f t="shared" ref="D17:X17" si="1">SUM(D3:D16)</f>
        <v>14</v>
      </c>
      <c r="E17" s="33">
        <f t="shared" si="1"/>
        <v>11</v>
      </c>
      <c r="F17" s="33">
        <f t="shared" si="1"/>
        <v>13</v>
      </c>
      <c r="G17" s="33">
        <f t="shared" si="1"/>
        <v>19</v>
      </c>
      <c r="H17" s="33">
        <f t="shared" si="1"/>
        <v>3</v>
      </c>
      <c r="I17" s="33">
        <f t="shared" si="1"/>
        <v>47</v>
      </c>
      <c r="J17" s="33">
        <f t="shared" si="1"/>
        <v>0</v>
      </c>
      <c r="K17" s="33">
        <f t="shared" si="1"/>
        <v>0</v>
      </c>
      <c r="L17" s="33">
        <f t="shared" si="1"/>
        <v>20</v>
      </c>
      <c r="M17" s="33">
        <f t="shared" si="1"/>
        <v>0</v>
      </c>
      <c r="N17" s="33">
        <f t="shared" si="1"/>
        <v>3</v>
      </c>
      <c r="O17" s="33">
        <f t="shared" si="1"/>
        <v>0</v>
      </c>
      <c r="P17" s="33">
        <f t="shared" si="1"/>
        <v>0</v>
      </c>
      <c r="Q17" s="33">
        <f t="shared" si="1"/>
        <v>0</v>
      </c>
      <c r="R17" s="33">
        <f t="shared" si="1"/>
        <v>9</v>
      </c>
      <c r="S17" s="33">
        <f t="shared" si="1"/>
        <v>19</v>
      </c>
      <c r="T17" s="33">
        <f t="shared" si="1"/>
        <v>0</v>
      </c>
      <c r="U17" s="33">
        <f t="shared" si="1"/>
        <v>0</v>
      </c>
      <c r="V17" s="33">
        <f>SUM(V3:V16)</f>
        <v>0</v>
      </c>
      <c r="W17" s="33">
        <f>SUM(W3:W16)</f>
        <v>3</v>
      </c>
      <c r="X17" s="32">
        <f t="shared" si="1"/>
        <v>184</v>
      </c>
    </row>
    <row r="18" spans="1:24" ht="16.7" thickBot="1" x14ac:dyDescent="0.55000000000000004">
      <c r="A18" s="55" t="s">
        <v>95</v>
      </c>
      <c r="D18" s="57" t="s">
        <v>100</v>
      </c>
      <c r="E18" s="40"/>
      <c r="F18" s="55" t="s">
        <v>101</v>
      </c>
    </row>
    <row r="19" spans="1:24" ht="16.7" thickBot="1" x14ac:dyDescent="0.55000000000000004">
      <c r="A19" s="34" t="str">
        <f>A2</f>
        <v>BLIND #</v>
      </c>
      <c r="B19" s="41"/>
      <c r="C19" s="36">
        <f t="shared" ref="C19:N19" si="2">C2</f>
        <v>1</v>
      </c>
      <c r="D19" s="36">
        <f t="shared" si="2"/>
        <v>2</v>
      </c>
      <c r="E19" s="36">
        <f t="shared" si="2"/>
        <v>3</v>
      </c>
      <c r="F19" s="36">
        <f t="shared" si="2"/>
        <v>4</v>
      </c>
      <c r="G19" s="36">
        <f t="shared" si="2"/>
        <v>5</v>
      </c>
      <c r="H19" s="36">
        <f t="shared" si="2"/>
        <v>6</v>
      </c>
      <c r="I19" s="36">
        <f t="shared" si="2"/>
        <v>7</v>
      </c>
      <c r="J19" s="36">
        <f t="shared" si="2"/>
        <v>8</v>
      </c>
      <c r="K19" s="36">
        <f t="shared" si="2"/>
        <v>9</v>
      </c>
      <c r="L19" s="36">
        <f t="shared" si="2"/>
        <v>10</v>
      </c>
      <c r="M19" s="36">
        <f t="shared" si="2"/>
        <v>11</v>
      </c>
      <c r="N19" s="36">
        <f t="shared" si="2"/>
        <v>12</v>
      </c>
      <c r="O19" s="36">
        <v>13</v>
      </c>
      <c r="P19" s="36">
        <v>14</v>
      </c>
      <c r="Q19" s="36">
        <v>15</v>
      </c>
      <c r="R19" s="36">
        <v>16</v>
      </c>
      <c r="S19" s="36">
        <v>17</v>
      </c>
      <c r="T19" s="36">
        <v>18</v>
      </c>
      <c r="U19" s="36">
        <v>19</v>
      </c>
      <c r="V19" s="36">
        <v>20</v>
      </c>
      <c r="W19" s="36">
        <v>21</v>
      </c>
      <c r="X19" s="37" t="s">
        <v>2</v>
      </c>
    </row>
    <row r="20" spans="1:24" x14ac:dyDescent="0.5">
      <c r="A20" s="32" t="str">
        <f>A3</f>
        <v>BLUEBILL</v>
      </c>
      <c r="R20" s="33">
        <v>1</v>
      </c>
      <c r="X20" s="32">
        <f t="shared" ref="X20:X33" si="3">SUM(C20:W20)</f>
        <v>1</v>
      </c>
    </row>
    <row r="21" spans="1:24" x14ac:dyDescent="0.5">
      <c r="A21" s="32" t="str">
        <f t="shared" ref="A21:A33" si="4">A4</f>
        <v>CANVASBACK</v>
      </c>
      <c r="L21" s="33">
        <v>1</v>
      </c>
      <c r="R21" s="33">
        <v>1</v>
      </c>
      <c r="V21" s="33">
        <v>1</v>
      </c>
      <c r="X21" s="32">
        <f t="shared" si="3"/>
        <v>3</v>
      </c>
    </row>
    <row r="22" spans="1:24" x14ac:dyDescent="0.5">
      <c r="A22" s="32" t="str">
        <f t="shared" si="4"/>
        <v>GADWALL</v>
      </c>
      <c r="C22" s="33">
        <v>3</v>
      </c>
      <c r="D22" s="33">
        <v>4</v>
      </c>
      <c r="H22" s="33">
        <v>1</v>
      </c>
      <c r="I22" s="33">
        <v>1</v>
      </c>
      <c r="P22" s="33">
        <v>4</v>
      </c>
      <c r="R22" s="33">
        <v>4</v>
      </c>
      <c r="V22" s="33">
        <v>2</v>
      </c>
      <c r="X22" s="32">
        <f t="shared" si="3"/>
        <v>19</v>
      </c>
    </row>
    <row r="23" spans="1:24" x14ac:dyDescent="0.5">
      <c r="A23" s="32" t="str">
        <f t="shared" si="4"/>
        <v>GEESE</v>
      </c>
      <c r="X23" s="32">
        <f t="shared" si="3"/>
        <v>0</v>
      </c>
    </row>
    <row r="24" spans="1:24" x14ac:dyDescent="0.5">
      <c r="A24" s="32" t="str">
        <f t="shared" si="4"/>
        <v>MALLARD</v>
      </c>
      <c r="C24" s="33">
        <v>5</v>
      </c>
      <c r="I24" s="33">
        <v>1</v>
      </c>
      <c r="P24" s="33">
        <v>3</v>
      </c>
      <c r="R24" s="33">
        <v>1</v>
      </c>
      <c r="X24" s="32">
        <f t="shared" si="3"/>
        <v>10</v>
      </c>
    </row>
    <row r="25" spans="1:24" x14ac:dyDescent="0.5">
      <c r="A25" s="32" t="str">
        <f t="shared" si="4"/>
        <v>PINTAIL</v>
      </c>
      <c r="C25" s="33">
        <v>2</v>
      </c>
      <c r="D25" s="33">
        <v>2</v>
      </c>
      <c r="G25" s="33">
        <v>8</v>
      </c>
      <c r="H25" s="33">
        <v>1</v>
      </c>
      <c r="I25" s="33">
        <v>3</v>
      </c>
      <c r="L25" s="33">
        <v>6</v>
      </c>
      <c r="R25" s="33">
        <v>6</v>
      </c>
      <c r="S25" s="33">
        <v>2</v>
      </c>
      <c r="W25" s="33">
        <v>1</v>
      </c>
      <c r="X25" s="32">
        <f t="shared" si="3"/>
        <v>31</v>
      </c>
    </row>
    <row r="26" spans="1:24" x14ac:dyDescent="0.5">
      <c r="A26" s="32" t="str">
        <f t="shared" si="4"/>
        <v>REDHEAD</v>
      </c>
      <c r="X26" s="32">
        <f t="shared" si="3"/>
        <v>0</v>
      </c>
    </row>
    <row r="27" spans="1:24" x14ac:dyDescent="0.5">
      <c r="A27" s="32" t="str">
        <f t="shared" si="4"/>
        <v>RINGNECK</v>
      </c>
      <c r="C27" s="33">
        <v>1</v>
      </c>
      <c r="G27" s="33">
        <v>1</v>
      </c>
      <c r="X27" s="32">
        <f t="shared" si="3"/>
        <v>2</v>
      </c>
    </row>
    <row r="28" spans="1:24" x14ac:dyDescent="0.5">
      <c r="A28" s="32" t="str">
        <f t="shared" si="4"/>
        <v>B'HEAD</v>
      </c>
      <c r="C28" s="33">
        <v>1</v>
      </c>
      <c r="X28" s="32">
        <f t="shared" si="3"/>
        <v>1</v>
      </c>
    </row>
    <row r="29" spans="1:24" x14ac:dyDescent="0.5">
      <c r="A29" s="32" t="str">
        <f t="shared" si="4"/>
        <v>SPOONY</v>
      </c>
      <c r="C29" s="33">
        <v>10</v>
      </c>
      <c r="F29" s="33">
        <v>1</v>
      </c>
      <c r="G29" s="33">
        <v>1</v>
      </c>
      <c r="I29" s="33">
        <v>10</v>
      </c>
      <c r="L29" s="33">
        <v>1</v>
      </c>
      <c r="P29" s="33">
        <v>1</v>
      </c>
      <c r="R29" s="33">
        <v>7</v>
      </c>
      <c r="S29" s="33">
        <v>1</v>
      </c>
      <c r="V29" s="33">
        <v>9</v>
      </c>
      <c r="W29" s="33">
        <v>6</v>
      </c>
      <c r="X29" s="32">
        <f t="shared" si="3"/>
        <v>47</v>
      </c>
    </row>
    <row r="30" spans="1:24" x14ac:dyDescent="0.5">
      <c r="A30" s="32" t="str">
        <f t="shared" si="4"/>
        <v>TEAL</v>
      </c>
      <c r="C30" s="33">
        <v>23</v>
      </c>
      <c r="D30" s="33">
        <v>31</v>
      </c>
      <c r="G30" s="33">
        <v>14</v>
      </c>
      <c r="H30" s="33">
        <v>3</v>
      </c>
      <c r="I30" s="33">
        <v>28</v>
      </c>
      <c r="J30" s="33">
        <v>2</v>
      </c>
      <c r="L30" s="33">
        <v>28</v>
      </c>
      <c r="N30" s="33">
        <v>1</v>
      </c>
      <c r="O30" s="33">
        <v>4</v>
      </c>
      <c r="P30" s="33">
        <v>6</v>
      </c>
      <c r="R30" s="33">
        <v>29</v>
      </c>
      <c r="S30" s="33">
        <v>1</v>
      </c>
      <c r="V30" s="33">
        <v>5</v>
      </c>
      <c r="W30" s="33">
        <v>1</v>
      </c>
      <c r="X30" s="32">
        <f t="shared" si="3"/>
        <v>176</v>
      </c>
    </row>
    <row r="31" spans="1:24" x14ac:dyDescent="0.5">
      <c r="A31" s="32" t="str">
        <f t="shared" si="4"/>
        <v>WIDGEON</v>
      </c>
      <c r="C31" s="33">
        <v>4</v>
      </c>
      <c r="D31" s="33">
        <v>2</v>
      </c>
      <c r="F31" s="33">
        <v>1</v>
      </c>
      <c r="J31" s="33">
        <v>1</v>
      </c>
      <c r="L31" s="33">
        <v>3</v>
      </c>
      <c r="P31" s="33">
        <v>1</v>
      </c>
      <c r="R31" s="33">
        <v>4</v>
      </c>
      <c r="S31" s="33">
        <v>1</v>
      </c>
      <c r="X31" s="32">
        <f t="shared" si="3"/>
        <v>17</v>
      </c>
    </row>
    <row r="32" spans="1:24" x14ac:dyDescent="0.5">
      <c r="A32" s="32" t="str">
        <f t="shared" si="4"/>
        <v>MISC</v>
      </c>
      <c r="R32" s="33">
        <v>2</v>
      </c>
      <c r="X32" s="32">
        <f t="shared" si="3"/>
        <v>2</v>
      </c>
    </row>
    <row r="33" spans="1:26" ht="16.7" thickBot="1" x14ac:dyDescent="0.55000000000000004">
      <c r="A33" s="32" t="str">
        <f t="shared" si="4"/>
        <v>OTHER</v>
      </c>
      <c r="C33" s="38"/>
      <c r="D33" s="38"/>
      <c r="E33" s="38"/>
      <c r="F33" s="38"/>
      <c r="G33" s="38"/>
      <c r="H33" s="38"/>
      <c r="I33" s="38"/>
      <c r="J33" s="38"/>
      <c r="K33" s="38"/>
      <c r="L33" s="38"/>
      <c r="M33" s="38"/>
      <c r="N33" s="38"/>
      <c r="O33" s="38"/>
      <c r="P33" s="38"/>
      <c r="Q33" s="38"/>
      <c r="R33" s="38"/>
      <c r="S33" s="38"/>
      <c r="T33" s="38"/>
      <c r="U33" s="38"/>
      <c r="V33" s="38"/>
      <c r="W33" s="38"/>
      <c r="X33" s="39">
        <f t="shared" si="3"/>
        <v>0</v>
      </c>
    </row>
    <row r="34" spans="1:26" x14ac:dyDescent="0.5">
      <c r="A34" s="32" t="s">
        <v>25</v>
      </c>
      <c r="C34" s="33">
        <f>0+SUM(C20:C33)</f>
        <v>49</v>
      </c>
      <c r="D34" s="33">
        <f t="shared" ref="D34:U34" si="5">0+SUM(D20:D33)</f>
        <v>39</v>
      </c>
      <c r="E34" s="33">
        <f t="shared" si="5"/>
        <v>0</v>
      </c>
      <c r="F34" s="33">
        <f t="shared" si="5"/>
        <v>2</v>
      </c>
      <c r="G34" s="33">
        <f t="shared" si="5"/>
        <v>24</v>
      </c>
      <c r="H34" s="33">
        <f t="shared" si="5"/>
        <v>5</v>
      </c>
      <c r="I34" s="33">
        <f t="shared" si="5"/>
        <v>43</v>
      </c>
      <c r="J34" s="33">
        <f t="shared" si="5"/>
        <v>3</v>
      </c>
      <c r="K34" s="33">
        <f t="shared" si="5"/>
        <v>0</v>
      </c>
      <c r="L34" s="33">
        <f t="shared" si="5"/>
        <v>39</v>
      </c>
      <c r="M34" s="33">
        <f t="shared" si="5"/>
        <v>0</v>
      </c>
      <c r="N34" s="33">
        <f t="shared" si="5"/>
        <v>1</v>
      </c>
      <c r="O34" s="33">
        <f t="shared" si="5"/>
        <v>4</v>
      </c>
      <c r="P34" s="33">
        <f t="shared" si="5"/>
        <v>15</v>
      </c>
      <c r="Q34" s="33">
        <f t="shared" si="5"/>
        <v>0</v>
      </c>
      <c r="R34" s="33">
        <f t="shared" si="5"/>
        <v>55</v>
      </c>
      <c r="S34" s="33">
        <f t="shared" si="5"/>
        <v>5</v>
      </c>
      <c r="T34" s="33">
        <f t="shared" si="5"/>
        <v>0</v>
      </c>
      <c r="U34" s="33">
        <f t="shared" si="5"/>
        <v>0</v>
      </c>
      <c r="V34" s="33">
        <f>0+SUM(V20:V33)</f>
        <v>17</v>
      </c>
      <c r="W34" s="33">
        <f>0+SUM(W20:W33)</f>
        <v>8</v>
      </c>
      <c r="X34" s="32">
        <f>SUM(X20:X33)</f>
        <v>309</v>
      </c>
    </row>
    <row r="35" spans="1:26" ht="16.7" thickBot="1" x14ac:dyDescent="0.55000000000000004"/>
    <row r="36" spans="1:26" ht="16.7" thickBot="1" x14ac:dyDescent="0.55000000000000004">
      <c r="A36" s="31" t="s">
        <v>38</v>
      </c>
      <c r="B36" s="31"/>
      <c r="C36" s="40"/>
      <c r="D36" s="40"/>
      <c r="E36" s="40"/>
      <c r="F36" s="40"/>
      <c r="G36" s="40"/>
      <c r="H36" s="40"/>
      <c r="I36" s="40"/>
      <c r="J36" s="40"/>
      <c r="K36" s="40"/>
      <c r="L36" s="40"/>
      <c r="M36" s="40"/>
      <c r="N36" s="40"/>
      <c r="O36" s="40"/>
      <c r="P36" s="40"/>
      <c r="Q36" s="40"/>
      <c r="R36" s="40"/>
      <c r="S36" s="40"/>
      <c r="T36" s="40"/>
      <c r="U36" s="40"/>
      <c r="V36" s="58"/>
      <c r="W36" s="58"/>
      <c r="X36" s="42"/>
      <c r="Y36" s="43" t="s">
        <v>60</v>
      </c>
      <c r="Z36" s="44" t="s">
        <v>57</v>
      </c>
    </row>
    <row r="37" spans="1:26" ht="16.7" thickBot="1" x14ac:dyDescent="0.55000000000000004">
      <c r="A37" s="34" t="str">
        <f>A19</f>
        <v>BLIND #</v>
      </c>
      <c r="B37" s="41"/>
      <c r="C37" s="36">
        <f t="shared" ref="C37:U37" si="6">C19</f>
        <v>1</v>
      </c>
      <c r="D37" s="36">
        <f t="shared" si="6"/>
        <v>2</v>
      </c>
      <c r="E37" s="36">
        <f t="shared" si="6"/>
        <v>3</v>
      </c>
      <c r="F37" s="36">
        <f t="shared" si="6"/>
        <v>4</v>
      </c>
      <c r="G37" s="36">
        <f t="shared" si="6"/>
        <v>5</v>
      </c>
      <c r="H37" s="36">
        <f t="shared" si="6"/>
        <v>6</v>
      </c>
      <c r="I37" s="36">
        <f t="shared" si="6"/>
        <v>7</v>
      </c>
      <c r="J37" s="36">
        <f t="shared" si="6"/>
        <v>8</v>
      </c>
      <c r="K37" s="36">
        <f t="shared" si="6"/>
        <v>9</v>
      </c>
      <c r="L37" s="36">
        <f t="shared" si="6"/>
        <v>10</v>
      </c>
      <c r="M37" s="36">
        <f t="shared" si="6"/>
        <v>11</v>
      </c>
      <c r="N37" s="36">
        <f t="shared" si="6"/>
        <v>12</v>
      </c>
      <c r="O37" s="36">
        <f t="shared" si="6"/>
        <v>13</v>
      </c>
      <c r="P37" s="36">
        <f t="shared" si="6"/>
        <v>14</v>
      </c>
      <c r="Q37" s="36">
        <f t="shared" si="6"/>
        <v>15</v>
      </c>
      <c r="R37" s="36">
        <f t="shared" si="6"/>
        <v>16</v>
      </c>
      <c r="S37" s="36">
        <f t="shared" si="6"/>
        <v>17</v>
      </c>
      <c r="T37" s="36">
        <f t="shared" si="6"/>
        <v>18</v>
      </c>
      <c r="U37" s="36">
        <f t="shared" si="6"/>
        <v>19</v>
      </c>
      <c r="V37" s="58">
        <v>20</v>
      </c>
      <c r="W37" s="58">
        <v>21</v>
      </c>
      <c r="X37" s="42" t="s">
        <v>2</v>
      </c>
      <c r="Y37" s="45" t="s">
        <v>61</v>
      </c>
      <c r="Z37" s="46" t="s">
        <v>59</v>
      </c>
    </row>
    <row r="38" spans="1:26" x14ac:dyDescent="0.5">
      <c r="A38" s="32" t="str">
        <f>A20</f>
        <v>BLUEBILL</v>
      </c>
      <c r="C38" s="33">
        <f t="shared" ref="C38:W50" si="7">C3+C20</f>
        <v>0</v>
      </c>
      <c r="D38" s="33">
        <f t="shared" si="7"/>
        <v>0</v>
      </c>
      <c r="E38" s="33">
        <f t="shared" si="7"/>
        <v>0</v>
      </c>
      <c r="F38" s="33">
        <f t="shared" si="7"/>
        <v>0</v>
      </c>
      <c r="G38" s="33">
        <f t="shared" si="7"/>
        <v>1</v>
      </c>
      <c r="H38" s="33">
        <f t="shared" si="7"/>
        <v>0</v>
      </c>
      <c r="I38" s="33">
        <f t="shared" si="7"/>
        <v>2</v>
      </c>
      <c r="J38" s="33">
        <f t="shared" si="7"/>
        <v>0</v>
      </c>
      <c r="K38" s="33">
        <f t="shared" si="7"/>
        <v>0</v>
      </c>
      <c r="L38" s="33">
        <f t="shared" si="7"/>
        <v>1</v>
      </c>
      <c r="M38" s="33">
        <f t="shared" si="7"/>
        <v>0</v>
      </c>
      <c r="N38" s="33">
        <f t="shared" si="7"/>
        <v>0</v>
      </c>
      <c r="O38" s="33">
        <f t="shared" si="7"/>
        <v>0</v>
      </c>
      <c r="P38" s="33">
        <f t="shared" si="7"/>
        <v>0</v>
      </c>
      <c r="Q38" s="33">
        <f t="shared" si="7"/>
        <v>0</v>
      </c>
      <c r="R38" s="33">
        <f t="shared" si="7"/>
        <v>1</v>
      </c>
      <c r="S38" s="33">
        <f t="shared" si="7"/>
        <v>1</v>
      </c>
      <c r="T38" s="33">
        <f t="shared" si="7"/>
        <v>0</v>
      </c>
      <c r="U38" s="33">
        <f t="shared" si="7"/>
        <v>0</v>
      </c>
      <c r="V38" s="33">
        <f t="shared" si="7"/>
        <v>0</v>
      </c>
      <c r="W38" s="33">
        <f t="shared" si="7"/>
        <v>0</v>
      </c>
      <c r="X38" s="32">
        <f>SUM(C38:W38)</f>
        <v>6</v>
      </c>
      <c r="Y38" s="47">
        <f>X38/$X$52</f>
        <v>1.2170385395537525E-2</v>
      </c>
      <c r="Z38" s="48">
        <f>0/10068</f>
        <v>0</v>
      </c>
    </row>
    <row r="39" spans="1:26" x14ac:dyDescent="0.5">
      <c r="A39" s="32" t="str">
        <f t="shared" ref="A39:A50" si="8">A21</f>
        <v>CANVASBACK</v>
      </c>
      <c r="C39" s="33">
        <f t="shared" si="7"/>
        <v>0</v>
      </c>
      <c r="D39" s="33">
        <f t="shared" si="7"/>
        <v>0</v>
      </c>
      <c r="E39" s="33">
        <f t="shared" si="7"/>
        <v>0</v>
      </c>
      <c r="F39" s="33">
        <f t="shared" si="7"/>
        <v>0</v>
      </c>
      <c r="G39" s="33">
        <f t="shared" si="7"/>
        <v>0</v>
      </c>
      <c r="H39" s="33">
        <f t="shared" si="7"/>
        <v>0</v>
      </c>
      <c r="I39" s="33">
        <f t="shared" si="7"/>
        <v>0</v>
      </c>
      <c r="J39" s="33">
        <f t="shared" si="7"/>
        <v>0</v>
      </c>
      <c r="K39" s="33">
        <f t="shared" si="7"/>
        <v>0</v>
      </c>
      <c r="L39" s="33">
        <f t="shared" si="7"/>
        <v>1</v>
      </c>
      <c r="M39" s="33">
        <f t="shared" si="7"/>
        <v>0</v>
      </c>
      <c r="N39" s="33">
        <f t="shared" si="7"/>
        <v>0</v>
      </c>
      <c r="O39" s="33">
        <f t="shared" si="7"/>
        <v>0</v>
      </c>
      <c r="P39" s="33">
        <f t="shared" si="7"/>
        <v>0</v>
      </c>
      <c r="Q39" s="33">
        <f t="shared" si="7"/>
        <v>0</v>
      </c>
      <c r="R39" s="33">
        <f t="shared" si="7"/>
        <v>1</v>
      </c>
      <c r="S39" s="33">
        <f t="shared" si="7"/>
        <v>0</v>
      </c>
      <c r="T39" s="33">
        <f t="shared" si="7"/>
        <v>0</v>
      </c>
      <c r="U39" s="33">
        <f t="shared" si="7"/>
        <v>0</v>
      </c>
      <c r="V39" s="33">
        <f t="shared" si="7"/>
        <v>1</v>
      </c>
      <c r="W39" s="33">
        <f t="shared" si="7"/>
        <v>0</v>
      </c>
      <c r="X39" s="32">
        <f t="shared" ref="X39:X51" si="9">SUM(C39:W39)</f>
        <v>3</v>
      </c>
      <c r="Y39" s="47">
        <f t="shared" ref="Y39:Y51" si="10">X39/$X$52</f>
        <v>6.0851926977687626E-3</v>
      </c>
      <c r="Z39" s="48">
        <v>0</v>
      </c>
    </row>
    <row r="40" spans="1:26" x14ac:dyDescent="0.5">
      <c r="A40" s="32" t="str">
        <f t="shared" si="8"/>
        <v>GADWALL</v>
      </c>
      <c r="C40" s="33">
        <f t="shared" si="7"/>
        <v>3</v>
      </c>
      <c r="D40" s="33">
        <f t="shared" si="7"/>
        <v>4</v>
      </c>
      <c r="E40" s="33">
        <f t="shared" si="7"/>
        <v>1</v>
      </c>
      <c r="F40" s="33">
        <f t="shared" si="7"/>
        <v>1</v>
      </c>
      <c r="G40" s="33">
        <f t="shared" si="7"/>
        <v>1</v>
      </c>
      <c r="H40" s="33">
        <f t="shared" si="7"/>
        <v>1</v>
      </c>
      <c r="I40" s="33">
        <f t="shared" si="7"/>
        <v>5</v>
      </c>
      <c r="J40" s="33">
        <f t="shared" si="7"/>
        <v>0</v>
      </c>
      <c r="K40" s="33">
        <f t="shared" si="7"/>
        <v>0</v>
      </c>
      <c r="L40" s="33">
        <f t="shared" si="7"/>
        <v>1</v>
      </c>
      <c r="M40" s="33">
        <f t="shared" si="7"/>
        <v>0</v>
      </c>
      <c r="N40" s="33">
        <f t="shared" si="7"/>
        <v>0</v>
      </c>
      <c r="O40" s="33">
        <f t="shared" si="7"/>
        <v>0</v>
      </c>
      <c r="P40" s="33">
        <f t="shared" si="7"/>
        <v>4</v>
      </c>
      <c r="Q40" s="33">
        <f t="shared" si="7"/>
        <v>0</v>
      </c>
      <c r="R40" s="33">
        <f t="shared" si="7"/>
        <v>5</v>
      </c>
      <c r="S40" s="33">
        <f t="shared" si="7"/>
        <v>3</v>
      </c>
      <c r="T40" s="33">
        <f t="shared" si="7"/>
        <v>0</v>
      </c>
      <c r="U40" s="33">
        <f t="shared" si="7"/>
        <v>0</v>
      </c>
      <c r="V40" s="33">
        <f t="shared" si="7"/>
        <v>2</v>
      </c>
      <c r="W40" s="33">
        <f t="shared" si="7"/>
        <v>0</v>
      </c>
      <c r="X40" s="32">
        <f t="shared" si="9"/>
        <v>31</v>
      </c>
      <c r="Y40" s="47">
        <f t="shared" si="10"/>
        <v>6.2880324543610547E-2</v>
      </c>
      <c r="Z40" s="48">
        <v>0</v>
      </c>
    </row>
    <row r="41" spans="1:26" x14ac:dyDescent="0.5">
      <c r="A41" s="32" t="str">
        <f t="shared" si="8"/>
        <v>GEESE</v>
      </c>
      <c r="C41" s="33">
        <f t="shared" si="7"/>
        <v>0</v>
      </c>
      <c r="D41" s="33">
        <f t="shared" si="7"/>
        <v>0</v>
      </c>
      <c r="E41" s="33">
        <f t="shared" si="7"/>
        <v>0</v>
      </c>
      <c r="F41" s="33">
        <f t="shared" si="7"/>
        <v>0</v>
      </c>
      <c r="G41" s="33">
        <f t="shared" si="7"/>
        <v>1</v>
      </c>
      <c r="H41" s="33">
        <f t="shared" si="7"/>
        <v>0</v>
      </c>
      <c r="I41" s="33">
        <f t="shared" si="7"/>
        <v>1</v>
      </c>
      <c r="J41" s="33">
        <f t="shared" si="7"/>
        <v>0</v>
      </c>
      <c r="K41" s="33">
        <f t="shared" si="7"/>
        <v>0</v>
      </c>
      <c r="L41" s="33">
        <f t="shared" si="7"/>
        <v>0</v>
      </c>
      <c r="M41" s="33">
        <f t="shared" si="7"/>
        <v>0</v>
      </c>
      <c r="N41" s="33">
        <f t="shared" si="7"/>
        <v>0</v>
      </c>
      <c r="O41" s="33">
        <f t="shared" si="7"/>
        <v>0</v>
      </c>
      <c r="P41" s="33">
        <f t="shared" si="7"/>
        <v>0</v>
      </c>
      <c r="Q41" s="33">
        <f t="shared" si="7"/>
        <v>0</v>
      </c>
      <c r="R41" s="33">
        <f t="shared" si="7"/>
        <v>1</v>
      </c>
      <c r="S41" s="33">
        <f t="shared" si="7"/>
        <v>0</v>
      </c>
      <c r="T41" s="33">
        <f t="shared" si="7"/>
        <v>0</v>
      </c>
      <c r="U41" s="33">
        <f t="shared" si="7"/>
        <v>0</v>
      </c>
      <c r="V41" s="33">
        <f t="shared" si="7"/>
        <v>0</v>
      </c>
      <c r="W41" s="33">
        <f t="shared" si="7"/>
        <v>0</v>
      </c>
      <c r="X41" s="32">
        <f t="shared" si="9"/>
        <v>3</v>
      </c>
      <c r="Y41" s="47">
        <f t="shared" si="10"/>
        <v>6.0851926977687626E-3</v>
      </c>
      <c r="Z41" s="48">
        <v>0</v>
      </c>
    </row>
    <row r="42" spans="1:26" x14ac:dyDescent="0.5">
      <c r="A42" s="32" t="str">
        <f t="shared" si="8"/>
        <v>MALLARD</v>
      </c>
      <c r="C42" s="33">
        <f t="shared" si="7"/>
        <v>5</v>
      </c>
      <c r="D42" s="33">
        <f t="shared" si="7"/>
        <v>0</v>
      </c>
      <c r="E42" s="33">
        <f t="shared" si="7"/>
        <v>0</v>
      </c>
      <c r="F42" s="33">
        <f t="shared" si="7"/>
        <v>0</v>
      </c>
      <c r="G42" s="33">
        <f t="shared" si="7"/>
        <v>2</v>
      </c>
      <c r="H42" s="33">
        <f t="shared" si="7"/>
        <v>0</v>
      </c>
      <c r="I42" s="33">
        <f t="shared" si="7"/>
        <v>1</v>
      </c>
      <c r="J42" s="33">
        <f t="shared" si="7"/>
        <v>0</v>
      </c>
      <c r="K42" s="33">
        <f t="shared" si="7"/>
        <v>0</v>
      </c>
      <c r="L42" s="33">
        <f t="shared" si="7"/>
        <v>0</v>
      </c>
      <c r="M42" s="33">
        <f t="shared" si="7"/>
        <v>0</v>
      </c>
      <c r="N42" s="33">
        <f t="shared" si="7"/>
        <v>0</v>
      </c>
      <c r="O42" s="33">
        <f t="shared" si="7"/>
        <v>0</v>
      </c>
      <c r="P42" s="33">
        <f t="shared" si="7"/>
        <v>3</v>
      </c>
      <c r="Q42" s="33">
        <f t="shared" si="7"/>
        <v>0</v>
      </c>
      <c r="R42" s="33">
        <f t="shared" si="7"/>
        <v>1</v>
      </c>
      <c r="S42" s="33">
        <f t="shared" si="7"/>
        <v>0</v>
      </c>
      <c r="T42" s="33">
        <f t="shared" si="7"/>
        <v>0</v>
      </c>
      <c r="U42" s="33">
        <f t="shared" si="7"/>
        <v>0</v>
      </c>
      <c r="V42" s="33">
        <f t="shared" si="7"/>
        <v>0</v>
      </c>
      <c r="W42" s="33">
        <f t="shared" si="7"/>
        <v>0</v>
      </c>
      <c r="X42" s="32">
        <f t="shared" si="9"/>
        <v>12</v>
      </c>
      <c r="Y42" s="47">
        <f t="shared" si="10"/>
        <v>2.434077079107505E-2</v>
      </c>
      <c r="Z42" s="48">
        <v>0</v>
      </c>
    </row>
    <row r="43" spans="1:26" x14ac:dyDescent="0.5">
      <c r="A43" s="32" t="str">
        <f t="shared" si="8"/>
        <v>PINTAIL</v>
      </c>
      <c r="C43" s="33">
        <f t="shared" si="7"/>
        <v>2</v>
      </c>
      <c r="D43" s="33">
        <f t="shared" si="7"/>
        <v>4</v>
      </c>
      <c r="E43" s="33">
        <f t="shared" si="7"/>
        <v>3</v>
      </c>
      <c r="F43" s="33">
        <f t="shared" si="7"/>
        <v>0</v>
      </c>
      <c r="G43" s="33">
        <f t="shared" si="7"/>
        <v>15</v>
      </c>
      <c r="H43" s="33">
        <f t="shared" si="7"/>
        <v>1</v>
      </c>
      <c r="I43" s="33">
        <f t="shared" si="7"/>
        <v>6</v>
      </c>
      <c r="J43" s="33">
        <f t="shared" si="7"/>
        <v>0</v>
      </c>
      <c r="K43" s="33">
        <f t="shared" si="7"/>
        <v>0</v>
      </c>
      <c r="L43" s="33">
        <f t="shared" si="7"/>
        <v>8</v>
      </c>
      <c r="M43" s="33">
        <f t="shared" si="7"/>
        <v>0</v>
      </c>
      <c r="N43" s="33">
        <f t="shared" si="7"/>
        <v>0</v>
      </c>
      <c r="O43" s="33">
        <f t="shared" si="7"/>
        <v>0</v>
      </c>
      <c r="P43" s="33">
        <f t="shared" si="7"/>
        <v>0</v>
      </c>
      <c r="Q43" s="33">
        <f t="shared" si="7"/>
        <v>0</v>
      </c>
      <c r="R43" s="33">
        <f t="shared" si="7"/>
        <v>6</v>
      </c>
      <c r="S43" s="33">
        <f t="shared" si="7"/>
        <v>7</v>
      </c>
      <c r="T43" s="33">
        <f t="shared" si="7"/>
        <v>0</v>
      </c>
      <c r="U43" s="33">
        <f t="shared" si="7"/>
        <v>0</v>
      </c>
      <c r="V43" s="33">
        <f t="shared" si="7"/>
        <v>0</v>
      </c>
      <c r="W43" s="33">
        <f t="shared" si="7"/>
        <v>1</v>
      </c>
      <c r="X43" s="32">
        <f t="shared" si="9"/>
        <v>53</v>
      </c>
      <c r="Y43" s="47">
        <f t="shared" si="10"/>
        <v>0.10750507099391481</v>
      </c>
      <c r="Z43" s="48">
        <v>0</v>
      </c>
    </row>
    <row r="44" spans="1:26" x14ac:dyDescent="0.5">
      <c r="A44" s="32" t="str">
        <f t="shared" si="8"/>
        <v>REDHEAD</v>
      </c>
      <c r="C44" s="33">
        <f t="shared" si="7"/>
        <v>0</v>
      </c>
      <c r="D44" s="33">
        <f t="shared" si="7"/>
        <v>0</v>
      </c>
      <c r="E44" s="33">
        <f t="shared" si="7"/>
        <v>0</v>
      </c>
      <c r="F44" s="33">
        <f t="shared" si="7"/>
        <v>0</v>
      </c>
      <c r="G44" s="33">
        <f t="shared" si="7"/>
        <v>0</v>
      </c>
      <c r="H44" s="33">
        <f t="shared" si="7"/>
        <v>0</v>
      </c>
      <c r="I44" s="33">
        <f t="shared" si="7"/>
        <v>1</v>
      </c>
      <c r="J44" s="33">
        <f t="shared" si="7"/>
        <v>0</v>
      </c>
      <c r="K44" s="33">
        <f t="shared" si="7"/>
        <v>0</v>
      </c>
      <c r="L44" s="33">
        <f t="shared" si="7"/>
        <v>0</v>
      </c>
      <c r="M44" s="33">
        <f t="shared" si="7"/>
        <v>0</v>
      </c>
      <c r="N44" s="33">
        <f t="shared" si="7"/>
        <v>0</v>
      </c>
      <c r="O44" s="33">
        <f t="shared" si="7"/>
        <v>0</v>
      </c>
      <c r="P44" s="33">
        <f t="shared" si="7"/>
        <v>0</v>
      </c>
      <c r="Q44" s="33">
        <f t="shared" si="7"/>
        <v>0</v>
      </c>
      <c r="R44" s="33">
        <f t="shared" si="7"/>
        <v>0</v>
      </c>
      <c r="S44" s="33">
        <f t="shared" si="7"/>
        <v>0</v>
      </c>
      <c r="T44" s="33">
        <f t="shared" si="7"/>
        <v>0</v>
      </c>
      <c r="U44" s="33">
        <f t="shared" si="7"/>
        <v>0</v>
      </c>
      <c r="V44" s="33">
        <f t="shared" si="7"/>
        <v>0</v>
      </c>
      <c r="W44" s="33">
        <f t="shared" si="7"/>
        <v>0</v>
      </c>
      <c r="X44" s="32">
        <f t="shared" si="9"/>
        <v>1</v>
      </c>
      <c r="Y44" s="47">
        <f t="shared" si="10"/>
        <v>2.0283975659229209E-3</v>
      </c>
      <c r="Z44" s="48">
        <v>0</v>
      </c>
    </row>
    <row r="45" spans="1:26" x14ac:dyDescent="0.5">
      <c r="A45" s="32" t="str">
        <f t="shared" si="8"/>
        <v>RINGNECK</v>
      </c>
      <c r="C45" s="33">
        <f t="shared" si="7"/>
        <v>1</v>
      </c>
      <c r="D45" s="33">
        <f t="shared" si="7"/>
        <v>1</v>
      </c>
      <c r="E45" s="33">
        <f t="shared" si="7"/>
        <v>1</v>
      </c>
      <c r="F45" s="33">
        <f t="shared" si="7"/>
        <v>0</v>
      </c>
      <c r="G45" s="33">
        <f t="shared" si="7"/>
        <v>1</v>
      </c>
      <c r="H45" s="33">
        <f t="shared" si="7"/>
        <v>0</v>
      </c>
      <c r="I45" s="33">
        <f t="shared" si="7"/>
        <v>0</v>
      </c>
      <c r="J45" s="33">
        <f t="shared" si="7"/>
        <v>0</v>
      </c>
      <c r="K45" s="33">
        <f t="shared" si="7"/>
        <v>0</v>
      </c>
      <c r="L45" s="33">
        <f t="shared" si="7"/>
        <v>1</v>
      </c>
      <c r="M45" s="33">
        <f t="shared" si="7"/>
        <v>0</v>
      </c>
      <c r="N45" s="33">
        <f t="shared" si="7"/>
        <v>0</v>
      </c>
      <c r="O45" s="33">
        <f t="shared" si="7"/>
        <v>0</v>
      </c>
      <c r="P45" s="33">
        <f t="shared" si="7"/>
        <v>0</v>
      </c>
      <c r="Q45" s="33">
        <f t="shared" si="7"/>
        <v>0</v>
      </c>
      <c r="R45" s="33">
        <f t="shared" si="7"/>
        <v>0</v>
      </c>
      <c r="S45" s="33">
        <f t="shared" si="7"/>
        <v>0</v>
      </c>
      <c r="T45" s="33">
        <f t="shared" si="7"/>
        <v>0</v>
      </c>
      <c r="U45" s="33">
        <f t="shared" si="7"/>
        <v>0</v>
      </c>
      <c r="V45" s="33">
        <f t="shared" si="7"/>
        <v>0</v>
      </c>
      <c r="W45" s="33">
        <f t="shared" si="7"/>
        <v>0</v>
      </c>
      <c r="X45" s="32">
        <f t="shared" si="9"/>
        <v>5</v>
      </c>
      <c r="Y45" s="47">
        <f t="shared" si="10"/>
        <v>1.0141987829614604E-2</v>
      </c>
      <c r="Z45" s="48">
        <v>0</v>
      </c>
    </row>
    <row r="46" spans="1:26" x14ac:dyDescent="0.5">
      <c r="A46" s="32" t="str">
        <f t="shared" si="8"/>
        <v>B'HEAD</v>
      </c>
      <c r="C46" s="33">
        <f t="shared" si="7"/>
        <v>1</v>
      </c>
      <c r="D46" s="33">
        <f t="shared" si="7"/>
        <v>0</v>
      </c>
      <c r="E46" s="33">
        <f t="shared" si="7"/>
        <v>1</v>
      </c>
      <c r="F46" s="33">
        <f t="shared" si="7"/>
        <v>0</v>
      </c>
      <c r="G46" s="33">
        <f t="shared" si="7"/>
        <v>0</v>
      </c>
      <c r="H46" s="33">
        <f t="shared" si="7"/>
        <v>0</v>
      </c>
      <c r="I46" s="33">
        <f t="shared" si="7"/>
        <v>1</v>
      </c>
      <c r="J46" s="33">
        <f t="shared" si="7"/>
        <v>0</v>
      </c>
      <c r="K46" s="33">
        <f t="shared" si="7"/>
        <v>0</v>
      </c>
      <c r="L46" s="33">
        <f t="shared" si="7"/>
        <v>0</v>
      </c>
      <c r="M46" s="33">
        <f t="shared" si="7"/>
        <v>0</v>
      </c>
      <c r="N46" s="33">
        <f t="shared" si="7"/>
        <v>0</v>
      </c>
      <c r="O46" s="33">
        <f t="shared" si="7"/>
        <v>0</v>
      </c>
      <c r="P46" s="33">
        <f t="shared" si="7"/>
        <v>0</v>
      </c>
      <c r="Q46" s="33">
        <f t="shared" si="7"/>
        <v>0</v>
      </c>
      <c r="R46" s="33">
        <f t="shared" si="7"/>
        <v>0</v>
      </c>
      <c r="S46" s="33">
        <f t="shared" si="7"/>
        <v>0</v>
      </c>
      <c r="T46" s="33">
        <f t="shared" si="7"/>
        <v>0</v>
      </c>
      <c r="U46" s="33">
        <f t="shared" si="7"/>
        <v>0</v>
      </c>
      <c r="V46" s="33">
        <f t="shared" si="7"/>
        <v>0</v>
      </c>
      <c r="W46" s="33">
        <f t="shared" si="7"/>
        <v>0</v>
      </c>
      <c r="X46" s="32">
        <f t="shared" si="9"/>
        <v>3</v>
      </c>
      <c r="Y46" s="47">
        <f t="shared" si="10"/>
        <v>6.0851926977687626E-3</v>
      </c>
      <c r="Z46" s="48">
        <v>0</v>
      </c>
    </row>
    <row r="47" spans="1:26" x14ac:dyDescent="0.5">
      <c r="A47" s="32" t="str">
        <f t="shared" si="8"/>
        <v>SPOONY</v>
      </c>
      <c r="C47" s="33">
        <f t="shared" si="7"/>
        <v>25</v>
      </c>
      <c r="D47" s="33">
        <f t="shared" si="7"/>
        <v>9</v>
      </c>
      <c r="E47" s="33">
        <f t="shared" si="7"/>
        <v>5</v>
      </c>
      <c r="F47" s="33">
        <f t="shared" si="7"/>
        <v>7</v>
      </c>
      <c r="G47" s="33">
        <f t="shared" si="7"/>
        <v>4</v>
      </c>
      <c r="H47" s="33">
        <f t="shared" si="7"/>
        <v>1</v>
      </c>
      <c r="I47" s="33">
        <f t="shared" si="7"/>
        <v>23</v>
      </c>
      <c r="J47" s="33">
        <f t="shared" si="7"/>
        <v>0</v>
      </c>
      <c r="K47" s="33">
        <f t="shared" si="7"/>
        <v>0</v>
      </c>
      <c r="L47" s="33">
        <f t="shared" si="7"/>
        <v>12</v>
      </c>
      <c r="M47" s="33">
        <f t="shared" si="7"/>
        <v>0</v>
      </c>
      <c r="N47" s="33">
        <f t="shared" si="7"/>
        <v>2</v>
      </c>
      <c r="O47" s="33">
        <f t="shared" si="7"/>
        <v>0</v>
      </c>
      <c r="P47" s="33">
        <f t="shared" si="7"/>
        <v>1</v>
      </c>
      <c r="Q47" s="33">
        <f t="shared" si="7"/>
        <v>0</v>
      </c>
      <c r="R47" s="33">
        <f t="shared" si="7"/>
        <v>13</v>
      </c>
      <c r="S47" s="33">
        <f t="shared" si="7"/>
        <v>7</v>
      </c>
      <c r="T47" s="33">
        <f t="shared" si="7"/>
        <v>0</v>
      </c>
      <c r="U47" s="33">
        <f t="shared" si="7"/>
        <v>0</v>
      </c>
      <c r="V47" s="33">
        <f t="shared" si="7"/>
        <v>9</v>
      </c>
      <c r="W47" s="33">
        <f t="shared" si="7"/>
        <v>7</v>
      </c>
      <c r="X47" s="32">
        <f t="shared" si="9"/>
        <v>125</v>
      </c>
      <c r="Y47" s="47">
        <f t="shared" si="10"/>
        <v>0.25354969574036512</v>
      </c>
      <c r="Z47" s="48">
        <v>0</v>
      </c>
    </row>
    <row r="48" spans="1:26" x14ac:dyDescent="0.5">
      <c r="A48" s="32" t="str">
        <f t="shared" si="8"/>
        <v>TEAL</v>
      </c>
      <c r="C48" s="33">
        <f t="shared" si="7"/>
        <v>30</v>
      </c>
      <c r="D48" s="33">
        <f t="shared" si="7"/>
        <v>33</v>
      </c>
      <c r="E48" s="33">
        <f t="shared" si="7"/>
        <v>0</v>
      </c>
      <c r="F48" s="33">
        <f t="shared" si="7"/>
        <v>6</v>
      </c>
      <c r="G48" s="33">
        <f t="shared" si="7"/>
        <v>18</v>
      </c>
      <c r="H48" s="33">
        <f t="shared" si="7"/>
        <v>3</v>
      </c>
      <c r="I48" s="33">
        <f t="shared" si="7"/>
        <v>50</v>
      </c>
      <c r="J48" s="33">
        <f t="shared" si="7"/>
        <v>2</v>
      </c>
      <c r="K48" s="33">
        <f t="shared" si="7"/>
        <v>0</v>
      </c>
      <c r="L48" s="33">
        <f t="shared" si="7"/>
        <v>32</v>
      </c>
      <c r="M48" s="33">
        <f t="shared" si="7"/>
        <v>0</v>
      </c>
      <c r="N48" s="33">
        <f t="shared" si="7"/>
        <v>2</v>
      </c>
      <c r="O48" s="33">
        <f t="shared" si="7"/>
        <v>4</v>
      </c>
      <c r="P48" s="33">
        <f t="shared" si="7"/>
        <v>6</v>
      </c>
      <c r="Q48" s="33">
        <f t="shared" si="7"/>
        <v>0</v>
      </c>
      <c r="R48" s="33">
        <f t="shared" si="7"/>
        <v>30</v>
      </c>
      <c r="S48" s="33">
        <f t="shared" si="7"/>
        <v>4</v>
      </c>
      <c r="T48" s="33">
        <f t="shared" si="7"/>
        <v>0</v>
      </c>
      <c r="U48" s="33">
        <f t="shared" si="7"/>
        <v>0</v>
      </c>
      <c r="V48" s="33">
        <f t="shared" si="7"/>
        <v>5</v>
      </c>
      <c r="W48" s="33">
        <f t="shared" si="7"/>
        <v>3</v>
      </c>
      <c r="X48" s="32">
        <f t="shared" si="9"/>
        <v>228</v>
      </c>
      <c r="Y48" s="47">
        <f t="shared" si="10"/>
        <v>0.46247464503042596</v>
      </c>
      <c r="Z48" s="48">
        <v>0</v>
      </c>
    </row>
    <row r="49" spans="1:26" x14ac:dyDescent="0.5">
      <c r="A49" s="32" t="str">
        <f t="shared" si="8"/>
        <v>WIDGEON</v>
      </c>
      <c r="C49" s="33">
        <f t="shared" si="7"/>
        <v>5</v>
      </c>
      <c r="D49" s="33">
        <f t="shared" si="7"/>
        <v>2</v>
      </c>
      <c r="E49" s="33">
        <f t="shared" si="7"/>
        <v>0</v>
      </c>
      <c r="F49" s="33">
        <f t="shared" si="7"/>
        <v>1</v>
      </c>
      <c r="G49" s="33">
        <f t="shared" si="7"/>
        <v>0</v>
      </c>
      <c r="H49" s="33">
        <f t="shared" si="7"/>
        <v>2</v>
      </c>
      <c r="I49" s="33">
        <f t="shared" si="7"/>
        <v>0</v>
      </c>
      <c r="J49" s="33">
        <f t="shared" si="7"/>
        <v>1</v>
      </c>
      <c r="K49" s="33">
        <f t="shared" si="7"/>
        <v>0</v>
      </c>
      <c r="L49" s="33">
        <f t="shared" si="7"/>
        <v>3</v>
      </c>
      <c r="M49" s="33">
        <f t="shared" si="7"/>
        <v>0</v>
      </c>
      <c r="N49" s="33">
        <f t="shared" si="7"/>
        <v>0</v>
      </c>
      <c r="O49" s="33">
        <f t="shared" si="7"/>
        <v>0</v>
      </c>
      <c r="P49" s="33">
        <f t="shared" si="7"/>
        <v>1</v>
      </c>
      <c r="Q49" s="33">
        <f t="shared" si="7"/>
        <v>0</v>
      </c>
      <c r="R49" s="33">
        <f t="shared" si="7"/>
        <v>4</v>
      </c>
      <c r="S49" s="33">
        <f t="shared" si="7"/>
        <v>2</v>
      </c>
      <c r="T49" s="33">
        <f t="shared" si="7"/>
        <v>0</v>
      </c>
      <c r="U49" s="33">
        <f t="shared" si="7"/>
        <v>0</v>
      </c>
      <c r="V49" s="33">
        <f t="shared" si="7"/>
        <v>0</v>
      </c>
      <c r="W49" s="33">
        <f t="shared" si="7"/>
        <v>0</v>
      </c>
      <c r="X49" s="32">
        <f t="shared" si="9"/>
        <v>21</v>
      </c>
      <c r="Y49" s="47">
        <f t="shared" si="10"/>
        <v>4.2596348884381338E-2</v>
      </c>
      <c r="Z49" s="48">
        <v>0</v>
      </c>
    </row>
    <row r="50" spans="1:26" x14ac:dyDescent="0.5">
      <c r="A50" s="32" t="str">
        <f t="shared" si="8"/>
        <v>MISC</v>
      </c>
      <c r="C50" s="33">
        <f t="shared" si="7"/>
        <v>0</v>
      </c>
      <c r="D50" s="33">
        <f t="shared" si="7"/>
        <v>0</v>
      </c>
      <c r="E50" s="33">
        <f t="shared" si="7"/>
        <v>0</v>
      </c>
      <c r="F50" s="33">
        <f t="shared" ref="C50:W51" si="11">F15+F32</f>
        <v>0</v>
      </c>
      <c r="G50" s="33">
        <f t="shared" si="11"/>
        <v>0</v>
      </c>
      <c r="H50" s="33">
        <f t="shared" si="11"/>
        <v>0</v>
      </c>
      <c r="I50" s="33">
        <f t="shared" si="11"/>
        <v>0</v>
      </c>
      <c r="J50" s="33">
        <f t="shared" si="11"/>
        <v>0</v>
      </c>
      <c r="K50" s="33">
        <f t="shared" si="11"/>
        <v>0</v>
      </c>
      <c r="L50" s="33">
        <f t="shared" si="11"/>
        <v>0</v>
      </c>
      <c r="M50" s="33">
        <f t="shared" si="11"/>
        <v>0</v>
      </c>
      <c r="N50" s="33">
        <f t="shared" si="11"/>
        <v>0</v>
      </c>
      <c r="O50" s="33">
        <f t="shared" si="11"/>
        <v>0</v>
      </c>
      <c r="P50" s="33">
        <f t="shared" si="11"/>
        <v>0</v>
      </c>
      <c r="Q50" s="33">
        <f t="shared" si="11"/>
        <v>0</v>
      </c>
      <c r="R50" s="33">
        <f t="shared" si="11"/>
        <v>2</v>
      </c>
      <c r="S50" s="33">
        <f t="shared" si="11"/>
        <v>0</v>
      </c>
      <c r="T50" s="33">
        <f t="shared" si="11"/>
        <v>0</v>
      </c>
      <c r="U50" s="33">
        <f t="shared" si="11"/>
        <v>0</v>
      </c>
      <c r="V50" s="33">
        <f t="shared" si="11"/>
        <v>0</v>
      </c>
      <c r="W50" s="33">
        <f t="shared" si="11"/>
        <v>0</v>
      </c>
      <c r="X50" s="32">
        <f t="shared" si="9"/>
        <v>2</v>
      </c>
      <c r="Y50" s="47">
        <f t="shared" si="10"/>
        <v>4.0567951318458417E-3</v>
      </c>
      <c r="Z50" s="48">
        <v>0</v>
      </c>
    </row>
    <row r="51" spans="1:26" ht="16.7" thickBot="1" x14ac:dyDescent="0.55000000000000004">
      <c r="A51" s="32" t="s">
        <v>58</v>
      </c>
      <c r="C51" s="38">
        <f t="shared" si="11"/>
        <v>0</v>
      </c>
      <c r="D51" s="38">
        <f t="shared" si="11"/>
        <v>0</v>
      </c>
      <c r="E51" s="38">
        <f t="shared" si="11"/>
        <v>0</v>
      </c>
      <c r="F51" s="38">
        <f t="shared" si="11"/>
        <v>0</v>
      </c>
      <c r="G51" s="38">
        <f t="shared" si="11"/>
        <v>0</v>
      </c>
      <c r="H51" s="38">
        <f t="shared" si="11"/>
        <v>0</v>
      </c>
      <c r="I51" s="38">
        <f t="shared" si="11"/>
        <v>0</v>
      </c>
      <c r="J51" s="38">
        <f t="shared" si="11"/>
        <v>0</v>
      </c>
      <c r="K51" s="38">
        <f t="shared" si="11"/>
        <v>0</v>
      </c>
      <c r="L51" s="38">
        <f t="shared" si="11"/>
        <v>0</v>
      </c>
      <c r="M51" s="38">
        <f t="shared" si="11"/>
        <v>0</v>
      </c>
      <c r="N51" s="38">
        <f t="shared" si="11"/>
        <v>0</v>
      </c>
      <c r="O51" s="38">
        <f t="shared" si="11"/>
        <v>0</v>
      </c>
      <c r="P51" s="38">
        <f t="shared" si="11"/>
        <v>0</v>
      </c>
      <c r="Q51" s="38">
        <f t="shared" si="11"/>
        <v>0</v>
      </c>
      <c r="R51" s="38">
        <f t="shared" si="11"/>
        <v>0</v>
      </c>
      <c r="S51" s="38">
        <f t="shared" si="11"/>
        <v>0</v>
      </c>
      <c r="T51" s="38">
        <f t="shared" si="11"/>
        <v>0</v>
      </c>
      <c r="U51" s="38">
        <f t="shared" si="11"/>
        <v>0</v>
      </c>
      <c r="V51" s="38">
        <f>V16+V33</f>
        <v>0</v>
      </c>
      <c r="W51" s="38">
        <f>W16+W33</f>
        <v>0</v>
      </c>
      <c r="X51" s="49">
        <f t="shared" si="9"/>
        <v>0</v>
      </c>
      <c r="Y51" s="50">
        <f t="shared" si="10"/>
        <v>0</v>
      </c>
      <c r="Z51" s="51">
        <v>0</v>
      </c>
    </row>
    <row r="52" spans="1:26" x14ac:dyDescent="0.5">
      <c r="A52" s="32" t="s">
        <v>25</v>
      </c>
      <c r="C52" s="33">
        <f>0+SUM(C38:C51)</f>
        <v>72</v>
      </c>
      <c r="D52" s="33">
        <f t="shared" ref="D52:U52" si="12">0+SUM(D38:D51)</f>
        <v>53</v>
      </c>
      <c r="E52" s="33">
        <f t="shared" si="12"/>
        <v>11</v>
      </c>
      <c r="F52" s="33">
        <f t="shared" si="12"/>
        <v>15</v>
      </c>
      <c r="G52" s="33">
        <f t="shared" si="12"/>
        <v>43</v>
      </c>
      <c r="H52" s="33">
        <f t="shared" si="12"/>
        <v>8</v>
      </c>
      <c r="I52" s="33">
        <f t="shared" si="12"/>
        <v>90</v>
      </c>
      <c r="J52" s="33">
        <f t="shared" si="12"/>
        <v>3</v>
      </c>
      <c r="K52" s="33">
        <f t="shared" si="12"/>
        <v>0</v>
      </c>
      <c r="L52" s="33">
        <f t="shared" si="12"/>
        <v>59</v>
      </c>
      <c r="M52" s="33">
        <f t="shared" si="12"/>
        <v>0</v>
      </c>
      <c r="N52" s="33">
        <f t="shared" si="12"/>
        <v>4</v>
      </c>
      <c r="O52" s="33">
        <f t="shared" si="12"/>
        <v>4</v>
      </c>
      <c r="P52" s="33">
        <f t="shared" si="12"/>
        <v>15</v>
      </c>
      <c r="Q52" s="33">
        <f t="shared" si="12"/>
        <v>0</v>
      </c>
      <c r="R52" s="33">
        <f t="shared" si="12"/>
        <v>64</v>
      </c>
      <c r="S52" s="33">
        <f t="shared" si="12"/>
        <v>24</v>
      </c>
      <c r="T52" s="33">
        <f t="shared" si="12"/>
        <v>0</v>
      </c>
      <c r="U52" s="33">
        <f t="shared" si="12"/>
        <v>0</v>
      </c>
      <c r="V52" s="33">
        <f>0+SUM(V38:V51)</f>
        <v>17</v>
      </c>
      <c r="W52" s="33">
        <f>0+SUM(W38:W51)</f>
        <v>11</v>
      </c>
      <c r="X52" s="32">
        <f>SUM(X38:X51)</f>
        <v>493</v>
      </c>
      <c r="Z52" s="52"/>
    </row>
    <row r="53" spans="1:26" x14ac:dyDescent="0.5">
      <c r="A53" s="32" t="s">
        <v>48</v>
      </c>
      <c r="C53" s="53">
        <f t="shared" ref="C53:U53" si="13">C52/$X$52</f>
        <v>0.1460446247464503</v>
      </c>
      <c r="D53" s="53">
        <f t="shared" si="13"/>
        <v>0.10750507099391481</v>
      </c>
      <c r="E53" s="53">
        <f t="shared" si="13"/>
        <v>2.231237322515213E-2</v>
      </c>
      <c r="F53" s="53">
        <f t="shared" si="13"/>
        <v>3.0425963488843813E-2</v>
      </c>
      <c r="G53" s="53">
        <f t="shared" si="13"/>
        <v>8.7221095334685597E-2</v>
      </c>
      <c r="H53" s="53">
        <f t="shared" si="13"/>
        <v>1.6227180527383367E-2</v>
      </c>
      <c r="I53" s="53">
        <f t="shared" si="13"/>
        <v>0.18255578093306288</v>
      </c>
      <c r="J53" s="53">
        <f t="shared" si="13"/>
        <v>6.0851926977687626E-3</v>
      </c>
      <c r="K53" s="53">
        <f t="shared" si="13"/>
        <v>0</v>
      </c>
      <c r="L53" s="53">
        <f t="shared" si="13"/>
        <v>0.11967545638945233</v>
      </c>
      <c r="M53" s="53">
        <f t="shared" si="13"/>
        <v>0</v>
      </c>
      <c r="N53" s="53">
        <f t="shared" si="13"/>
        <v>8.1135902636916835E-3</v>
      </c>
      <c r="O53" s="53">
        <f t="shared" si="13"/>
        <v>8.1135902636916835E-3</v>
      </c>
      <c r="P53" s="53">
        <f t="shared" si="13"/>
        <v>3.0425963488843813E-2</v>
      </c>
      <c r="Q53" s="53">
        <f t="shared" si="13"/>
        <v>0</v>
      </c>
      <c r="R53" s="53">
        <f t="shared" si="13"/>
        <v>0.12981744421906694</v>
      </c>
      <c r="S53" s="53">
        <f t="shared" si="13"/>
        <v>4.8681541582150101E-2</v>
      </c>
      <c r="T53" s="53">
        <f t="shared" si="13"/>
        <v>0</v>
      </c>
      <c r="U53" s="53">
        <f t="shared" si="13"/>
        <v>0</v>
      </c>
      <c r="V53" s="53">
        <f>V52/$X$52</f>
        <v>3.4482758620689655E-2</v>
      </c>
      <c r="W53" s="53">
        <f>W52/$X$52</f>
        <v>2.231237322515213E-2</v>
      </c>
    </row>
    <row r="54" spans="1:26" x14ac:dyDescent="0.5">
      <c r="A54" s="31" t="s">
        <v>47</v>
      </c>
    </row>
    <row r="55" spans="1:26" x14ac:dyDescent="0.5">
      <c r="A55" s="32" t="s">
        <v>40</v>
      </c>
      <c r="D55" s="59">
        <v>97</v>
      </c>
      <c r="E55" s="33" t="s">
        <v>91</v>
      </c>
    </row>
    <row r="56" spans="1:26" x14ac:dyDescent="0.5">
      <c r="A56" s="32" t="s">
        <v>41</v>
      </c>
      <c r="D56" s="54">
        <f>X17/D55</f>
        <v>1.8969072164948453</v>
      </c>
    </row>
    <row r="57" spans="1:26" x14ac:dyDescent="0.5">
      <c r="A57" s="32" t="s">
        <v>42</v>
      </c>
      <c r="D57" s="59">
        <v>188</v>
      </c>
      <c r="E57" s="33" t="s">
        <v>91</v>
      </c>
    </row>
    <row r="58" spans="1:26" x14ac:dyDescent="0.5">
      <c r="A58" s="32" t="s">
        <v>43</v>
      </c>
      <c r="D58" s="54">
        <f>X34/D57</f>
        <v>1.6436170212765957</v>
      </c>
      <c r="F58" s="55" t="s">
        <v>62</v>
      </c>
    </row>
    <row r="59" spans="1:26" x14ac:dyDescent="0.5">
      <c r="A59" s="32" t="s">
        <v>44</v>
      </c>
      <c r="D59" s="59">
        <f>D55+D57</f>
        <v>285</v>
      </c>
      <c r="F59" s="54">
        <f>10068/3358</f>
        <v>2.9982132221560454</v>
      </c>
      <c r="J59" s="55" t="s">
        <v>86</v>
      </c>
      <c r="L59" s="33">
        <v>0</v>
      </c>
    </row>
    <row r="60" spans="1:26" x14ac:dyDescent="0.5">
      <c r="A60" s="32" t="s">
        <v>45</v>
      </c>
      <c r="D60" s="54">
        <f>X52/D59</f>
        <v>1.7298245614035088</v>
      </c>
      <c r="F60" s="54">
        <f>10068/2400</f>
        <v>4.1950000000000003</v>
      </c>
      <c r="G60" s="57" t="s">
        <v>77</v>
      </c>
      <c r="J60" s="55" t="s">
        <v>82</v>
      </c>
      <c r="L60" s="54" t="e">
        <f>SUM(N52:W52)/L59</f>
        <v>#DIV/0!</v>
      </c>
    </row>
    <row r="61" spans="1:26" x14ac:dyDescent="0.5">
      <c r="A61" s="32" t="s">
        <v>46</v>
      </c>
      <c r="D61" s="56">
        <f>X52/250</f>
        <v>1.972</v>
      </c>
      <c r="F61" s="54">
        <f>5200/10068</f>
        <v>0.51648788239968213</v>
      </c>
      <c r="G61" s="57" t="s">
        <v>64</v>
      </c>
    </row>
    <row r="62" spans="1:26" x14ac:dyDescent="0.5">
      <c r="A62" s="31" t="s">
        <v>49</v>
      </c>
      <c r="D62" s="40"/>
    </row>
    <row r="63" spans="1:26" x14ac:dyDescent="0.5">
      <c r="A63" s="32" t="s">
        <v>93</v>
      </c>
    </row>
    <row r="64" spans="1:26" x14ac:dyDescent="0.5">
      <c r="A64" s="32" t="s">
        <v>94</v>
      </c>
    </row>
    <row r="65" spans="1:4" x14ac:dyDescent="0.5">
      <c r="A65" s="32" t="s">
        <v>96</v>
      </c>
    </row>
    <row r="66" spans="1:4" x14ac:dyDescent="0.5">
      <c r="A66" s="32" t="s">
        <v>97</v>
      </c>
    </row>
    <row r="67" spans="1:4" x14ac:dyDescent="0.5">
      <c r="A67" s="31" t="s">
        <v>56</v>
      </c>
      <c r="D67" s="40" t="s">
        <v>92</v>
      </c>
    </row>
    <row r="68" spans="1:4" x14ac:dyDescent="0.5">
      <c r="A68" s="32">
        <v>1</v>
      </c>
    </row>
    <row r="69" spans="1:4" x14ac:dyDescent="0.5">
      <c r="A69" s="32">
        <v>2</v>
      </c>
    </row>
    <row r="70" spans="1:4" x14ac:dyDescent="0.5">
      <c r="A70" s="32">
        <v>3</v>
      </c>
    </row>
    <row r="71" spans="1:4" x14ac:dyDescent="0.5">
      <c r="A71" s="32">
        <v>4</v>
      </c>
    </row>
    <row r="72" spans="1:4" x14ac:dyDescent="0.5">
      <c r="A72" s="32">
        <v>5</v>
      </c>
    </row>
  </sheetData>
  <phoneticPr fontId="0" type="noConversion"/>
  <printOptions horizontalCentered="1" verticalCentered="1" gridLines="1" gridLinesSet="0"/>
  <pageMargins left="0.25" right="0.25" top="0.25" bottom="0" header="0.15" footer="0.25"/>
  <pageSetup scale="49" orientation="landscape" r:id="rId1"/>
  <headerFooter alignWithMargins="0">
    <oddHeader>&amp;C&amp;A</oddHeader>
  </headerFooter>
  <rowBreaks count="1" manualBreakCount="1">
    <brk id="34"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68"/>
  <sheetViews>
    <sheetView topLeftCell="A49" zoomScale="80" zoomScaleNormal="80" workbookViewId="0">
      <selection activeCell="I49" sqref="I49"/>
    </sheetView>
  </sheetViews>
  <sheetFormatPr defaultColWidth="7.703125" defaultRowHeight="12.7" x14ac:dyDescent="0.4"/>
  <cols>
    <col min="1" max="1" width="20.1171875" style="30" customWidth="1"/>
    <col min="2" max="2" width="4.41015625" style="30" customWidth="1"/>
    <col min="3" max="10" width="6.703125" style="60" customWidth="1"/>
    <col min="11" max="11" width="8.87890625" style="60" customWidth="1"/>
    <col min="12" max="12" width="7.29296875" style="60" customWidth="1"/>
    <col min="13" max="23" width="6.703125" style="60" customWidth="1"/>
    <col min="24" max="24" width="8.703125" style="30" customWidth="1"/>
    <col min="25" max="25" width="9.29296875" style="30" customWidth="1"/>
    <col min="26" max="26" width="9.87890625" style="30" customWidth="1"/>
    <col min="27" max="16384" width="7.703125" style="30"/>
  </cols>
  <sheetData>
    <row r="1" spans="1:24" ht="13" thickBot="1" x14ac:dyDescent="0.45">
      <c r="A1" s="5" t="s">
        <v>105</v>
      </c>
    </row>
    <row r="2" spans="1:24"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3" t="s">
        <v>2</v>
      </c>
    </row>
    <row r="3" spans="1:24" x14ac:dyDescent="0.4">
      <c r="A3" s="30" t="s">
        <v>34</v>
      </c>
      <c r="R3" s="60">
        <v>4</v>
      </c>
      <c r="S3" s="60">
        <v>6</v>
      </c>
      <c r="W3" s="60">
        <v>1</v>
      </c>
      <c r="X3" s="30">
        <f>SUM(C3:W3)</f>
        <v>11</v>
      </c>
    </row>
    <row r="4" spans="1:24" x14ac:dyDescent="0.4">
      <c r="A4" s="30" t="s">
        <v>35</v>
      </c>
      <c r="H4" s="60">
        <v>1</v>
      </c>
      <c r="R4" s="60">
        <v>3</v>
      </c>
      <c r="W4" s="60">
        <v>1</v>
      </c>
      <c r="X4" s="30">
        <f t="shared" ref="X4:X16" si="0">SUM(C4:W4)</f>
        <v>5</v>
      </c>
    </row>
    <row r="5" spans="1:24" x14ac:dyDescent="0.4">
      <c r="A5" s="30" t="s">
        <v>16</v>
      </c>
      <c r="F5" s="60">
        <v>1</v>
      </c>
      <c r="G5" s="60">
        <v>1</v>
      </c>
      <c r="H5" s="60">
        <v>1</v>
      </c>
      <c r="I5" s="60">
        <v>3</v>
      </c>
      <c r="L5" s="60">
        <v>2</v>
      </c>
      <c r="R5" s="60">
        <v>2</v>
      </c>
      <c r="S5" s="60">
        <v>1</v>
      </c>
      <c r="X5" s="30">
        <f t="shared" si="0"/>
        <v>11</v>
      </c>
    </row>
    <row r="6" spans="1:24" x14ac:dyDescent="0.4">
      <c r="A6" s="30" t="s">
        <v>29</v>
      </c>
      <c r="H6" s="60">
        <v>1</v>
      </c>
      <c r="R6" s="60">
        <v>2</v>
      </c>
      <c r="X6" s="30">
        <f t="shared" si="0"/>
        <v>3</v>
      </c>
    </row>
    <row r="7" spans="1:24" x14ac:dyDescent="0.4">
      <c r="A7" s="30" t="s">
        <v>18</v>
      </c>
      <c r="C7" s="60">
        <v>1</v>
      </c>
      <c r="F7" s="60">
        <v>1</v>
      </c>
      <c r="G7" s="60">
        <v>1</v>
      </c>
      <c r="H7" s="60">
        <v>1</v>
      </c>
      <c r="P7" s="60">
        <v>1</v>
      </c>
      <c r="V7" s="60">
        <v>1</v>
      </c>
      <c r="W7" s="60">
        <v>3</v>
      </c>
      <c r="X7" s="30">
        <f t="shared" si="0"/>
        <v>9</v>
      </c>
    </row>
    <row r="8" spans="1:24" x14ac:dyDescent="0.4">
      <c r="A8" s="30" t="s">
        <v>19</v>
      </c>
      <c r="D8" s="60">
        <v>1</v>
      </c>
      <c r="F8" s="60">
        <v>2</v>
      </c>
      <c r="G8" s="60">
        <v>3</v>
      </c>
      <c r="H8" s="60">
        <v>4</v>
      </c>
      <c r="I8" s="60">
        <v>1</v>
      </c>
      <c r="L8" s="60">
        <v>1</v>
      </c>
      <c r="P8" s="60">
        <v>1</v>
      </c>
      <c r="R8" s="60">
        <v>1</v>
      </c>
      <c r="S8" s="60">
        <v>1</v>
      </c>
      <c r="W8" s="60">
        <v>5</v>
      </c>
      <c r="X8" s="30">
        <f t="shared" si="0"/>
        <v>20</v>
      </c>
    </row>
    <row r="9" spans="1:24" x14ac:dyDescent="0.4">
      <c r="A9" s="30" t="s">
        <v>20</v>
      </c>
      <c r="H9" s="60">
        <v>1</v>
      </c>
      <c r="X9" s="30">
        <f t="shared" si="0"/>
        <v>1</v>
      </c>
    </row>
    <row r="10" spans="1:24" x14ac:dyDescent="0.4">
      <c r="A10" s="30" t="s">
        <v>21</v>
      </c>
      <c r="H10" s="60">
        <v>1</v>
      </c>
      <c r="L10" s="60">
        <v>1</v>
      </c>
      <c r="R10" s="60">
        <v>2</v>
      </c>
      <c r="X10" s="30">
        <f t="shared" si="0"/>
        <v>4</v>
      </c>
    </row>
    <row r="11" spans="1:24" x14ac:dyDescent="0.4">
      <c r="A11" s="30" t="s">
        <v>98</v>
      </c>
      <c r="X11" s="30">
        <f t="shared" si="0"/>
        <v>0</v>
      </c>
    </row>
    <row r="12" spans="1:24" x14ac:dyDescent="0.4">
      <c r="A12" s="30" t="s">
        <v>22</v>
      </c>
      <c r="C12" s="60">
        <v>4</v>
      </c>
      <c r="D12" s="60">
        <v>4</v>
      </c>
      <c r="F12" s="60">
        <v>21</v>
      </c>
      <c r="G12" s="60">
        <v>14</v>
      </c>
      <c r="H12" s="60">
        <v>26</v>
      </c>
      <c r="I12" s="60">
        <v>18</v>
      </c>
      <c r="L12" s="60">
        <v>7</v>
      </c>
      <c r="P12" s="60">
        <v>7</v>
      </c>
      <c r="R12" s="60">
        <v>15</v>
      </c>
      <c r="S12" s="60">
        <v>9</v>
      </c>
      <c r="T12" s="60">
        <v>2</v>
      </c>
      <c r="V12" s="60">
        <v>4</v>
      </c>
      <c r="W12" s="60">
        <v>22</v>
      </c>
      <c r="X12" s="30">
        <f t="shared" si="0"/>
        <v>153</v>
      </c>
    </row>
    <row r="13" spans="1:24" x14ac:dyDescent="0.4">
      <c r="A13" s="30" t="s">
        <v>23</v>
      </c>
      <c r="C13" s="60">
        <v>8</v>
      </c>
      <c r="D13" s="60">
        <v>9</v>
      </c>
      <c r="F13" s="60">
        <v>6</v>
      </c>
      <c r="G13" s="60">
        <v>7</v>
      </c>
      <c r="H13" s="60">
        <v>26</v>
      </c>
      <c r="I13" s="60">
        <v>15</v>
      </c>
      <c r="L13" s="60">
        <v>6</v>
      </c>
      <c r="P13" s="60">
        <v>4</v>
      </c>
      <c r="R13" s="60">
        <v>4</v>
      </c>
      <c r="S13" s="60">
        <v>5</v>
      </c>
      <c r="V13" s="60">
        <v>2</v>
      </c>
      <c r="W13" s="60">
        <v>15</v>
      </c>
      <c r="X13" s="30">
        <f t="shared" si="0"/>
        <v>107</v>
      </c>
    </row>
    <row r="14" spans="1:24" x14ac:dyDescent="0.4">
      <c r="A14" s="30" t="s">
        <v>24</v>
      </c>
      <c r="L14" s="60">
        <v>1</v>
      </c>
      <c r="R14" s="60">
        <v>3</v>
      </c>
      <c r="W14" s="60">
        <v>1</v>
      </c>
      <c r="X14" s="30">
        <f t="shared" si="0"/>
        <v>5</v>
      </c>
    </row>
    <row r="15" spans="1:24" x14ac:dyDescent="0.4">
      <c r="A15" s="30" t="s">
        <v>102</v>
      </c>
      <c r="I15" s="60">
        <v>1</v>
      </c>
      <c r="W15" s="60">
        <v>1</v>
      </c>
      <c r="X15" s="30">
        <f t="shared" si="0"/>
        <v>2</v>
      </c>
    </row>
    <row r="16" spans="1:24" ht="13" thickBot="1" x14ac:dyDescent="0.45">
      <c r="A16" s="30" t="s">
        <v>37</v>
      </c>
      <c r="C16" s="62"/>
      <c r="D16" s="62"/>
      <c r="E16" s="62"/>
      <c r="F16" s="62"/>
      <c r="G16" s="62"/>
      <c r="H16" s="62"/>
      <c r="I16" s="62"/>
      <c r="J16" s="62"/>
      <c r="K16" s="62"/>
      <c r="L16" s="62"/>
      <c r="M16" s="62"/>
      <c r="N16" s="62"/>
      <c r="O16" s="62"/>
      <c r="P16" s="62"/>
      <c r="Q16" s="62"/>
      <c r="R16" s="62"/>
      <c r="S16" s="62"/>
      <c r="T16" s="62"/>
      <c r="U16" s="62"/>
      <c r="V16" s="62"/>
      <c r="W16" s="62"/>
      <c r="X16" s="63">
        <f t="shared" si="0"/>
        <v>0</v>
      </c>
    </row>
    <row r="17" spans="1:24" x14ac:dyDescent="0.4">
      <c r="A17" s="30" t="s">
        <v>25</v>
      </c>
      <c r="C17" s="60">
        <f>SUM(C3:C16)</f>
        <v>13</v>
      </c>
      <c r="D17" s="60">
        <f t="shared" ref="D17:X17" si="1">SUM(D3:D16)</f>
        <v>14</v>
      </c>
      <c r="E17" s="60">
        <f t="shared" si="1"/>
        <v>0</v>
      </c>
      <c r="F17" s="60">
        <f t="shared" si="1"/>
        <v>31</v>
      </c>
      <c r="G17" s="60">
        <f t="shared" si="1"/>
        <v>26</v>
      </c>
      <c r="H17" s="60">
        <f t="shared" si="1"/>
        <v>62</v>
      </c>
      <c r="I17" s="60">
        <f t="shared" si="1"/>
        <v>38</v>
      </c>
      <c r="J17" s="60">
        <f t="shared" si="1"/>
        <v>0</v>
      </c>
      <c r="K17" s="60">
        <f t="shared" si="1"/>
        <v>0</v>
      </c>
      <c r="L17" s="60">
        <f t="shared" si="1"/>
        <v>18</v>
      </c>
      <c r="M17" s="60">
        <f t="shared" si="1"/>
        <v>0</v>
      </c>
      <c r="N17" s="60">
        <f t="shared" si="1"/>
        <v>0</v>
      </c>
      <c r="O17" s="60">
        <f t="shared" si="1"/>
        <v>0</v>
      </c>
      <c r="P17" s="60">
        <f t="shared" si="1"/>
        <v>13</v>
      </c>
      <c r="Q17" s="60">
        <f t="shared" si="1"/>
        <v>0</v>
      </c>
      <c r="R17" s="60">
        <f t="shared" si="1"/>
        <v>36</v>
      </c>
      <c r="S17" s="60">
        <f t="shared" si="1"/>
        <v>22</v>
      </c>
      <c r="T17" s="60">
        <f t="shared" si="1"/>
        <v>2</v>
      </c>
      <c r="U17" s="60">
        <f t="shared" si="1"/>
        <v>0</v>
      </c>
      <c r="V17" s="60">
        <f>SUM(V3:V16)</f>
        <v>7</v>
      </c>
      <c r="W17" s="60">
        <f>SUM(W3:W16)</f>
        <v>49</v>
      </c>
      <c r="X17" s="30">
        <f t="shared" si="1"/>
        <v>331</v>
      </c>
    </row>
    <row r="18" spans="1:24" ht="13" thickBot="1" x14ac:dyDescent="0.45">
      <c r="A18" s="29" t="s">
        <v>104</v>
      </c>
      <c r="D18" s="64"/>
      <c r="E18" s="7"/>
      <c r="F18" s="29"/>
      <c r="G18" s="29" t="s">
        <v>101</v>
      </c>
    </row>
    <row r="19" spans="1:24" ht="13" thickBot="1" x14ac:dyDescent="0.45">
      <c r="A19" s="10" t="str">
        <f>A2</f>
        <v>BLIND #</v>
      </c>
      <c r="B19" s="14"/>
      <c r="C19" s="12">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3" t="s">
        <v>2</v>
      </c>
    </row>
    <row r="20" spans="1:24" x14ac:dyDescent="0.4">
      <c r="A20" s="30" t="str">
        <f>A3</f>
        <v>RUDDY</v>
      </c>
      <c r="I20" s="60">
        <v>1</v>
      </c>
      <c r="L20" s="60">
        <v>1</v>
      </c>
      <c r="R20" s="60">
        <v>8</v>
      </c>
      <c r="S20" s="60">
        <v>16</v>
      </c>
      <c r="X20" s="30">
        <f t="shared" ref="X20:X33" si="3">SUM(C20:W20)</f>
        <v>26</v>
      </c>
    </row>
    <row r="21" spans="1:24" x14ac:dyDescent="0.4">
      <c r="A21" s="30" t="str">
        <f t="shared" ref="A21:A33" si="4">A4</f>
        <v>CANVASBACK</v>
      </c>
      <c r="R21" s="60">
        <v>1</v>
      </c>
      <c r="X21" s="30">
        <f t="shared" si="3"/>
        <v>1</v>
      </c>
    </row>
    <row r="22" spans="1:24" x14ac:dyDescent="0.4">
      <c r="A22" s="30" t="str">
        <f t="shared" si="4"/>
        <v>GADWALL</v>
      </c>
      <c r="G22" s="60">
        <v>1</v>
      </c>
      <c r="H22" s="60">
        <v>4</v>
      </c>
      <c r="I22" s="60">
        <v>3</v>
      </c>
      <c r="L22" s="60">
        <v>2</v>
      </c>
      <c r="M22" s="60">
        <v>1</v>
      </c>
      <c r="R22" s="60">
        <v>3</v>
      </c>
      <c r="S22" s="60">
        <v>1</v>
      </c>
      <c r="W22" s="60">
        <v>4</v>
      </c>
      <c r="X22" s="30">
        <f t="shared" si="3"/>
        <v>19</v>
      </c>
    </row>
    <row r="23" spans="1:24" x14ac:dyDescent="0.4">
      <c r="A23" s="30" t="str">
        <f t="shared" si="4"/>
        <v>GEESE</v>
      </c>
      <c r="H23" s="60">
        <v>5</v>
      </c>
      <c r="I23" s="60">
        <v>1</v>
      </c>
      <c r="S23" s="60">
        <v>1</v>
      </c>
      <c r="W23" s="60">
        <v>1</v>
      </c>
      <c r="X23" s="30">
        <f t="shared" si="3"/>
        <v>8</v>
      </c>
    </row>
    <row r="24" spans="1:24" x14ac:dyDescent="0.4">
      <c r="A24" s="30" t="str">
        <f t="shared" si="4"/>
        <v>MALLARD</v>
      </c>
      <c r="F24" s="60">
        <v>2</v>
      </c>
      <c r="G24" s="60">
        <v>1</v>
      </c>
      <c r="H24" s="60">
        <v>1</v>
      </c>
      <c r="L24" s="60">
        <v>3</v>
      </c>
      <c r="R24" s="60">
        <v>2</v>
      </c>
      <c r="S24" s="60">
        <v>1</v>
      </c>
      <c r="X24" s="30">
        <f t="shared" si="3"/>
        <v>10</v>
      </c>
    </row>
    <row r="25" spans="1:24" x14ac:dyDescent="0.4">
      <c r="A25" s="30" t="str">
        <f t="shared" si="4"/>
        <v>PINTAIL</v>
      </c>
      <c r="F25" s="60">
        <v>7</v>
      </c>
      <c r="G25" s="60">
        <v>4</v>
      </c>
      <c r="H25" s="60">
        <v>18</v>
      </c>
      <c r="I25" s="60">
        <v>2</v>
      </c>
      <c r="L25" s="60">
        <v>13</v>
      </c>
      <c r="N25" s="60">
        <v>1</v>
      </c>
      <c r="R25" s="60">
        <v>10</v>
      </c>
      <c r="S25" s="60">
        <v>9</v>
      </c>
      <c r="W25" s="60">
        <v>8</v>
      </c>
      <c r="X25" s="30">
        <f t="shared" si="3"/>
        <v>72</v>
      </c>
    </row>
    <row r="26" spans="1:24" x14ac:dyDescent="0.4">
      <c r="A26" s="30" t="str">
        <f t="shared" si="4"/>
        <v>REDHEAD</v>
      </c>
      <c r="X26" s="30">
        <f t="shared" si="3"/>
        <v>0</v>
      </c>
    </row>
    <row r="27" spans="1:24" x14ac:dyDescent="0.4">
      <c r="A27" s="30" t="str">
        <f t="shared" si="4"/>
        <v>RINGNECK</v>
      </c>
      <c r="X27" s="30">
        <f t="shared" si="3"/>
        <v>0</v>
      </c>
    </row>
    <row r="28" spans="1:24" x14ac:dyDescent="0.4">
      <c r="A28" s="30" t="str">
        <f t="shared" si="4"/>
        <v>B'HEAD</v>
      </c>
      <c r="F28" s="60">
        <v>1</v>
      </c>
      <c r="H28" s="60">
        <v>1</v>
      </c>
      <c r="I28" s="60">
        <v>2</v>
      </c>
      <c r="X28" s="30">
        <f t="shared" si="3"/>
        <v>4</v>
      </c>
    </row>
    <row r="29" spans="1:24" x14ac:dyDescent="0.4">
      <c r="A29" s="30" t="str">
        <f t="shared" si="4"/>
        <v>SPOONY</v>
      </c>
      <c r="C29" s="60">
        <v>3</v>
      </c>
      <c r="F29" s="60">
        <v>3</v>
      </c>
      <c r="G29" s="60">
        <v>6</v>
      </c>
      <c r="H29" s="60">
        <v>21</v>
      </c>
      <c r="I29" s="60">
        <v>22</v>
      </c>
      <c r="L29" s="60">
        <v>1</v>
      </c>
      <c r="N29" s="60">
        <v>1</v>
      </c>
      <c r="P29" s="60">
        <v>5</v>
      </c>
      <c r="R29" s="60">
        <v>50</v>
      </c>
      <c r="S29" s="60">
        <v>9</v>
      </c>
      <c r="V29" s="60">
        <v>1</v>
      </c>
      <c r="W29" s="60">
        <v>7</v>
      </c>
      <c r="X29" s="30">
        <f t="shared" si="3"/>
        <v>129</v>
      </c>
    </row>
    <row r="30" spans="1:24" x14ac:dyDescent="0.4">
      <c r="A30" s="30" t="str">
        <f t="shared" si="4"/>
        <v>TEAL</v>
      </c>
      <c r="C30" s="60">
        <v>4</v>
      </c>
      <c r="F30" s="60">
        <v>11</v>
      </c>
      <c r="G30" s="60">
        <v>25</v>
      </c>
      <c r="H30" s="60">
        <v>31</v>
      </c>
      <c r="I30" s="60">
        <v>34</v>
      </c>
      <c r="L30" s="60">
        <v>22</v>
      </c>
      <c r="P30" s="60">
        <v>3</v>
      </c>
      <c r="R30" s="60">
        <v>16</v>
      </c>
      <c r="S30" s="60">
        <v>7</v>
      </c>
      <c r="V30" s="60">
        <v>4</v>
      </c>
      <c r="W30" s="60">
        <v>15</v>
      </c>
      <c r="X30" s="30">
        <f t="shared" si="3"/>
        <v>172</v>
      </c>
    </row>
    <row r="31" spans="1:24" x14ac:dyDescent="0.4">
      <c r="A31" s="30" t="str">
        <f t="shared" si="4"/>
        <v>WIDGEON</v>
      </c>
      <c r="F31" s="60">
        <v>4</v>
      </c>
      <c r="G31" s="60">
        <v>5</v>
      </c>
      <c r="H31" s="60">
        <v>4</v>
      </c>
      <c r="I31" s="60">
        <v>1</v>
      </c>
      <c r="L31" s="60">
        <v>6</v>
      </c>
      <c r="P31" s="60">
        <v>1</v>
      </c>
      <c r="Q31" s="60">
        <v>1</v>
      </c>
      <c r="R31" s="60">
        <v>10</v>
      </c>
      <c r="S31" s="60">
        <v>2</v>
      </c>
      <c r="W31" s="60">
        <v>8</v>
      </c>
      <c r="X31" s="30">
        <f t="shared" si="3"/>
        <v>42</v>
      </c>
    </row>
    <row r="32" spans="1:24" x14ac:dyDescent="0.4">
      <c r="A32" s="30" t="str">
        <f t="shared" si="4"/>
        <v>MISC-FULVOUS TD</v>
      </c>
      <c r="L32" s="60">
        <v>1</v>
      </c>
      <c r="R32" s="60">
        <v>1</v>
      </c>
      <c r="X32" s="30">
        <f t="shared" si="3"/>
        <v>2</v>
      </c>
    </row>
    <row r="33" spans="1:26" ht="13" thickBot="1" x14ac:dyDescent="0.45">
      <c r="A33" s="30" t="str">
        <f t="shared" si="4"/>
        <v>OTHER</v>
      </c>
      <c r="C33" s="62"/>
      <c r="D33" s="62"/>
      <c r="E33" s="62"/>
      <c r="F33" s="62"/>
      <c r="G33" s="62"/>
      <c r="H33" s="62"/>
      <c r="I33" s="62"/>
      <c r="J33" s="62"/>
      <c r="K33" s="62"/>
      <c r="L33" s="62"/>
      <c r="M33" s="62"/>
      <c r="N33" s="62"/>
      <c r="O33" s="62"/>
      <c r="P33" s="62"/>
      <c r="Q33" s="62"/>
      <c r="R33" s="62"/>
      <c r="S33" s="62"/>
      <c r="T33" s="62"/>
      <c r="U33" s="62"/>
      <c r="V33" s="62"/>
      <c r="W33" s="62"/>
      <c r="X33" s="63">
        <f t="shared" si="3"/>
        <v>0</v>
      </c>
    </row>
    <row r="34" spans="1:26" x14ac:dyDescent="0.4">
      <c r="A34" s="30" t="s">
        <v>25</v>
      </c>
      <c r="C34" s="60">
        <f>0+SUM(C20:C33)</f>
        <v>7</v>
      </c>
      <c r="D34" s="60">
        <f t="shared" ref="D34:U34" si="5">0+SUM(D20:D33)</f>
        <v>0</v>
      </c>
      <c r="E34" s="60">
        <f t="shared" si="5"/>
        <v>0</v>
      </c>
      <c r="F34" s="60">
        <f t="shared" si="5"/>
        <v>28</v>
      </c>
      <c r="G34" s="60">
        <f t="shared" si="5"/>
        <v>42</v>
      </c>
      <c r="H34" s="60">
        <f t="shared" si="5"/>
        <v>85</v>
      </c>
      <c r="I34" s="60">
        <f t="shared" si="5"/>
        <v>66</v>
      </c>
      <c r="J34" s="60">
        <f t="shared" si="5"/>
        <v>0</v>
      </c>
      <c r="K34" s="60">
        <f t="shared" si="5"/>
        <v>0</v>
      </c>
      <c r="L34" s="60">
        <f t="shared" si="5"/>
        <v>49</v>
      </c>
      <c r="M34" s="60">
        <f t="shared" si="5"/>
        <v>1</v>
      </c>
      <c r="N34" s="60">
        <f t="shared" si="5"/>
        <v>2</v>
      </c>
      <c r="O34" s="60">
        <f t="shared" si="5"/>
        <v>0</v>
      </c>
      <c r="P34" s="60">
        <f t="shared" si="5"/>
        <v>9</v>
      </c>
      <c r="Q34" s="60">
        <f t="shared" si="5"/>
        <v>1</v>
      </c>
      <c r="R34" s="60">
        <f t="shared" si="5"/>
        <v>101</v>
      </c>
      <c r="S34" s="60">
        <f t="shared" si="5"/>
        <v>46</v>
      </c>
      <c r="T34" s="60">
        <f t="shared" si="5"/>
        <v>0</v>
      </c>
      <c r="U34" s="60">
        <f t="shared" si="5"/>
        <v>0</v>
      </c>
      <c r="V34" s="60">
        <f>0+SUM(V20:V33)</f>
        <v>5</v>
      </c>
      <c r="W34" s="60">
        <f>0+SUM(W20:W33)</f>
        <v>43</v>
      </c>
      <c r="X34" s="30">
        <f>SUM(X20:X33)</f>
        <v>485</v>
      </c>
    </row>
    <row r="35" spans="1:26" ht="13" thickBot="1" x14ac:dyDescent="0.45"/>
    <row r="36" spans="1:26"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15"/>
      <c r="Y36" s="20" t="s">
        <v>60</v>
      </c>
      <c r="Z36" s="21" t="s">
        <v>57</v>
      </c>
    </row>
    <row r="37" spans="1:26"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15" t="s">
        <v>2</v>
      </c>
      <c r="Y37" s="26" t="s">
        <v>61</v>
      </c>
      <c r="Z37" s="27" t="s">
        <v>59</v>
      </c>
    </row>
    <row r="38" spans="1:26" x14ac:dyDescent="0.4">
      <c r="A38" s="30" t="str">
        <f>A20</f>
        <v>RUDDY</v>
      </c>
      <c r="C38" s="60">
        <f t="shared" ref="C38:W50" si="7">C3+C20</f>
        <v>0</v>
      </c>
      <c r="D38" s="60">
        <f t="shared" si="7"/>
        <v>0</v>
      </c>
      <c r="E38" s="60">
        <f t="shared" si="7"/>
        <v>0</v>
      </c>
      <c r="F38" s="60">
        <f t="shared" si="7"/>
        <v>0</v>
      </c>
      <c r="G38" s="60">
        <f t="shared" si="7"/>
        <v>0</v>
      </c>
      <c r="H38" s="60">
        <f t="shared" si="7"/>
        <v>0</v>
      </c>
      <c r="I38" s="60">
        <f t="shared" si="7"/>
        <v>1</v>
      </c>
      <c r="J38" s="60">
        <f t="shared" si="7"/>
        <v>0</v>
      </c>
      <c r="K38" s="60">
        <f t="shared" si="7"/>
        <v>0</v>
      </c>
      <c r="L38" s="60">
        <f t="shared" si="7"/>
        <v>1</v>
      </c>
      <c r="M38" s="60">
        <f t="shared" si="7"/>
        <v>0</v>
      </c>
      <c r="N38" s="60">
        <f t="shared" si="7"/>
        <v>0</v>
      </c>
      <c r="O38" s="60">
        <f t="shared" si="7"/>
        <v>0</v>
      </c>
      <c r="P38" s="60">
        <f t="shared" si="7"/>
        <v>0</v>
      </c>
      <c r="Q38" s="60">
        <f t="shared" si="7"/>
        <v>0</v>
      </c>
      <c r="R38" s="60">
        <f t="shared" si="7"/>
        <v>12</v>
      </c>
      <c r="S38" s="60">
        <f t="shared" si="7"/>
        <v>22</v>
      </c>
      <c r="T38" s="60">
        <f t="shared" si="7"/>
        <v>0</v>
      </c>
      <c r="U38" s="60">
        <f t="shared" si="7"/>
        <v>0</v>
      </c>
      <c r="V38" s="60">
        <f t="shared" si="7"/>
        <v>0</v>
      </c>
      <c r="W38" s="60">
        <f t="shared" si="7"/>
        <v>1</v>
      </c>
      <c r="X38" s="30">
        <f>SUM(C38:W38)</f>
        <v>37</v>
      </c>
      <c r="Y38" s="66">
        <f>X38/$X$52</f>
        <v>4.5343137254901959E-2</v>
      </c>
      <c r="Z38" s="67">
        <f>0/10068</f>
        <v>0</v>
      </c>
    </row>
    <row r="39" spans="1:26" x14ac:dyDescent="0.4">
      <c r="A39" s="30" t="str">
        <f t="shared" ref="A39:A50" si="8">A21</f>
        <v>CANVASBACK</v>
      </c>
      <c r="C39" s="60">
        <f t="shared" si="7"/>
        <v>0</v>
      </c>
      <c r="D39" s="60">
        <f t="shared" si="7"/>
        <v>0</v>
      </c>
      <c r="E39" s="60">
        <f t="shared" si="7"/>
        <v>0</v>
      </c>
      <c r="F39" s="60">
        <f t="shared" si="7"/>
        <v>0</v>
      </c>
      <c r="G39" s="60">
        <f t="shared" si="7"/>
        <v>0</v>
      </c>
      <c r="H39" s="60">
        <f t="shared" si="7"/>
        <v>1</v>
      </c>
      <c r="I39" s="60">
        <f t="shared" si="7"/>
        <v>0</v>
      </c>
      <c r="J39" s="60">
        <f t="shared" si="7"/>
        <v>0</v>
      </c>
      <c r="K39" s="60">
        <f t="shared" si="7"/>
        <v>0</v>
      </c>
      <c r="L39" s="60">
        <f t="shared" si="7"/>
        <v>0</v>
      </c>
      <c r="M39" s="60">
        <f t="shared" si="7"/>
        <v>0</v>
      </c>
      <c r="N39" s="60">
        <f t="shared" si="7"/>
        <v>0</v>
      </c>
      <c r="O39" s="60">
        <f t="shared" si="7"/>
        <v>0</v>
      </c>
      <c r="P39" s="60">
        <f t="shared" si="7"/>
        <v>0</v>
      </c>
      <c r="Q39" s="60">
        <f t="shared" si="7"/>
        <v>0</v>
      </c>
      <c r="R39" s="60">
        <f t="shared" si="7"/>
        <v>4</v>
      </c>
      <c r="S39" s="60">
        <f t="shared" si="7"/>
        <v>0</v>
      </c>
      <c r="T39" s="60">
        <f t="shared" si="7"/>
        <v>0</v>
      </c>
      <c r="U39" s="60">
        <f t="shared" si="7"/>
        <v>0</v>
      </c>
      <c r="V39" s="60">
        <f t="shared" si="7"/>
        <v>0</v>
      </c>
      <c r="W39" s="60">
        <f t="shared" si="7"/>
        <v>1</v>
      </c>
      <c r="X39" s="30">
        <f t="shared" ref="X39:X51" si="9">SUM(C39:W39)</f>
        <v>6</v>
      </c>
      <c r="Y39" s="66">
        <f t="shared" ref="Y39:Y51" si="10">X39/$X$52</f>
        <v>7.3529411764705881E-3</v>
      </c>
      <c r="Z39" s="67">
        <v>0</v>
      </c>
    </row>
    <row r="40" spans="1:26" x14ac:dyDescent="0.4">
      <c r="A40" s="30" t="str">
        <f t="shared" si="8"/>
        <v>GADWALL</v>
      </c>
      <c r="C40" s="60">
        <f t="shared" si="7"/>
        <v>0</v>
      </c>
      <c r="D40" s="60">
        <f t="shared" si="7"/>
        <v>0</v>
      </c>
      <c r="E40" s="60">
        <f t="shared" si="7"/>
        <v>0</v>
      </c>
      <c r="F40" s="60">
        <f t="shared" si="7"/>
        <v>1</v>
      </c>
      <c r="G40" s="60">
        <f t="shared" si="7"/>
        <v>2</v>
      </c>
      <c r="H40" s="60">
        <f t="shared" si="7"/>
        <v>5</v>
      </c>
      <c r="I40" s="60">
        <f t="shared" si="7"/>
        <v>6</v>
      </c>
      <c r="J40" s="60">
        <f t="shared" si="7"/>
        <v>0</v>
      </c>
      <c r="K40" s="60">
        <f t="shared" si="7"/>
        <v>0</v>
      </c>
      <c r="L40" s="60">
        <f t="shared" si="7"/>
        <v>4</v>
      </c>
      <c r="M40" s="60">
        <f t="shared" si="7"/>
        <v>1</v>
      </c>
      <c r="N40" s="60">
        <f t="shared" si="7"/>
        <v>0</v>
      </c>
      <c r="O40" s="60">
        <f t="shared" si="7"/>
        <v>0</v>
      </c>
      <c r="P40" s="60">
        <f t="shared" si="7"/>
        <v>0</v>
      </c>
      <c r="Q40" s="60">
        <f t="shared" si="7"/>
        <v>0</v>
      </c>
      <c r="R40" s="60">
        <f t="shared" si="7"/>
        <v>5</v>
      </c>
      <c r="S40" s="60">
        <f t="shared" si="7"/>
        <v>2</v>
      </c>
      <c r="T40" s="60">
        <f t="shared" si="7"/>
        <v>0</v>
      </c>
      <c r="U40" s="60">
        <f t="shared" si="7"/>
        <v>0</v>
      </c>
      <c r="V40" s="60">
        <f t="shared" si="7"/>
        <v>0</v>
      </c>
      <c r="W40" s="60">
        <f t="shared" si="7"/>
        <v>4</v>
      </c>
      <c r="X40" s="30">
        <f t="shared" si="9"/>
        <v>30</v>
      </c>
      <c r="Y40" s="66">
        <f t="shared" si="10"/>
        <v>3.6764705882352942E-2</v>
      </c>
      <c r="Z40" s="67">
        <v>0</v>
      </c>
    </row>
    <row r="41" spans="1:26" x14ac:dyDescent="0.4">
      <c r="A41" s="30" t="str">
        <f t="shared" si="8"/>
        <v>GEESE</v>
      </c>
      <c r="C41" s="60">
        <f t="shared" si="7"/>
        <v>0</v>
      </c>
      <c r="D41" s="60">
        <f t="shared" si="7"/>
        <v>0</v>
      </c>
      <c r="E41" s="60">
        <f t="shared" si="7"/>
        <v>0</v>
      </c>
      <c r="F41" s="60">
        <f t="shared" si="7"/>
        <v>0</v>
      </c>
      <c r="G41" s="60">
        <f t="shared" si="7"/>
        <v>0</v>
      </c>
      <c r="H41" s="60">
        <f t="shared" si="7"/>
        <v>6</v>
      </c>
      <c r="I41" s="60">
        <f t="shared" si="7"/>
        <v>1</v>
      </c>
      <c r="J41" s="60">
        <f t="shared" si="7"/>
        <v>0</v>
      </c>
      <c r="K41" s="60">
        <f t="shared" si="7"/>
        <v>0</v>
      </c>
      <c r="L41" s="60">
        <f t="shared" si="7"/>
        <v>0</v>
      </c>
      <c r="M41" s="60">
        <f t="shared" si="7"/>
        <v>0</v>
      </c>
      <c r="N41" s="60">
        <f t="shared" si="7"/>
        <v>0</v>
      </c>
      <c r="O41" s="60">
        <f t="shared" si="7"/>
        <v>0</v>
      </c>
      <c r="P41" s="60">
        <f t="shared" si="7"/>
        <v>0</v>
      </c>
      <c r="Q41" s="60">
        <f t="shared" si="7"/>
        <v>0</v>
      </c>
      <c r="R41" s="60">
        <f t="shared" si="7"/>
        <v>2</v>
      </c>
      <c r="S41" s="60">
        <f t="shared" si="7"/>
        <v>1</v>
      </c>
      <c r="T41" s="60">
        <f t="shared" si="7"/>
        <v>0</v>
      </c>
      <c r="U41" s="60">
        <f t="shared" si="7"/>
        <v>0</v>
      </c>
      <c r="V41" s="60">
        <f t="shared" si="7"/>
        <v>0</v>
      </c>
      <c r="W41" s="60">
        <f t="shared" si="7"/>
        <v>1</v>
      </c>
      <c r="X41" s="30">
        <f t="shared" si="9"/>
        <v>11</v>
      </c>
      <c r="Y41" s="66">
        <f t="shared" si="10"/>
        <v>1.3480392156862746E-2</v>
      </c>
      <c r="Z41" s="67">
        <v>0</v>
      </c>
    </row>
    <row r="42" spans="1:26" x14ac:dyDescent="0.4">
      <c r="A42" s="30" t="str">
        <f t="shared" si="8"/>
        <v>MALLARD</v>
      </c>
      <c r="C42" s="60">
        <f t="shared" si="7"/>
        <v>1</v>
      </c>
      <c r="D42" s="60">
        <f t="shared" si="7"/>
        <v>0</v>
      </c>
      <c r="E42" s="60">
        <f t="shared" si="7"/>
        <v>0</v>
      </c>
      <c r="F42" s="60">
        <f t="shared" si="7"/>
        <v>3</v>
      </c>
      <c r="G42" s="60">
        <f t="shared" si="7"/>
        <v>2</v>
      </c>
      <c r="H42" s="60">
        <f t="shared" si="7"/>
        <v>2</v>
      </c>
      <c r="I42" s="60">
        <f t="shared" si="7"/>
        <v>0</v>
      </c>
      <c r="J42" s="60">
        <f t="shared" si="7"/>
        <v>0</v>
      </c>
      <c r="K42" s="60">
        <f t="shared" si="7"/>
        <v>0</v>
      </c>
      <c r="L42" s="60">
        <f t="shared" si="7"/>
        <v>3</v>
      </c>
      <c r="M42" s="60">
        <f t="shared" si="7"/>
        <v>0</v>
      </c>
      <c r="N42" s="60">
        <f t="shared" si="7"/>
        <v>0</v>
      </c>
      <c r="O42" s="60">
        <f t="shared" si="7"/>
        <v>0</v>
      </c>
      <c r="P42" s="60">
        <f t="shared" si="7"/>
        <v>1</v>
      </c>
      <c r="Q42" s="60">
        <f t="shared" si="7"/>
        <v>0</v>
      </c>
      <c r="R42" s="60">
        <f t="shared" si="7"/>
        <v>2</v>
      </c>
      <c r="S42" s="60">
        <f t="shared" si="7"/>
        <v>1</v>
      </c>
      <c r="T42" s="60">
        <f t="shared" si="7"/>
        <v>0</v>
      </c>
      <c r="U42" s="60">
        <f t="shared" si="7"/>
        <v>0</v>
      </c>
      <c r="V42" s="60">
        <f t="shared" si="7"/>
        <v>1</v>
      </c>
      <c r="W42" s="60">
        <f t="shared" si="7"/>
        <v>3</v>
      </c>
      <c r="X42" s="30">
        <f t="shared" si="9"/>
        <v>19</v>
      </c>
      <c r="Y42" s="66">
        <f t="shared" si="10"/>
        <v>2.3284313725490197E-2</v>
      </c>
      <c r="Z42" s="67">
        <v>0</v>
      </c>
    </row>
    <row r="43" spans="1:26" x14ac:dyDescent="0.4">
      <c r="A43" s="30" t="str">
        <f t="shared" si="8"/>
        <v>PINTAIL</v>
      </c>
      <c r="C43" s="60">
        <f t="shared" si="7"/>
        <v>0</v>
      </c>
      <c r="D43" s="60">
        <f t="shared" si="7"/>
        <v>1</v>
      </c>
      <c r="E43" s="60">
        <f t="shared" si="7"/>
        <v>0</v>
      </c>
      <c r="F43" s="60">
        <f t="shared" si="7"/>
        <v>9</v>
      </c>
      <c r="G43" s="60">
        <f t="shared" si="7"/>
        <v>7</v>
      </c>
      <c r="H43" s="60">
        <f t="shared" si="7"/>
        <v>22</v>
      </c>
      <c r="I43" s="60">
        <f t="shared" si="7"/>
        <v>3</v>
      </c>
      <c r="J43" s="60">
        <f t="shared" si="7"/>
        <v>0</v>
      </c>
      <c r="K43" s="60">
        <f t="shared" si="7"/>
        <v>0</v>
      </c>
      <c r="L43" s="60">
        <f t="shared" si="7"/>
        <v>14</v>
      </c>
      <c r="M43" s="60">
        <f t="shared" si="7"/>
        <v>0</v>
      </c>
      <c r="N43" s="60">
        <f t="shared" si="7"/>
        <v>1</v>
      </c>
      <c r="O43" s="60">
        <f t="shared" si="7"/>
        <v>0</v>
      </c>
      <c r="P43" s="60">
        <f t="shared" si="7"/>
        <v>1</v>
      </c>
      <c r="Q43" s="60">
        <f t="shared" si="7"/>
        <v>0</v>
      </c>
      <c r="R43" s="60">
        <f t="shared" si="7"/>
        <v>11</v>
      </c>
      <c r="S43" s="60">
        <f t="shared" si="7"/>
        <v>10</v>
      </c>
      <c r="T43" s="60">
        <f t="shared" si="7"/>
        <v>0</v>
      </c>
      <c r="U43" s="60">
        <f t="shared" si="7"/>
        <v>0</v>
      </c>
      <c r="V43" s="60">
        <f t="shared" si="7"/>
        <v>0</v>
      </c>
      <c r="W43" s="60">
        <f t="shared" si="7"/>
        <v>13</v>
      </c>
      <c r="X43" s="30">
        <f t="shared" si="9"/>
        <v>92</v>
      </c>
      <c r="Y43" s="66">
        <f t="shared" si="10"/>
        <v>0.11274509803921569</v>
      </c>
      <c r="Z43" s="67">
        <v>0</v>
      </c>
    </row>
    <row r="44" spans="1:26" x14ac:dyDescent="0.4">
      <c r="A44" s="30" t="str">
        <f t="shared" si="8"/>
        <v>REDHEAD</v>
      </c>
      <c r="C44" s="60">
        <f t="shared" si="7"/>
        <v>0</v>
      </c>
      <c r="D44" s="60">
        <f t="shared" si="7"/>
        <v>0</v>
      </c>
      <c r="E44" s="60">
        <f t="shared" si="7"/>
        <v>0</v>
      </c>
      <c r="F44" s="60">
        <f t="shared" si="7"/>
        <v>0</v>
      </c>
      <c r="G44" s="60">
        <f t="shared" si="7"/>
        <v>0</v>
      </c>
      <c r="H44" s="60">
        <f t="shared" si="7"/>
        <v>1</v>
      </c>
      <c r="I44" s="60">
        <f t="shared" si="7"/>
        <v>0</v>
      </c>
      <c r="J44" s="60">
        <f t="shared" si="7"/>
        <v>0</v>
      </c>
      <c r="K44" s="60">
        <f t="shared" si="7"/>
        <v>0</v>
      </c>
      <c r="L44" s="60">
        <f t="shared" si="7"/>
        <v>0</v>
      </c>
      <c r="M44" s="60">
        <f t="shared" si="7"/>
        <v>0</v>
      </c>
      <c r="N44" s="60">
        <f t="shared" si="7"/>
        <v>0</v>
      </c>
      <c r="O44" s="60">
        <f t="shared" si="7"/>
        <v>0</v>
      </c>
      <c r="P44" s="60">
        <f t="shared" si="7"/>
        <v>0</v>
      </c>
      <c r="Q44" s="60">
        <f t="shared" si="7"/>
        <v>0</v>
      </c>
      <c r="R44" s="60">
        <f t="shared" si="7"/>
        <v>0</v>
      </c>
      <c r="S44" s="60">
        <f t="shared" si="7"/>
        <v>0</v>
      </c>
      <c r="T44" s="60">
        <f t="shared" si="7"/>
        <v>0</v>
      </c>
      <c r="U44" s="60">
        <f t="shared" si="7"/>
        <v>0</v>
      </c>
      <c r="V44" s="60">
        <f t="shared" si="7"/>
        <v>0</v>
      </c>
      <c r="W44" s="60">
        <f t="shared" si="7"/>
        <v>0</v>
      </c>
      <c r="X44" s="30">
        <f t="shared" si="9"/>
        <v>1</v>
      </c>
      <c r="Y44" s="66">
        <f t="shared" si="10"/>
        <v>1.2254901960784314E-3</v>
      </c>
      <c r="Z44" s="67">
        <v>0</v>
      </c>
    </row>
    <row r="45" spans="1:26" x14ac:dyDescent="0.4">
      <c r="A45" s="30" t="str">
        <f t="shared" si="8"/>
        <v>RINGNECK</v>
      </c>
      <c r="C45" s="60">
        <f t="shared" si="7"/>
        <v>0</v>
      </c>
      <c r="D45" s="60">
        <f t="shared" si="7"/>
        <v>0</v>
      </c>
      <c r="E45" s="60">
        <f t="shared" si="7"/>
        <v>0</v>
      </c>
      <c r="F45" s="60">
        <f t="shared" si="7"/>
        <v>0</v>
      </c>
      <c r="G45" s="60">
        <f t="shared" si="7"/>
        <v>0</v>
      </c>
      <c r="H45" s="60">
        <f t="shared" si="7"/>
        <v>1</v>
      </c>
      <c r="I45" s="60">
        <f t="shared" si="7"/>
        <v>0</v>
      </c>
      <c r="J45" s="60">
        <f t="shared" si="7"/>
        <v>0</v>
      </c>
      <c r="K45" s="60">
        <f t="shared" si="7"/>
        <v>0</v>
      </c>
      <c r="L45" s="60">
        <f t="shared" si="7"/>
        <v>1</v>
      </c>
      <c r="M45" s="60">
        <f t="shared" si="7"/>
        <v>0</v>
      </c>
      <c r="N45" s="60">
        <f t="shared" si="7"/>
        <v>0</v>
      </c>
      <c r="O45" s="60">
        <f t="shared" si="7"/>
        <v>0</v>
      </c>
      <c r="P45" s="60">
        <f t="shared" si="7"/>
        <v>0</v>
      </c>
      <c r="Q45" s="60">
        <f t="shared" si="7"/>
        <v>0</v>
      </c>
      <c r="R45" s="60">
        <f t="shared" si="7"/>
        <v>2</v>
      </c>
      <c r="S45" s="60">
        <f t="shared" si="7"/>
        <v>0</v>
      </c>
      <c r="T45" s="60">
        <f t="shared" si="7"/>
        <v>0</v>
      </c>
      <c r="U45" s="60">
        <f t="shared" si="7"/>
        <v>0</v>
      </c>
      <c r="V45" s="60">
        <f t="shared" si="7"/>
        <v>0</v>
      </c>
      <c r="W45" s="60">
        <f t="shared" si="7"/>
        <v>0</v>
      </c>
      <c r="X45" s="30">
        <f t="shared" si="9"/>
        <v>4</v>
      </c>
      <c r="Y45" s="66">
        <f t="shared" si="10"/>
        <v>4.9019607843137254E-3</v>
      </c>
      <c r="Z45" s="67">
        <v>0</v>
      </c>
    </row>
    <row r="46" spans="1:26" x14ac:dyDescent="0.4">
      <c r="A46" s="30" t="str">
        <f t="shared" si="8"/>
        <v>B'HEAD</v>
      </c>
      <c r="C46" s="60">
        <f t="shared" si="7"/>
        <v>0</v>
      </c>
      <c r="D46" s="60">
        <f t="shared" si="7"/>
        <v>0</v>
      </c>
      <c r="E46" s="60">
        <f t="shared" si="7"/>
        <v>0</v>
      </c>
      <c r="F46" s="60">
        <f t="shared" si="7"/>
        <v>1</v>
      </c>
      <c r="G46" s="60">
        <f t="shared" si="7"/>
        <v>0</v>
      </c>
      <c r="H46" s="60">
        <f t="shared" si="7"/>
        <v>1</v>
      </c>
      <c r="I46" s="60">
        <f t="shared" si="7"/>
        <v>2</v>
      </c>
      <c r="J46" s="60">
        <f t="shared" si="7"/>
        <v>0</v>
      </c>
      <c r="K46" s="60">
        <f t="shared" si="7"/>
        <v>0</v>
      </c>
      <c r="L46" s="60">
        <f t="shared" si="7"/>
        <v>0</v>
      </c>
      <c r="M46" s="60">
        <f t="shared" si="7"/>
        <v>0</v>
      </c>
      <c r="N46" s="60">
        <f t="shared" si="7"/>
        <v>0</v>
      </c>
      <c r="O46" s="60">
        <f t="shared" si="7"/>
        <v>0</v>
      </c>
      <c r="P46" s="60">
        <f t="shared" si="7"/>
        <v>0</v>
      </c>
      <c r="Q46" s="60">
        <f t="shared" si="7"/>
        <v>0</v>
      </c>
      <c r="R46" s="60">
        <f t="shared" si="7"/>
        <v>0</v>
      </c>
      <c r="S46" s="60">
        <f t="shared" si="7"/>
        <v>0</v>
      </c>
      <c r="T46" s="60">
        <f t="shared" si="7"/>
        <v>0</v>
      </c>
      <c r="U46" s="60">
        <f t="shared" si="7"/>
        <v>0</v>
      </c>
      <c r="V46" s="60">
        <f t="shared" si="7"/>
        <v>0</v>
      </c>
      <c r="W46" s="60">
        <f t="shared" si="7"/>
        <v>0</v>
      </c>
      <c r="X46" s="30">
        <f t="shared" si="9"/>
        <v>4</v>
      </c>
      <c r="Y46" s="66">
        <f t="shared" si="10"/>
        <v>4.9019607843137254E-3</v>
      </c>
      <c r="Z46" s="67">
        <v>0</v>
      </c>
    </row>
    <row r="47" spans="1:26" x14ac:dyDescent="0.4">
      <c r="A47" s="30" t="str">
        <f t="shared" si="8"/>
        <v>SPOONY</v>
      </c>
      <c r="C47" s="60">
        <f t="shared" si="7"/>
        <v>7</v>
      </c>
      <c r="D47" s="60">
        <f t="shared" si="7"/>
        <v>4</v>
      </c>
      <c r="E47" s="60">
        <f t="shared" si="7"/>
        <v>0</v>
      </c>
      <c r="F47" s="60">
        <f t="shared" si="7"/>
        <v>24</v>
      </c>
      <c r="G47" s="60">
        <f t="shared" si="7"/>
        <v>20</v>
      </c>
      <c r="H47" s="60">
        <f t="shared" si="7"/>
        <v>47</v>
      </c>
      <c r="I47" s="60">
        <f t="shared" si="7"/>
        <v>40</v>
      </c>
      <c r="J47" s="60">
        <f t="shared" si="7"/>
        <v>0</v>
      </c>
      <c r="K47" s="60">
        <f t="shared" si="7"/>
        <v>0</v>
      </c>
      <c r="L47" s="60">
        <f t="shared" si="7"/>
        <v>8</v>
      </c>
      <c r="M47" s="60">
        <f t="shared" si="7"/>
        <v>0</v>
      </c>
      <c r="N47" s="60">
        <f t="shared" si="7"/>
        <v>1</v>
      </c>
      <c r="O47" s="60">
        <f t="shared" si="7"/>
        <v>0</v>
      </c>
      <c r="P47" s="60">
        <f t="shared" si="7"/>
        <v>12</v>
      </c>
      <c r="Q47" s="60">
        <f t="shared" si="7"/>
        <v>0</v>
      </c>
      <c r="R47" s="60">
        <f t="shared" si="7"/>
        <v>65</v>
      </c>
      <c r="S47" s="60">
        <f t="shared" si="7"/>
        <v>18</v>
      </c>
      <c r="T47" s="60">
        <f t="shared" si="7"/>
        <v>2</v>
      </c>
      <c r="U47" s="60">
        <f t="shared" si="7"/>
        <v>0</v>
      </c>
      <c r="V47" s="60">
        <f t="shared" si="7"/>
        <v>5</v>
      </c>
      <c r="W47" s="60">
        <f t="shared" si="7"/>
        <v>29</v>
      </c>
      <c r="X47" s="30">
        <f t="shared" si="9"/>
        <v>282</v>
      </c>
      <c r="Y47" s="66">
        <f t="shared" si="10"/>
        <v>0.34558823529411764</v>
      </c>
      <c r="Z47" s="67">
        <v>0</v>
      </c>
    </row>
    <row r="48" spans="1:26" x14ac:dyDescent="0.4">
      <c r="A48" s="30" t="str">
        <f t="shared" si="8"/>
        <v>TEAL</v>
      </c>
      <c r="C48" s="60">
        <f t="shared" si="7"/>
        <v>12</v>
      </c>
      <c r="D48" s="60">
        <f t="shared" si="7"/>
        <v>9</v>
      </c>
      <c r="E48" s="60">
        <f t="shared" si="7"/>
        <v>0</v>
      </c>
      <c r="F48" s="60">
        <f t="shared" si="7"/>
        <v>17</v>
      </c>
      <c r="G48" s="60">
        <f t="shared" si="7"/>
        <v>32</v>
      </c>
      <c r="H48" s="60">
        <f t="shared" si="7"/>
        <v>57</v>
      </c>
      <c r="I48" s="60">
        <f t="shared" si="7"/>
        <v>49</v>
      </c>
      <c r="J48" s="60">
        <f t="shared" si="7"/>
        <v>0</v>
      </c>
      <c r="K48" s="60">
        <f t="shared" si="7"/>
        <v>0</v>
      </c>
      <c r="L48" s="60">
        <f t="shared" si="7"/>
        <v>28</v>
      </c>
      <c r="M48" s="60">
        <f t="shared" si="7"/>
        <v>0</v>
      </c>
      <c r="N48" s="60">
        <f t="shared" si="7"/>
        <v>0</v>
      </c>
      <c r="O48" s="60">
        <f t="shared" si="7"/>
        <v>0</v>
      </c>
      <c r="P48" s="60">
        <f t="shared" si="7"/>
        <v>7</v>
      </c>
      <c r="Q48" s="60">
        <f t="shared" si="7"/>
        <v>0</v>
      </c>
      <c r="R48" s="60">
        <f t="shared" si="7"/>
        <v>20</v>
      </c>
      <c r="S48" s="60">
        <f t="shared" si="7"/>
        <v>12</v>
      </c>
      <c r="T48" s="60">
        <f t="shared" si="7"/>
        <v>0</v>
      </c>
      <c r="U48" s="60">
        <f t="shared" si="7"/>
        <v>0</v>
      </c>
      <c r="V48" s="60">
        <f t="shared" si="7"/>
        <v>6</v>
      </c>
      <c r="W48" s="60">
        <f t="shared" si="7"/>
        <v>30</v>
      </c>
      <c r="X48" s="30">
        <f t="shared" si="9"/>
        <v>279</v>
      </c>
      <c r="Y48" s="66">
        <f t="shared" si="10"/>
        <v>0.34191176470588236</v>
      </c>
      <c r="Z48" s="67">
        <v>0</v>
      </c>
    </row>
    <row r="49" spans="1:26" x14ac:dyDescent="0.4">
      <c r="A49" s="30" t="str">
        <f t="shared" si="8"/>
        <v>WIDGEON</v>
      </c>
      <c r="C49" s="60">
        <f t="shared" si="7"/>
        <v>0</v>
      </c>
      <c r="D49" s="60">
        <f t="shared" si="7"/>
        <v>0</v>
      </c>
      <c r="E49" s="60">
        <f t="shared" si="7"/>
        <v>0</v>
      </c>
      <c r="F49" s="60">
        <f t="shared" si="7"/>
        <v>4</v>
      </c>
      <c r="G49" s="60">
        <f t="shared" si="7"/>
        <v>5</v>
      </c>
      <c r="H49" s="60">
        <f t="shared" si="7"/>
        <v>4</v>
      </c>
      <c r="I49" s="60">
        <f t="shared" si="7"/>
        <v>1</v>
      </c>
      <c r="J49" s="60">
        <f t="shared" si="7"/>
        <v>0</v>
      </c>
      <c r="K49" s="60">
        <f t="shared" si="7"/>
        <v>0</v>
      </c>
      <c r="L49" s="60">
        <f t="shared" si="7"/>
        <v>7</v>
      </c>
      <c r="M49" s="60">
        <f t="shared" si="7"/>
        <v>0</v>
      </c>
      <c r="N49" s="60">
        <f t="shared" si="7"/>
        <v>0</v>
      </c>
      <c r="O49" s="60">
        <f t="shared" si="7"/>
        <v>0</v>
      </c>
      <c r="P49" s="60">
        <f t="shared" si="7"/>
        <v>1</v>
      </c>
      <c r="Q49" s="60">
        <f t="shared" si="7"/>
        <v>1</v>
      </c>
      <c r="R49" s="60">
        <f t="shared" si="7"/>
        <v>13</v>
      </c>
      <c r="S49" s="60">
        <f t="shared" si="7"/>
        <v>2</v>
      </c>
      <c r="T49" s="60">
        <f t="shared" si="7"/>
        <v>0</v>
      </c>
      <c r="U49" s="60">
        <f t="shared" si="7"/>
        <v>0</v>
      </c>
      <c r="V49" s="60">
        <f t="shared" si="7"/>
        <v>0</v>
      </c>
      <c r="W49" s="60">
        <f t="shared" si="7"/>
        <v>9</v>
      </c>
      <c r="X49" s="30">
        <f t="shared" si="9"/>
        <v>47</v>
      </c>
      <c r="Y49" s="66">
        <f t="shared" si="10"/>
        <v>5.7598039215686271E-2</v>
      </c>
      <c r="Z49" s="67">
        <v>0</v>
      </c>
    </row>
    <row r="50" spans="1:26" x14ac:dyDescent="0.4">
      <c r="A50" s="30" t="str">
        <f t="shared" si="8"/>
        <v>MISC-FULVOUS TD</v>
      </c>
      <c r="C50" s="60">
        <f t="shared" si="7"/>
        <v>0</v>
      </c>
      <c r="D50" s="60">
        <f t="shared" si="7"/>
        <v>0</v>
      </c>
      <c r="E50" s="60">
        <f t="shared" si="7"/>
        <v>0</v>
      </c>
      <c r="F50" s="60">
        <f t="shared" ref="C50:W51" si="11">F15+F32</f>
        <v>0</v>
      </c>
      <c r="G50" s="60">
        <f t="shared" si="11"/>
        <v>0</v>
      </c>
      <c r="H50" s="60">
        <f t="shared" si="11"/>
        <v>0</v>
      </c>
      <c r="I50" s="60">
        <f t="shared" si="11"/>
        <v>1</v>
      </c>
      <c r="J50" s="60">
        <f t="shared" si="11"/>
        <v>0</v>
      </c>
      <c r="K50" s="60">
        <f t="shared" si="11"/>
        <v>0</v>
      </c>
      <c r="L50" s="60">
        <f t="shared" si="11"/>
        <v>1</v>
      </c>
      <c r="M50" s="60">
        <f t="shared" si="11"/>
        <v>0</v>
      </c>
      <c r="N50" s="60">
        <f t="shared" si="11"/>
        <v>0</v>
      </c>
      <c r="O50" s="60">
        <f t="shared" si="11"/>
        <v>0</v>
      </c>
      <c r="P50" s="60">
        <f t="shared" si="11"/>
        <v>0</v>
      </c>
      <c r="Q50" s="60">
        <f t="shared" si="11"/>
        <v>0</v>
      </c>
      <c r="R50" s="60">
        <f t="shared" si="11"/>
        <v>1</v>
      </c>
      <c r="S50" s="60">
        <f t="shared" si="11"/>
        <v>0</v>
      </c>
      <c r="T50" s="60">
        <f t="shared" si="11"/>
        <v>0</v>
      </c>
      <c r="U50" s="60">
        <f t="shared" si="11"/>
        <v>0</v>
      </c>
      <c r="V50" s="60">
        <f t="shared" si="11"/>
        <v>0</v>
      </c>
      <c r="W50" s="60">
        <f t="shared" si="11"/>
        <v>1</v>
      </c>
      <c r="X50" s="30">
        <f t="shared" si="9"/>
        <v>4</v>
      </c>
      <c r="Y50" s="66">
        <f t="shared" si="10"/>
        <v>4.9019607843137254E-3</v>
      </c>
      <c r="Z50" s="67">
        <v>0</v>
      </c>
    </row>
    <row r="51" spans="1:26" ht="13" thickBot="1" x14ac:dyDescent="0.45">
      <c r="A51" s="30" t="s">
        <v>58</v>
      </c>
      <c r="C51" s="62">
        <f t="shared" si="11"/>
        <v>0</v>
      </c>
      <c r="D51" s="62">
        <f t="shared" si="11"/>
        <v>0</v>
      </c>
      <c r="E51" s="62">
        <f t="shared" si="11"/>
        <v>0</v>
      </c>
      <c r="F51" s="62">
        <f t="shared" si="11"/>
        <v>0</v>
      </c>
      <c r="G51" s="62">
        <f t="shared" si="11"/>
        <v>0</v>
      </c>
      <c r="H51" s="62">
        <f t="shared" si="11"/>
        <v>0</v>
      </c>
      <c r="I51" s="62">
        <f t="shared" si="11"/>
        <v>0</v>
      </c>
      <c r="J51" s="62">
        <f t="shared" si="11"/>
        <v>0</v>
      </c>
      <c r="K51" s="62">
        <f t="shared" si="11"/>
        <v>0</v>
      </c>
      <c r="L51" s="62">
        <f t="shared" si="11"/>
        <v>0</v>
      </c>
      <c r="M51" s="62">
        <f t="shared" si="11"/>
        <v>0</v>
      </c>
      <c r="N51" s="62">
        <f t="shared" si="11"/>
        <v>0</v>
      </c>
      <c r="O51" s="62">
        <f t="shared" si="11"/>
        <v>0</v>
      </c>
      <c r="P51" s="62">
        <f t="shared" si="11"/>
        <v>0</v>
      </c>
      <c r="Q51" s="62">
        <f t="shared" si="11"/>
        <v>0</v>
      </c>
      <c r="R51" s="62">
        <f t="shared" si="11"/>
        <v>0</v>
      </c>
      <c r="S51" s="62">
        <f t="shared" si="11"/>
        <v>0</v>
      </c>
      <c r="T51" s="62">
        <f t="shared" si="11"/>
        <v>0</v>
      </c>
      <c r="U51" s="62">
        <f t="shared" si="11"/>
        <v>0</v>
      </c>
      <c r="V51" s="62">
        <f>V16+V33</f>
        <v>0</v>
      </c>
      <c r="W51" s="62">
        <f>W16+W33</f>
        <v>0</v>
      </c>
      <c r="X51" s="68">
        <f t="shared" si="9"/>
        <v>0</v>
      </c>
      <c r="Y51" s="69">
        <f t="shared" si="10"/>
        <v>0</v>
      </c>
      <c r="Z51" s="70">
        <v>0</v>
      </c>
    </row>
    <row r="52" spans="1:26" x14ac:dyDescent="0.4">
      <c r="A52" s="30" t="s">
        <v>25</v>
      </c>
      <c r="C52" s="60">
        <f>0+SUM(C38:C51)</f>
        <v>20</v>
      </c>
      <c r="D52" s="60">
        <f t="shared" ref="D52:U52" si="12">0+SUM(D38:D51)</f>
        <v>14</v>
      </c>
      <c r="E52" s="60">
        <f t="shared" si="12"/>
        <v>0</v>
      </c>
      <c r="F52" s="60">
        <f t="shared" si="12"/>
        <v>59</v>
      </c>
      <c r="G52" s="60">
        <f t="shared" si="12"/>
        <v>68</v>
      </c>
      <c r="H52" s="60">
        <f t="shared" si="12"/>
        <v>147</v>
      </c>
      <c r="I52" s="60">
        <f t="shared" si="12"/>
        <v>104</v>
      </c>
      <c r="J52" s="60">
        <f t="shared" si="12"/>
        <v>0</v>
      </c>
      <c r="K52" s="60">
        <f t="shared" si="12"/>
        <v>0</v>
      </c>
      <c r="L52" s="60">
        <f t="shared" si="12"/>
        <v>67</v>
      </c>
      <c r="M52" s="60">
        <f t="shared" si="12"/>
        <v>1</v>
      </c>
      <c r="N52" s="60">
        <f t="shared" si="12"/>
        <v>2</v>
      </c>
      <c r="O52" s="60">
        <f t="shared" si="12"/>
        <v>0</v>
      </c>
      <c r="P52" s="60">
        <f t="shared" si="12"/>
        <v>22</v>
      </c>
      <c r="Q52" s="60">
        <f t="shared" si="12"/>
        <v>1</v>
      </c>
      <c r="R52" s="60">
        <f t="shared" si="12"/>
        <v>137</v>
      </c>
      <c r="S52" s="60">
        <f t="shared" si="12"/>
        <v>68</v>
      </c>
      <c r="T52" s="60">
        <f t="shared" si="12"/>
        <v>2</v>
      </c>
      <c r="U52" s="60">
        <f t="shared" si="12"/>
        <v>0</v>
      </c>
      <c r="V52" s="60">
        <f>0+SUM(V38:V51)</f>
        <v>12</v>
      </c>
      <c r="W52" s="60">
        <f>0+SUM(W38:W51)</f>
        <v>92</v>
      </c>
      <c r="X52" s="30">
        <f>SUM(X38:X51)</f>
        <v>816</v>
      </c>
      <c r="Z52" s="71"/>
    </row>
    <row r="53" spans="1:26" x14ac:dyDescent="0.4">
      <c r="A53" s="30" t="s">
        <v>48</v>
      </c>
      <c r="C53" s="72">
        <f t="shared" ref="C53:U53" si="13">C52/$X$52</f>
        <v>2.4509803921568627E-2</v>
      </c>
      <c r="D53" s="72">
        <f t="shared" si="13"/>
        <v>1.7156862745098041E-2</v>
      </c>
      <c r="E53" s="72">
        <f t="shared" si="13"/>
        <v>0</v>
      </c>
      <c r="F53" s="72">
        <f t="shared" si="13"/>
        <v>7.2303921568627458E-2</v>
      </c>
      <c r="G53" s="72">
        <f t="shared" si="13"/>
        <v>8.3333333333333329E-2</v>
      </c>
      <c r="H53" s="72">
        <f t="shared" si="13"/>
        <v>0.18014705882352941</v>
      </c>
      <c r="I53" s="72">
        <f t="shared" si="13"/>
        <v>0.12745098039215685</v>
      </c>
      <c r="J53" s="72">
        <f t="shared" si="13"/>
        <v>0</v>
      </c>
      <c r="K53" s="72">
        <f t="shared" si="13"/>
        <v>0</v>
      </c>
      <c r="L53" s="72">
        <f t="shared" si="13"/>
        <v>8.2107843137254902E-2</v>
      </c>
      <c r="M53" s="72">
        <f t="shared" si="13"/>
        <v>1.2254901960784314E-3</v>
      </c>
      <c r="N53" s="72">
        <f t="shared" si="13"/>
        <v>2.4509803921568627E-3</v>
      </c>
      <c r="O53" s="72">
        <f t="shared" si="13"/>
        <v>0</v>
      </c>
      <c r="P53" s="72">
        <f t="shared" si="13"/>
        <v>2.6960784313725492E-2</v>
      </c>
      <c r="Q53" s="72">
        <f t="shared" si="13"/>
        <v>1.2254901960784314E-3</v>
      </c>
      <c r="R53" s="72">
        <f t="shared" si="13"/>
        <v>0.16789215686274508</v>
      </c>
      <c r="S53" s="72">
        <f t="shared" si="13"/>
        <v>8.3333333333333329E-2</v>
      </c>
      <c r="T53" s="72">
        <f t="shared" si="13"/>
        <v>2.4509803921568627E-3</v>
      </c>
      <c r="U53" s="72">
        <f t="shared" si="13"/>
        <v>0</v>
      </c>
      <c r="V53" s="72">
        <f>V52/$X$52</f>
        <v>1.4705882352941176E-2</v>
      </c>
      <c r="W53" s="72">
        <f>W52/$X$52</f>
        <v>0.11274509803921569</v>
      </c>
    </row>
    <row r="54" spans="1:26" x14ac:dyDescent="0.4">
      <c r="A54" s="5" t="s">
        <v>47</v>
      </c>
    </row>
    <row r="55" spans="1:26" x14ac:dyDescent="0.4">
      <c r="A55" s="30" t="s">
        <v>40</v>
      </c>
      <c r="D55" s="73">
        <v>145</v>
      </c>
    </row>
    <row r="56" spans="1:26" x14ac:dyDescent="0.4">
      <c r="A56" s="30" t="s">
        <v>41</v>
      </c>
      <c r="D56" s="74">
        <f>X17/D55</f>
        <v>2.2827586206896551</v>
      </c>
    </row>
    <row r="57" spans="1:26" x14ac:dyDescent="0.4">
      <c r="A57" s="30" t="s">
        <v>42</v>
      </c>
      <c r="D57" s="73">
        <v>213</v>
      </c>
    </row>
    <row r="58" spans="1:26" x14ac:dyDescent="0.4">
      <c r="A58" s="30" t="s">
        <v>43</v>
      </c>
      <c r="D58" s="74">
        <f>X34/D57</f>
        <v>2.276995305164319</v>
      </c>
      <c r="F58" s="29" t="s">
        <v>62</v>
      </c>
    </row>
    <row r="59" spans="1:26" x14ac:dyDescent="0.4">
      <c r="A59" s="30" t="s">
        <v>44</v>
      </c>
      <c r="D59" s="73">
        <f>D55+D57</f>
        <v>358</v>
      </c>
      <c r="F59" s="74">
        <f>10068/3358</f>
        <v>2.9982132221560454</v>
      </c>
      <c r="J59" s="76" t="s">
        <v>86</v>
      </c>
      <c r="L59" s="60">
        <f>56+84</f>
        <v>140</v>
      </c>
    </row>
    <row r="60" spans="1:26" x14ac:dyDescent="0.4">
      <c r="A60" s="30" t="s">
        <v>45</v>
      </c>
      <c r="D60" s="74">
        <f>X52/D59</f>
        <v>2.2793296089385473</v>
      </c>
      <c r="F60" s="74">
        <f>10068/2400</f>
        <v>4.1950000000000003</v>
      </c>
      <c r="G60" s="64" t="s">
        <v>77</v>
      </c>
      <c r="J60" s="76" t="s">
        <v>82</v>
      </c>
      <c r="L60" s="74">
        <f>SUM(N52:W52)/L59</f>
        <v>2.4</v>
      </c>
    </row>
    <row r="61" spans="1:26" x14ac:dyDescent="0.4">
      <c r="A61" s="30" t="s">
        <v>46</v>
      </c>
      <c r="D61" s="75">
        <f>X52/250</f>
        <v>3.2639999999999998</v>
      </c>
      <c r="F61" s="74">
        <f>5200/10068</f>
        <v>0.51648788239968213</v>
      </c>
      <c r="G61" s="64" t="s">
        <v>64</v>
      </c>
    </row>
    <row r="62" spans="1:26" x14ac:dyDescent="0.4">
      <c r="A62" s="5" t="s">
        <v>49</v>
      </c>
      <c r="D62" s="7"/>
    </row>
    <row r="67" spans="1:4" x14ac:dyDescent="0.4">
      <c r="A67" s="5" t="s">
        <v>56</v>
      </c>
      <c r="D67" s="7"/>
    </row>
    <row r="68" spans="1:4" x14ac:dyDescent="0.4">
      <c r="A68" s="30" t="s">
        <v>103</v>
      </c>
    </row>
  </sheetData>
  <phoneticPr fontId="0" type="noConversion"/>
  <printOptions horizontalCentered="1" gridLines="1" gridLinesSet="0"/>
  <pageMargins left="0.5" right="0.5" top="0.75" bottom="0.5" header="0.5" footer="0.5"/>
  <pageSetup scale="61" orientation="landscape"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B68"/>
  <sheetViews>
    <sheetView topLeftCell="A48" zoomScale="80" zoomScaleNormal="80" workbookViewId="0">
      <selection activeCell="Z64" sqref="Z64"/>
    </sheetView>
  </sheetViews>
  <sheetFormatPr defaultColWidth="7.703125" defaultRowHeight="12.7" x14ac:dyDescent="0.4"/>
  <cols>
    <col min="1" max="1" width="20.1171875" style="30" customWidth="1"/>
    <col min="2" max="2" width="4.41015625" style="30" customWidth="1"/>
    <col min="3" max="7" width="6.703125" style="60" customWidth="1"/>
    <col min="8" max="8" width="8.41015625" style="60" customWidth="1"/>
    <col min="9" max="9" width="7.703125" style="60" customWidth="1"/>
    <col min="10" max="10" width="6.703125" style="60" customWidth="1"/>
    <col min="11" max="11" width="8.87890625" style="60" customWidth="1"/>
    <col min="12" max="12" width="7.29296875" style="60" customWidth="1"/>
    <col min="13" max="17" width="6.703125" style="60" customWidth="1"/>
    <col min="18" max="18" width="7.41015625" style="60" customWidth="1"/>
    <col min="19" max="25" width="6.703125" style="60" customWidth="1"/>
    <col min="26" max="26" width="8.703125" style="30" customWidth="1"/>
    <col min="27" max="27" width="9.29296875" style="30" customWidth="1"/>
    <col min="28" max="28" width="9.87890625" style="30" customWidth="1"/>
    <col min="29" max="16384" width="7.703125" style="30"/>
  </cols>
  <sheetData>
    <row r="1" spans="1:26" ht="13" thickBot="1" x14ac:dyDescent="0.45">
      <c r="A1" s="5" t="s">
        <v>106</v>
      </c>
    </row>
    <row r="2" spans="1:26"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3" t="s">
        <v>2</v>
      </c>
    </row>
    <row r="3" spans="1:26" x14ac:dyDescent="0.4">
      <c r="A3" s="30" t="s">
        <v>34</v>
      </c>
      <c r="C3" s="60">
        <v>1</v>
      </c>
      <c r="L3" s="60">
        <v>2</v>
      </c>
      <c r="R3" s="60">
        <v>1</v>
      </c>
      <c r="S3" s="60">
        <v>0</v>
      </c>
      <c r="W3" s="60">
        <v>0</v>
      </c>
      <c r="Z3" s="77">
        <f>SUM(C3:Y3)</f>
        <v>4</v>
      </c>
    </row>
    <row r="4" spans="1:26" x14ac:dyDescent="0.4">
      <c r="A4" s="30" t="s">
        <v>35</v>
      </c>
      <c r="F4" s="60">
        <v>2</v>
      </c>
      <c r="G4" s="60">
        <v>1</v>
      </c>
      <c r="H4" s="60">
        <v>0</v>
      </c>
      <c r="I4" s="60">
        <v>2</v>
      </c>
      <c r="R4" s="60">
        <v>0</v>
      </c>
      <c r="S4" s="60">
        <v>1</v>
      </c>
      <c r="W4" s="60">
        <v>1</v>
      </c>
      <c r="Z4" s="78">
        <f t="shared" ref="Z4:Z16" si="0">SUM(C4:Y4)</f>
        <v>7</v>
      </c>
    </row>
    <row r="5" spans="1:26" x14ac:dyDescent="0.4">
      <c r="A5" s="30" t="s">
        <v>16</v>
      </c>
      <c r="F5" s="60">
        <v>2</v>
      </c>
      <c r="G5" s="60">
        <v>2</v>
      </c>
      <c r="H5" s="60">
        <v>0</v>
      </c>
      <c r="I5" s="60">
        <v>9</v>
      </c>
      <c r="L5" s="60">
        <v>0</v>
      </c>
      <c r="Q5" s="60">
        <v>1</v>
      </c>
      <c r="R5" s="60">
        <v>0</v>
      </c>
      <c r="S5" s="60">
        <v>0</v>
      </c>
      <c r="Y5" s="60">
        <v>2</v>
      </c>
      <c r="Z5" s="78">
        <f t="shared" si="0"/>
        <v>16</v>
      </c>
    </row>
    <row r="6" spans="1:26" x14ac:dyDescent="0.4">
      <c r="A6" s="30" t="s">
        <v>29</v>
      </c>
      <c r="F6" s="60">
        <v>1</v>
      </c>
      <c r="H6" s="60">
        <v>0</v>
      </c>
      <c r="I6" s="60">
        <v>3</v>
      </c>
      <c r="R6" s="60">
        <v>0</v>
      </c>
      <c r="Z6" s="78">
        <f t="shared" si="0"/>
        <v>4</v>
      </c>
    </row>
    <row r="7" spans="1:26" x14ac:dyDescent="0.4">
      <c r="A7" s="30" t="s">
        <v>18</v>
      </c>
      <c r="C7" s="60">
        <v>0</v>
      </c>
      <c r="F7" s="60">
        <v>1</v>
      </c>
      <c r="G7" s="60">
        <v>0</v>
      </c>
      <c r="H7" s="60">
        <v>1</v>
      </c>
      <c r="K7" s="60">
        <v>1</v>
      </c>
      <c r="L7" s="60">
        <v>3</v>
      </c>
      <c r="P7" s="60">
        <v>0</v>
      </c>
      <c r="V7" s="60">
        <v>1</v>
      </c>
      <c r="W7" s="60">
        <v>0</v>
      </c>
      <c r="Z7" s="78">
        <f t="shared" si="0"/>
        <v>7</v>
      </c>
    </row>
    <row r="8" spans="1:26" x14ac:dyDescent="0.4">
      <c r="A8" s="30" t="s">
        <v>19</v>
      </c>
      <c r="D8" s="60">
        <v>1</v>
      </c>
      <c r="F8" s="60">
        <v>2</v>
      </c>
      <c r="G8" s="60">
        <v>1</v>
      </c>
      <c r="H8" s="60">
        <v>0</v>
      </c>
      <c r="I8" s="60">
        <v>4</v>
      </c>
      <c r="L8" s="60">
        <v>3</v>
      </c>
      <c r="N8" s="60">
        <v>1</v>
      </c>
      <c r="P8" s="60">
        <v>0</v>
      </c>
      <c r="Q8" s="60">
        <v>1</v>
      </c>
      <c r="R8" s="60">
        <v>0</v>
      </c>
      <c r="S8" s="60">
        <v>0</v>
      </c>
      <c r="V8" s="60">
        <v>5</v>
      </c>
      <c r="W8" s="60">
        <v>2</v>
      </c>
      <c r="Y8" s="60">
        <v>3</v>
      </c>
      <c r="Z8" s="78">
        <f t="shared" si="0"/>
        <v>23</v>
      </c>
    </row>
    <row r="9" spans="1:26" x14ac:dyDescent="0.4">
      <c r="A9" s="30" t="s">
        <v>20</v>
      </c>
      <c r="H9" s="60">
        <v>0</v>
      </c>
      <c r="L9" s="60">
        <v>2</v>
      </c>
      <c r="S9" s="60">
        <v>1</v>
      </c>
      <c r="Y9" s="60">
        <v>1</v>
      </c>
      <c r="Z9" s="78">
        <f t="shared" si="0"/>
        <v>4</v>
      </c>
    </row>
    <row r="10" spans="1:26" x14ac:dyDescent="0.4">
      <c r="A10" s="30" t="s">
        <v>21</v>
      </c>
      <c r="H10" s="60">
        <v>0</v>
      </c>
      <c r="L10" s="60">
        <v>0</v>
      </c>
      <c r="R10" s="60">
        <v>0</v>
      </c>
      <c r="Z10" s="78">
        <f t="shared" si="0"/>
        <v>0</v>
      </c>
    </row>
    <row r="11" spans="1:26" x14ac:dyDescent="0.4">
      <c r="A11" s="30" t="s">
        <v>98</v>
      </c>
      <c r="I11" s="60">
        <v>1</v>
      </c>
      <c r="Z11" s="78">
        <f t="shared" si="0"/>
        <v>1</v>
      </c>
    </row>
    <row r="12" spans="1:26" x14ac:dyDescent="0.4">
      <c r="A12" s="30" t="s">
        <v>22</v>
      </c>
      <c r="C12" s="60">
        <v>10</v>
      </c>
      <c r="D12" s="60">
        <v>6</v>
      </c>
      <c r="E12" s="60">
        <v>1</v>
      </c>
      <c r="F12" s="60">
        <v>13</v>
      </c>
      <c r="G12" s="60">
        <v>8</v>
      </c>
      <c r="H12" s="60">
        <v>7</v>
      </c>
      <c r="I12" s="60">
        <v>22</v>
      </c>
      <c r="K12" s="60">
        <v>7</v>
      </c>
      <c r="L12" s="60">
        <v>12</v>
      </c>
      <c r="M12" s="60">
        <v>1</v>
      </c>
      <c r="N12" s="60">
        <v>5</v>
      </c>
      <c r="P12" s="60">
        <v>0</v>
      </c>
      <c r="Q12" s="60">
        <v>2</v>
      </c>
      <c r="R12" s="60">
        <v>10</v>
      </c>
      <c r="S12" s="60">
        <v>5</v>
      </c>
      <c r="T12" s="60">
        <v>0</v>
      </c>
      <c r="V12" s="60">
        <v>10</v>
      </c>
      <c r="W12" s="60">
        <v>17</v>
      </c>
      <c r="Y12" s="60">
        <v>5</v>
      </c>
      <c r="Z12" s="78">
        <f t="shared" si="0"/>
        <v>141</v>
      </c>
    </row>
    <row r="13" spans="1:26" x14ac:dyDescent="0.4">
      <c r="A13" s="30" t="s">
        <v>23</v>
      </c>
      <c r="C13" s="60">
        <v>4</v>
      </c>
      <c r="D13" s="60">
        <v>2</v>
      </c>
      <c r="F13" s="60">
        <v>1</v>
      </c>
      <c r="G13" s="60">
        <v>3</v>
      </c>
      <c r="H13" s="60">
        <v>6</v>
      </c>
      <c r="I13" s="60">
        <v>15</v>
      </c>
      <c r="K13" s="60">
        <v>4</v>
      </c>
      <c r="L13" s="60">
        <v>10</v>
      </c>
      <c r="N13" s="60">
        <v>1</v>
      </c>
      <c r="P13" s="60">
        <v>0</v>
      </c>
      <c r="Q13" s="60">
        <v>5</v>
      </c>
      <c r="R13" s="60">
        <v>0</v>
      </c>
      <c r="S13" s="60">
        <v>1</v>
      </c>
      <c r="V13" s="60">
        <v>0</v>
      </c>
      <c r="W13" s="60">
        <v>4</v>
      </c>
      <c r="Y13" s="60">
        <v>1</v>
      </c>
      <c r="Z13" s="78">
        <f t="shared" si="0"/>
        <v>57</v>
      </c>
    </row>
    <row r="14" spans="1:26" x14ac:dyDescent="0.4">
      <c r="A14" s="30" t="s">
        <v>24</v>
      </c>
      <c r="L14" s="60">
        <v>0</v>
      </c>
      <c r="N14" s="60">
        <v>1</v>
      </c>
      <c r="Q14" s="60">
        <v>1</v>
      </c>
      <c r="R14" s="60">
        <v>0</v>
      </c>
      <c r="V14" s="60">
        <v>1</v>
      </c>
      <c r="W14" s="60">
        <v>3</v>
      </c>
      <c r="Z14" s="78">
        <f t="shared" si="0"/>
        <v>6</v>
      </c>
    </row>
    <row r="15" spans="1:26" x14ac:dyDescent="0.4">
      <c r="A15" s="30" t="s">
        <v>102</v>
      </c>
      <c r="I15" s="60">
        <v>0</v>
      </c>
      <c r="L15" s="60">
        <v>1</v>
      </c>
      <c r="S15" s="60">
        <v>2</v>
      </c>
      <c r="W15" s="60">
        <v>0</v>
      </c>
      <c r="Z15" s="78">
        <f t="shared" si="0"/>
        <v>3</v>
      </c>
    </row>
    <row r="16" spans="1:26" ht="13" thickBot="1" x14ac:dyDescent="0.45">
      <c r="A16" s="30" t="s">
        <v>37</v>
      </c>
      <c r="C16" s="62"/>
      <c r="D16" s="62"/>
      <c r="E16" s="62"/>
      <c r="F16" s="62"/>
      <c r="G16" s="62"/>
      <c r="H16" s="62"/>
      <c r="I16" s="62"/>
      <c r="J16" s="62"/>
      <c r="K16" s="62"/>
      <c r="L16" s="62"/>
      <c r="M16" s="62"/>
      <c r="N16" s="62"/>
      <c r="O16" s="62"/>
      <c r="P16" s="62"/>
      <c r="Q16" s="62"/>
      <c r="R16" s="62"/>
      <c r="S16" s="62"/>
      <c r="T16" s="62"/>
      <c r="U16" s="62"/>
      <c r="V16" s="62"/>
      <c r="W16" s="62"/>
      <c r="X16" s="62"/>
      <c r="Y16" s="62"/>
      <c r="Z16" s="68">
        <f t="shared" si="0"/>
        <v>0</v>
      </c>
    </row>
    <row r="17" spans="1:26" x14ac:dyDescent="0.4">
      <c r="A17" s="30" t="s">
        <v>25</v>
      </c>
      <c r="C17" s="60">
        <f>SUM(C3:C16)</f>
        <v>15</v>
      </c>
      <c r="D17" s="60">
        <f t="shared" ref="D17:Z17" si="1">SUM(D3:D16)</f>
        <v>9</v>
      </c>
      <c r="E17" s="60">
        <f t="shared" si="1"/>
        <v>1</v>
      </c>
      <c r="F17" s="60">
        <f t="shared" si="1"/>
        <v>22</v>
      </c>
      <c r="G17" s="60">
        <f t="shared" si="1"/>
        <v>15</v>
      </c>
      <c r="H17" s="60">
        <f t="shared" si="1"/>
        <v>14</v>
      </c>
      <c r="I17" s="60">
        <f t="shared" si="1"/>
        <v>56</v>
      </c>
      <c r="J17" s="60">
        <f t="shared" si="1"/>
        <v>0</v>
      </c>
      <c r="K17" s="60">
        <f t="shared" si="1"/>
        <v>12</v>
      </c>
      <c r="L17" s="60">
        <f t="shared" si="1"/>
        <v>33</v>
      </c>
      <c r="M17" s="60">
        <f t="shared" si="1"/>
        <v>1</v>
      </c>
      <c r="N17" s="60">
        <f t="shared" si="1"/>
        <v>8</v>
      </c>
      <c r="O17" s="60">
        <f t="shared" si="1"/>
        <v>0</v>
      </c>
      <c r="P17" s="60">
        <f t="shared" si="1"/>
        <v>0</v>
      </c>
      <c r="Q17" s="60">
        <f t="shared" si="1"/>
        <v>10</v>
      </c>
      <c r="R17" s="60">
        <f t="shared" si="1"/>
        <v>11</v>
      </c>
      <c r="S17" s="60">
        <f t="shared" si="1"/>
        <v>10</v>
      </c>
      <c r="T17" s="60">
        <f t="shared" si="1"/>
        <v>0</v>
      </c>
      <c r="U17" s="60">
        <f t="shared" si="1"/>
        <v>0</v>
      </c>
      <c r="V17" s="60">
        <f>SUM(V3:V16)</f>
        <v>17</v>
      </c>
      <c r="W17" s="60">
        <f>SUM(W3:W16)</f>
        <v>27</v>
      </c>
      <c r="X17" s="60">
        <f>SUM(X3:X16)</f>
        <v>0</v>
      </c>
      <c r="Y17" s="60">
        <f>SUM(Y3:Y16)</f>
        <v>12</v>
      </c>
      <c r="Z17" s="30">
        <f t="shared" si="1"/>
        <v>273</v>
      </c>
    </row>
    <row r="18" spans="1:26" ht="13" thickBot="1" x14ac:dyDescent="0.45">
      <c r="A18" s="29" t="s">
        <v>107</v>
      </c>
      <c r="D18" s="64"/>
      <c r="E18" s="7"/>
      <c r="F18" s="29"/>
      <c r="G18" s="29" t="s">
        <v>108</v>
      </c>
    </row>
    <row r="19" spans="1:26" ht="13" thickBot="1" x14ac:dyDescent="0.45">
      <c r="A19" s="10" t="str">
        <f>A2</f>
        <v>BLIND #</v>
      </c>
      <c r="B19" s="14"/>
      <c r="C19" s="12">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3" t="s">
        <v>2</v>
      </c>
    </row>
    <row r="20" spans="1:26" x14ac:dyDescent="0.4">
      <c r="A20" s="30" t="str">
        <f>A3</f>
        <v>RUDDY</v>
      </c>
      <c r="H20" s="60">
        <v>1</v>
      </c>
      <c r="I20" s="60">
        <v>0</v>
      </c>
      <c r="L20" s="60">
        <v>2</v>
      </c>
      <c r="R20" s="60">
        <v>4</v>
      </c>
      <c r="S20" s="60">
        <v>0</v>
      </c>
      <c r="Y20" s="60">
        <v>1</v>
      </c>
      <c r="Z20" s="77">
        <f>SUM(C20:Y20)</f>
        <v>8</v>
      </c>
    </row>
    <row r="21" spans="1:26" x14ac:dyDescent="0.4">
      <c r="A21" s="30" t="str">
        <f t="shared" ref="A21:A33" si="3">A4</f>
        <v>CANVASBACK</v>
      </c>
      <c r="F21" s="60">
        <v>1</v>
      </c>
      <c r="H21" s="60">
        <v>1</v>
      </c>
      <c r="L21" s="60">
        <v>0</v>
      </c>
      <c r="R21" s="60">
        <v>1</v>
      </c>
      <c r="W21" s="60">
        <v>2</v>
      </c>
      <c r="Z21" s="78">
        <f t="shared" ref="Z21:Z33" si="4">SUM(C21:Y21)</f>
        <v>5</v>
      </c>
    </row>
    <row r="22" spans="1:26" x14ac:dyDescent="0.4">
      <c r="A22" s="30" t="str">
        <f t="shared" si="3"/>
        <v>GADWALL</v>
      </c>
      <c r="C22" s="60">
        <v>1</v>
      </c>
      <c r="D22" s="60">
        <v>1</v>
      </c>
      <c r="E22" s="60">
        <v>1</v>
      </c>
      <c r="F22" s="60">
        <v>2</v>
      </c>
      <c r="G22" s="60">
        <v>2</v>
      </c>
      <c r="H22" s="60">
        <v>0</v>
      </c>
      <c r="I22" s="60">
        <v>0</v>
      </c>
      <c r="L22" s="60">
        <v>0</v>
      </c>
      <c r="M22" s="60">
        <v>0</v>
      </c>
      <c r="O22" s="60">
        <v>2</v>
      </c>
      <c r="R22" s="60">
        <v>4</v>
      </c>
      <c r="S22" s="60">
        <v>1</v>
      </c>
      <c r="V22" s="60">
        <v>4</v>
      </c>
      <c r="W22" s="60">
        <v>1</v>
      </c>
      <c r="Z22" s="78">
        <f t="shared" si="4"/>
        <v>19</v>
      </c>
    </row>
    <row r="23" spans="1:26" x14ac:dyDescent="0.4">
      <c r="A23" s="30" t="str">
        <f t="shared" si="3"/>
        <v>GEESE</v>
      </c>
      <c r="G23" s="60">
        <v>0</v>
      </c>
      <c r="H23" s="60">
        <v>0</v>
      </c>
      <c r="I23" s="60">
        <v>0</v>
      </c>
      <c r="L23" s="60">
        <v>0</v>
      </c>
      <c r="R23" s="60">
        <v>0</v>
      </c>
      <c r="S23" s="60">
        <v>0</v>
      </c>
      <c r="V23" s="60">
        <v>2</v>
      </c>
      <c r="W23" s="60">
        <v>4</v>
      </c>
      <c r="Z23" s="78">
        <f t="shared" si="4"/>
        <v>6</v>
      </c>
    </row>
    <row r="24" spans="1:26" x14ac:dyDescent="0.4">
      <c r="A24" s="30" t="str">
        <f t="shared" si="3"/>
        <v>MALLARD</v>
      </c>
      <c r="C24" s="60">
        <v>1</v>
      </c>
      <c r="F24" s="60">
        <v>2</v>
      </c>
      <c r="G24" s="60">
        <v>1</v>
      </c>
      <c r="H24" s="60">
        <v>2</v>
      </c>
      <c r="I24" s="60">
        <v>1</v>
      </c>
      <c r="L24" s="60">
        <v>0</v>
      </c>
      <c r="R24" s="60">
        <v>1</v>
      </c>
      <c r="S24" s="60">
        <v>0</v>
      </c>
      <c r="Z24" s="78">
        <f t="shared" si="4"/>
        <v>8</v>
      </c>
    </row>
    <row r="25" spans="1:26" x14ac:dyDescent="0.4">
      <c r="A25" s="30" t="str">
        <f t="shared" si="3"/>
        <v>PINTAIL</v>
      </c>
      <c r="C25" s="60">
        <v>1</v>
      </c>
      <c r="E25" s="60">
        <v>4</v>
      </c>
      <c r="F25" s="60">
        <v>5</v>
      </c>
      <c r="G25" s="60">
        <v>0</v>
      </c>
      <c r="H25" s="60">
        <v>5</v>
      </c>
      <c r="I25" s="60">
        <v>0</v>
      </c>
      <c r="L25" s="60">
        <v>7</v>
      </c>
      <c r="N25" s="60">
        <v>0</v>
      </c>
      <c r="R25" s="60">
        <v>5</v>
      </c>
      <c r="S25" s="60">
        <v>2</v>
      </c>
      <c r="V25" s="60">
        <v>2</v>
      </c>
      <c r="W25" s="60">
        <v>7</v>
      </c>
      <c r="Z25" s="78">
        <f t="shared" si="4"/>
        <v>38</v>
      </c>
    </row>
    <row r="26" spans="1:26" x14ac:dyDescent="0.4">
      <c r="A26" s="30" t="str">
        <f t="shared" si="3"/>
        <v>REDHEAD</v>
      </c>
      <c r="Z26" s="78">
        <f t="shared" si="4"/>
        <v>0</v>
      </c>
    </row>
    <row r="27" spans="1:26" x14ac:dyDescent="0.4">
      <c r="A27" s="30" t="str">
        <f t="shared" si="3"/>
        <v>RINGNECK</v>
      </c>
      <c r="Z27" s="78">
        <f t="shared" si="4"/>
        <v>0</v>
      </c>
    </row>
    <row r="28" spans="1:26" x14ac:dyDescent="0.4">
      <c r="A28" s="30" t="str">
        <f t="shared" si="3"/>
        <v>B'HEAD</v>
      </c>
      <c r="F28" s="60">
        <v>1</v>
      </c>
      <c r="H28" s="60">
        <v>0</v>
      </c>
      <c r="I28" s="60">
        <v>1</v>
      </c>
      <c r="R28" s="60">
        <v>1</v>
      </c>
      <c r="Z28" s="78">
        <f t="shared" si="4"/>
        <v>3</v>
      </c>
    </row>
    <row r="29" spans="1:26" x14ac:dyDescent="0.4">
      <c r="A29" s="30" t="str">
        <f t="shared" si="3"/>
        <v>SPOONY</v>
      </c>
      <c r="C29" s="60">
        <v>2</v>
      </c>
      <c r="E29" s="60">
        <v>1</v>
      </c>
      <c r="F29" s="60">
        <v>9</v>
      </c>
      <c r="G29" s="60">
        <v>2</v>
      </c>
      <c r="H29" s="60">
        <v>0</v>
      </c>
      <c r="I29" s="60">
        <v>10</v>
      </c>
      <c r="L29" s="60">
        <v>9</v>
      </c>
      <c r="N29" s="60">
        <v>0</v>
      </c>
      <c r="O29" s="60">
        <v>3</v>
      </c>
      <c r="P29" s="60">
        <v>0</v>
      </c>
      <c r="R29" s="60">
        <v>26</v>
      </c>
      <c r="S29" s="60">
        <v>7</v>
      </c>
      <c r="T29" s="60">
        <v>1</v>
      </c>
      <c r="V29" s="60">
        <v>14</v>
      </c>
      <c r="W29" s="60">
        <v>30</v>
      </c>
      <c r="X29" s="60">
        <v>4</v>
      </c>
      <c r="Y29" s="60">
        <v>3</v>
      </c>
      <c r="Z29" s="78">
        <f t="shared" si="4"/>
        <v>121</v>
      </c>
    </row>
    <row r="30" spans="1:26" x14ac:dyDescent="0.4">
      <c r="A30" s="30" t="str">
        <f t="shared" si="3"/>
        <v>TEAL</v>
      </c>
      <c r="C30" s="60">
        <v>18</v>
      </c>
      <c r="D30" s="60">
        <v>1</v>
      </c>
      <c r="E30" s="60">
        <v>14</v>
      </c>
      <c r="F30" s="60">
        <v>17</v>
      </c>
      <c r="G30" s="60">
        <v>5</v>
      </c>
      <c r="H30" s="60">
        <v>24</v>
      </c>
      <c r="I30" s="60">
        <v>21</v>
      </c>
      <c r="K30" s="60">
        <v>1</v>
      </c>
      <c r="L30" s="60">
        <v>29</v>
      </c>
      <c r="N30" s="60">
        <v>10</v>
      </c>
      <c r="O30" s="60">
        <v>5</v>
      </c>
      <c r="P30" s="60">
        <v>0</v>
      </c>
      <c r="R30" s="60">
        <v>53</v>
      </c>
      <c r="S30" s="60">
        <v>1</v>
      </c>
      <c r="V30" s="60">
        <v>36</v>
      </c>
      <c r="W30" s="60">
        <v>39</v>
      </c>
      <c r="X30" s="60">
        <v>3</v>
      </c>
      <c r="Y30" s="60">
        <v>1</v>
      </c>
      <c r="Z30" s="78">
        <f t="shared" si="4"/>
        <v>278</v>
      </c>
    </row>
    <row r="31" spans="1:26" x14ac:dyDescent="0.4">
      <c r="A31" s="30" t="str">
        <f t="shared" si="3"/>
        <v>WIDGEON</v>
      </c>
      <c r="C31" s="60">
        <v>2</v>
      </c>
      <c r="E31" s="60">
        <v>3</v>
      </c>
      <c r="F31" s="60">
        <v>2</v>
      </c>
      <c r="G31" s="60">
        <v>0</v>
      </c>
      <c r="H31" s="60">
        <v>2</v>
      </c>
      <c r="I31" s="60">
        <v>3</v>
      </c>
      <c r="L31" s="60">
        <v>4</v>
      </c>
      <c r="O31" s="60">
        <v>1</v>
      </c>
      <c r="P31" s="60">
        <v>0</v>
      </c>
      <c r="Q31" s="60">
        <v>0</v>
      </c>
      <c r="R31" s="60">
        <v>7</v>
      </c>
      <c r="S31" s="60">
        <v>2</v>
      </c>
      <c r="V31" s="60">
        <v>13</v>
      </c>
      <c r="W31" s="60">
        <v>4</v>
      </c>
      <c r="X31" s="60">
        <v>2</v>
      </c>
      <c r="Y31" s="60">
        <v>1</v>
      </c>
      <c r="Z31" s="78">
        <f t="shared" si="4"/>
        <v>46</v>
      </c>
    </row>
    <row r="32" spans="1:26" x14ac:dyDescent="0.4">
      <c r="A32" s="30" t="str">
        <f t="shared" si="3"/>
        <v>MISC-FULVOUS TD</v>
      </c>
      <c r="F32" s="60">
        <v>1</v>
      </c>
      <c r="L32" s="60">
        <v>0</v>
      </c>
      <c r="R32" s="60">
        <v>4</v>
      </c>
      <c r="Z32" s="78">
        <f t="shared" si="4"/>
        <v>5</v>
      </c>
    </row>
    <row r="33" spans="1:28" ht="13" thickBot="1" x14ac:dyDescent="0.45">
      <c r="A33" s="30" t="str">
        <f t="shared" si="3"/>
        <v>OTHER</v>
      </c>
      <c r="C33" s="62"/>
      <c r="D33" s="62"/>
      <c r="E33" s="62"/>
      <c r="F33" s="62"/>
      <c r="G33" s="62"/>
      <c r="H33" s="62"/>
      <c r="I33" s="62"/>
      <c r="J33" s="62"/>
      <c r="K33" s="62"/>
      <c r="L33" s="62"/>
      <c r="M33" s="62"/>
      <c r="N33" s="62"/>
      <c r="O33" s="62"/>
      <c r="P33" s="62"/>
      <c r="Q33" s="62"/>
      <c r="R33" s="62"/>
      <c r="S33" s="62"/>
      <c r="T33" s="62"/>
      <c r="U33" s="62"/>
      <c r="V33" s="62"/>
      <c r="W33" s="62"/>
      <c r="X33" s="62"/>
      <c r="Y33" s="62"/>
      <c r="Z33" s="68">
        <f t="shared" si="4"/>
        <v>0</v>
      </c>
    </row>
    <row r="34" spans="1:28" x14ac:dyDescent="0.4">
      <c r="A34" s="30" t="s">
        <v>25</v>
      </c>
      <c r="C34" s="60">
        <f>0+SUM(C20:C33)</f>
        <v>25</v>
      </c>
      <c r="D34" s="60">
        <f t="shared" ref="D34:U34" si="5">0+SUM(D20:D33)</f>
        <v>2</v>
      </c>
      <c r="E34" s="60">
        <f t="shared" si="5"/>
        <v>23</v>
      </c>
      <c r="F34" s="60">
        <f t="shared" si="5"/>
        <v>40</v>
      </c>
      <c r="G34" s="60">
        <f t="shared" si="5"/>
        <v>10</v>
      </c>
      <c r="H34" s="60">
        <f t="shared" si="5"/>
        <v>35</v>
      </c>
      <c r="I34" s="60">
        <f t="shared" si="5"/>
        <v>36</v>
      </c>
      <c r="J34" s="60">
        <f t="shared" si="5"/>
        <v>0</v>
      </c>
      <c r="K34" s="60">
        <f t="shared" si="5"/>
        <v>1</v>
      </c>
      <c r="L34" s="60">
        <f t="shared" si="5"/>
        <v>51</v>
      </c>
      <c r="M34" s="60">
        <f t="shared" si="5"/>
        <v>0</v>
      </c>
      <c r="N34" s="60">
        <f t="shared" si="5"/>
        <v>10</v>
      </c>
      <c r="O34" s="60">
        <f t="shared" si="5"/>
        <v>11</v>
      </c>
      <c r="P34" s="60">
        <f t="shared" si="5"/>
        <v>0</v>
      </c>
      <c r="Q34" s="60">
        <f t="shared" si="5"/>
        <v>0</v>
      </c>
      <c r="R34" s="60">
        <f t="shared" si="5"/>
        <v>106</v>
      </c>
      <c r="S34" s="60">
        <f t="shared" si="5"/>
        <v>13</v>
      </c>
      <c r="T34" s="60">
        <f t="shared" si="5"/>
        <v>1</v>
      </c>
      <c r="U34" s="60">
        <f t="shared" si="5"/>
        <v>0</v>
      </c>
      <c r="V34" s="60">
        <f>0+SUM(V20:V33)</f>
        <v>71</v>
      </c>
      <c r="W34" s="60">
        <f>0+SUM(W20:W33)</f>
        <v>87</v>
      </c>
      <c r="X34" s="60">
        <f>0+SUM(X20:X33)</f>
        <v>9</v>
      </c>
      <c r="Y34" s="60">
        <f>0+SUM(Y20:Y33)</f>
        <v>6</v>
      </c>
      <c r="Z34" s="30">
        <f>SUM(Z20:Z33)</f>
        <v>537</v>
      </c>
    </row>
    <row r="35" spans="1:28" ht="13" thickBot="1" x14ac:dyDescent="0.45"/>
    <row r="36" spans="1:28"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15"/>
      <c r="AA36" s="20" t="s">
        <v>60</v>
      </c>
      <c r="AB36" s="21" t="s">
        <v>57</v>
      </c>
    </row>
    <row r="37" spans="1:28"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15" t="s">
        <v>2</v>
      </c>
      <c r="AA37" s="26" t="s">
        <v>61</v>
      </c>
      <c r="AB37" s="27" t="s">
        <v>59</v>
      </c>
    </row>
    <row r="38" spans="1:28" x14ac:dyDescent="0.4">
      <c r="A38" s="30" t="str">
        <f>A20</f>
        <v>RUDDY</v>
      </c>
      <c r="C38" s="60">
        <f t="shared" ref="C38:W50" si="7">C3+C20</f>
        <v>1</v>
      </c>
      <c r="D38" s="60">
        <f t="shared" si="7"/>
        <v>0</v>
      </c>
      <c r="E38" s="60">
        <f t="shared" si="7"/>
        <v>0</v>
      </c>
      <c r="F38" s="60">
        <f t="shared" si="7"/>
        <v>0</v>
      </c>
      <c r="G38" s="60">
        <f t="shared" si="7"/>
        <v>0</v>
      </c>
      <c r="H38" s="60">
        <f t="shared" si="7"/>
        <v>1</v>
      </c>
      <c r="I38" s="60">
        <f t="shared" si="7"/>
        <v>0</v>
      </c>
      <c r="J38" s="60">
        <f t="shared" si="7"/>
        <v>0</v>
      </c>
      <c r="K38" s="60">
        <f t="shared" si="7"/>
        <v>0</v>
      </c>
      <c r="L38" s="60">
        <f t="shared" si="7"/>
        <v>4</v>
      </c>
      <c r="M38" s="60">
        <f t="shared" si="7"/>
        <v>0</v>
      </c>
      <c r="N38" s="60">
        <f t="shared" si="7"/>
        <v>0</v>
      </c>
      <c r="O38" s="60">
        <f t="shared" si="7"/>
        <v>0</v>
      </c>
      <c r="P38" s="60">
        <f t="shared" si="7"/>
        <v>0</v>
      </c>
      <c r="Q38" s="60">
        <f t="shared" si="7"/>
        <v>0</v>
      </c>
      <c r="R38" s="60">
        <f t="shared" si="7"/>
        <v>5</v>
      </c>
      <c r="S38" s="60">
        <f t="shared" si="7"/>
        <v>0</v>
      </c>
      <c r="T38" s="60">
        <f t="shared" si="7"/>
        <v>0</v>
      </c>
      <c r="U38" s="60">
        <f t="shared" si="7"/>
        <v>0</v>
      </c>
      <c r="V38" s="60">
        <f t="shared" si="7"/>
        <v>0</v>
      </c>
      <c r="W38" s="60">
        <f t="shared" si="7"/>
        <v>0</v>
      </c>
      <c r="Z38" s="77">
        <f>SUM(C38:Y38)</f>
        <v>11</v>
      </c>
      <c r="AA38" s="66">
        <f>Z38/$Z$52</f>
        <v>1.40485312899106E-2</v>
      </c>
      <c r="AB38" s="67">
        <f>0/10068</f>
        <v>0</v>
      </c>
    </row>
    <row r="39" spans="1:28" x14ac:dyDescent="0.4">
      <c r="A39" s="30" t="str">
        <f t="shared" ref="A39:A50" si="8">A21</f>
        <v>CANVASBACK</v>
      </c>
      <c r="C39" s="60">
        <f t="shared" si="7"/>
        <v>0</v>
      </c>
      <c r="D39" s="60">
        <f t="shared" si="7"/>
        <v>0</v>
      </c>
      <c r="E39" s="60">
        <f t="shared" si="7"/>
        <v>0</v>
      </c>
      <c r="F39" s="60">
        <f t="shared" si="7"/>
        <v>3</v>
      </c>
      <c r="G39" s="60">
        <f t="shared" si="7"/>
        <v>1</v>
      </c>
      <c r="H39" s="60">
        <f t="shared" si="7"/>
        <v>1</v>
      </c>
      <c r="I39" s="60">
        <f t="shared" si="7"/>
        <v>2</v>
      </c>
      <c r="J39" s="60">
        <f t="shared" si="7"/>
        <v>0</v>
      </c>
      <c r="K39" s="60">
        <f t="shared" si="7"/>
        <v>0</v>
      </c>
      <c r="L39" s="60">
        <f t="shared" si="7"/>
        <v>0</v>
      </c>
      <c r="M39" s="60">
        <f t="shared" si="7"/>
        <v>0</v>
      </c>
      <c r="N39" s="60">
        <f t="shared" si="7"/>
        <v>0</v>
      </c>
      <c r="O39" s="60">
        <f t="shared" si="7"/>
        <v>0</v>
      </c>
      <c r="P39" s="60">
        <f t="shared" si="7"/>
        <v>0</v>
      </c>
      <c r="Q39" s="60">
        <f t="shared" si="7"/>
        <v>0</v>
      </c>
      <c r="R39" s="60">
        <f t="shared" si="7"/>
        <v>1</v>
      </c>
      <c r="S39" s="60">
        <f t="shared" si="7"/>
        <v>1</v>
      </c>
      <c r="T39" s="60">
        <f t="shared" si="7"/>
        <v>0</v>
      </c>
      <c r="U39" s="60">
        <f t="shared" si="7"/>
        <v>0</v>
      </c>
      <c r="V39" s="60">
        <f t="shared" si="7"/>
        <v>0</v>
      </c>
      <c r="W39" s="60">
        <f t="shared" si="7"/>
        <v>3</v>
      </c>
      <c r="Z39" s="78">
        <f t="shared" ref="Z39:Z51" si="9">SUM(C39:Y39)</f>
        <v>12</v>
      </c>
      <c r="AA39" s="66">
        <f t="shared" ref="AA39:AA51" si="10">Z39/$Z$52</f>
        <v>1.532567049808429E-2</v>
      </c>
      <c r="AB39" s="67">
        <v>0</v>
      </c>
    </row>
    <row r="40" spans="1:28" x14ac:dyDescent="0.4">
      <c r="A40" s="30" t="str">
        <f t="shared" si="8"/>
        <v>GADWALL</v>
      </c>
      <c r="C40" s="60">
        <f t="shared" si="7"/>
        <v>1</v>
      </c>
      <c r="D40" s="60">
        <f t="shared" si="7"/>
        <v>1</v>
      </c>
      <c r="E40" s="60">
        <f t="shared" si="7"/>
        <v>1</v>
      </c>
      <c r="F40" s="60">
        <f t="shared" si="7"/>
        <v>4</v>
      </c>
      <c r="G40" s="60">
        <f t="shared" si="7"/>
        <v>4</v>
      </c>
      <c r="H40" s="60">
        <f t="shared" si="7"/>
        <v>0</v>
      </c>
      <c r="I40" s="60">
        <f t="shared" si="7"/>
        <v>9</v>
      </c>
      <c r="J40" s="60">
        <f t="shared" si="7"/>
        <v>0</v>
      </c>
      <c r="K40" s="60">
        <f t="shared" si="7"/>
        <v>0</v>
      </c>
      <c r="L40" s="60">
        <f t="shared" si="7"/>
        <v>0</v>
      </c>
      <c r="M40" s="60">
        <f t="shared" si="7"/>
        <v>0</v>
      </c>
      <c r="N40" s="60">
        <f t="shared" si="7"/>
        <v>0</v>
      </c>
      <c r="O40" s="60">
        <f t="shared" si="7"/>
        <v>2</v>
      </c>
      <c r="P40" s="60">
        <f t="shared" si="7"/>
        <v>0</v>
      </c>
      <c r="Q40" s="60">
        <f t="shared" si="7"/>
        <v>1</v>
      </c>
      <c r="R40" s="60">
        <f t="shared" si="7"/>
        <v>4</v>
      </c>
      <c r="S40" s="60">
        <f t="shared" si="7"/>
        <v>1</v>
      </c>
      <c r="T40" s="60">
        <f t="shared" si="7"/>
        <v>0</v>
      </c>
      <c r="U40" s="60">
        <f t="shared" si="7"/>
        <v>0</v>
      </c>
      <c r="V40" s="60">
        <f t="shared" si="7"/>
        <v>4</v>
      </c>
      <c r="W40" s="60">
        <f t="shared" si="7"/>
        <v>1</v>
      </c>
      <c r="Z40" s="78">
        <f t="shared" si="9"/>
        <v>33</v>
      </c>
      <c r="AA40" s="66">
        <f t="shared" si="10"/>
        <v>4.2145593869731802E-2</v>
      </c>
      <c r="AB40" s="67">
        <v>0</v>
      </c>
    </row>
    <row r="41" spans="1:28" x14ac:dyDescent="0.4">
      <c r="A41" s="30" t="str">
        <f t="shared" si="8"/>
        <v>GEESE</v>
      </c>
      <c r="C41" s="60">
        <f t="shared" si="7"/>
        <v>0</v>
      </c>
      <c r="D41" s="60">
        <f t="shared" si="7"/>
        <v>0</v>
      </c>
      <c r="E41" s="60">
        <f t="shared" si="7"/>
        <v>0</v>
      </c>
      <c r="F41" s="60">
        <f t="shared" si="7"/>
        <v>1</v>
      </c>
      <c r="G41" s="60">
        <f t="shared" si="7"/>
        <v>0</v>
      </c>
      <c r="H41" s="60">
        <f t="shared" si="7"/>
        <v>0</v>
      </c>
      <c r="I41" s="60">
        <f t="shared" si="7"/>
        <v>3</v>
      </c>
      <c r="J41" s="60">
        <f t="shared" si="7"/>
        <v>0</v>
      </c>
      <c r="K41" s="60">
        <f t="shared" si="7"/>
        <v>0</v>
      </c>
      <c r="L41" s="60">
        <f t="shared" si="7"/>
        <v>0</v>
      </c>
      <c r="M41" s="60">
        <f t="shared" si="7"/>
        <v>0</v>
      </c>
      <c r="N41" s="60">
        <f t="shared" si="7"/>
        <v>0</v>
      </c>
      <c r="O41" s="60">
        <f t="shared" si="7"/>
        <v>0</v>
      </c>
      <c r="P41" s="60">
        <f t="shared" si="7"/>
        <v>0</v>
      </c>
      <c r="Q41" s="60">
        <f t="shared" si="7"/>
        <v>0</v>
      </c>
      <c r="R41" s="60">
        <f t="shared" si="7"/>
        <v>0</v>
      </c>
      <c r="S41" s="60">
        <f t="shared" si="7"/>
        <v>0</v>
      </c>
      <c r="T41" s="60">
        <f t="shared" si="7"/>
        <v>0</v>
      </c>
      <c r="U41" s="60">
        <f t="shared" si="7"/>
        <v>0</v>
      </c>
      <c r="V41" s="60">
        <f t="shared" si="7"/>
        <v>2</v>
      </c>
      <c r="W41" s="60">
        <f t="shared" si="7"/>
        <v>4</v>
      </c>
      <c r="Z41" s="78">
        <f t="shared" si="9"/>
        <v>10</v>
      </c>
      <c r="AA41" s="66">
        <f t="shared" si="10"/>
        <v>1.277139208173691E-2</v>
      </c>
      <c r="AB41" s="67">
        <v>0</v>
      </c>
    </row>
    <row r="42" spans="1:28" x14ac:dyDescent="0.4">
      <c r="A42" s="30" t="str">
        <f t="shared" si="8"/>
        <v>MALLARD</v>
      </c>
      <c r="C42" s="60">
        <f t="shared" si="7"/>
        <v>1</v>
      </c>
      <c r="D42" s="60">
        <f t="shared" si="7"/>
        <v>0</v>
      </c>
      <c r="E42" s="60">
        <f t="shared" si="7"/>
        <v>0</v>
      </c>
      <c r="F42" s="60">
        <f t="shared" si="7"/>
        <v>3</v>
      </c>
      <c r="G42" s="60">
        <f t="shared" si="7"/>
        <v>1</v>
      </c>
      <c r="H42" s="60">
        <f t="shared" si="7"/>
        <v>3</v>
      </c>
      <c r="I42" s="60">
        <f t="shared" si="7"/>
        <v>1</v>
      </c>
      <c r="J42" s="60">
        <f t="shared" si="7"/>
        <v>0</v>
      </c>
      <c r="K42" s="60">
        <f t="shared" si="7"/>
        <v>1</v>
      </c>
      <c r="L42" s="60">
        <f t="shared" si="7"/>
        <v>3</v>
      </c>
      <c r="M42" s="60">
        <f t="shared" si="7"/>
        <v>0</v>
      </c>
      <c r="N42" s="60">
        <f t="shared" si="7"/>
        <v>0</v>
      </c>
      <c r="O42" s="60">
        <f t="shared" si="7"/>
        <v>0</v>
      </c>
      <c r="P42" s="60">
        <f t="shared" si="7"/>
        <v>0</v>
      </c>
      <c r="Q42" s="60">
        <f t="shared" si="7"/>
        <v>0</v>
      </c>
      <c r="R42" s="60">
        <f t="shared" si="7"/>
        <v>1</v>
      </c>
      <c r="S42" s="60">
        <f t="shared" si="7"/>
        <v>0</v>
      </c>
      <c r="T42" s="60">
        <f t="shared" si="7"/>
        <v>0</v>
      </c>
      <c r="U42" s="60">
        <f t="shared" si="7"/>
        <v>0</v>
      </c>
      <c r="V42" s="60">
        <f t="shared" si="7"/>
        <v>1</v>
      </c>
      <c r="W42" s="60">
        <f t="shared" si="7"/>
        <v>0</v>
      </c>
      <c r="Z42" s="78">
        <f t="shared" si="9"/>
        <v>15</v>
      </c>
      <c r="AA42" s="66">
        <f t="shared" si="10"/>
        <v>1.9157088122605363E-2</v>
      </c>
      <c r="AB42" s="67">
        <v>0</v>
      </c>
    </row>
    <row r="43" spans="1:28" x14ac:dyDescent="0.4">
      <c r="A43" s="30" t="str">
        <f t="shared" si="8"/>
        <v>PINTAIL</v>
      </c>
      <c r="C43" s="60">
        <f t="shared" si="7"/>
        <v>1</v>
      </c>
      <c r="D43" s="60">
        <f t="shared" si="7"/>
        <v>1</v>
      </c>
      <c r="E43" s="60">
        <f t="shared" si="7"/>
        <v>4</v>
      </c>
      <c r="F43" s="60">
        <f t="shared" si="7"/>
        <v>7</v>
      </c>
      <c r="G43" s="60">
        <f t="shared" si="7"/>
        <v>1</v>
      </c>
      <c r="H43" s="60">
        <f t="shared" si="7"/>
        <v>5</v>
      </c>
      <c r="I43" s="60">
        <f t="shared" si="7"/>
        <v>4</v>
      </c>
      <c r="J43" s="60">
        <f t="shared" si="7"/>
        <v>0</v>
      </c>
      <c r="K43" s="60">
        <f t="shared" si="7"/>
        <v>0</v>
      </c>
      <c r="L43" s="60">
        <f t="shared" si="7"/>
        <v>10</v>
      </c>
      <c r="M43" s="60">
        <f t="shared" si="7"/>
        <v>0</v>
      </c>
      <c r="N43" s="60">
        <f t="shared" si="7"/>
        <v>1</v>
      </c>
      <c r="O43" s="60">
        <f t="shared" si="7"/>
        <v>0</v>
      </c>
      <c r="P43" s="60">
        <f t="shared" si="7"/>
        <v>0</v>
      </c>
      <c r="Q43" s="60">
        <f t="shared" si="7"/>
        <v>1</v>
      </c>
      <c r="R43" s="60">
        <f t="shared" si="7"/>
        <v>5</v>
      </c>
      <c r="S43" s="60">
        <f t="shared" si="7"/>
        <v>2</v>
      </c>
      <c r="T43" s="60">
        <f t="shared" si="7"/>
        <v>0</v>
      </c>
      <c r="U43" s="60">
        <f t="shared" si="7"/>
        <v>0</v>
      </c>
      <c r="V43" s="60">
        <f t="shared" si="7"/>
        <v>7</v>
      </c>
      <c r="W43" s="60">
        <f t="shared" si="7"/>
        <v>9</v>
      </c>
      <c r="Z43" s="78">
        <f t="shared" si="9"/>
        <v>58</v>
      </c>
      <c r="AA43" s="66">
        <f t="shared" si="10"/>
        <v>7.407407407407407E-2</v>
      </c>
      <c r="AB43" s="67">
        <v>0</v>
      </c>
    </row>
    <row r="44" spans="1:28" x14ac:dyDescent="0.4">
      <c r="A44" s="30" t="str">
        <f t="shared" si="8"/>
        <v>REDHEAD</v>
      </c>
      <c r="C44" s="60">
        <f t="shared" si="7"/>
        <v>0</v>
      </c>
      <c r="D44" s="60">
        <f t="shared" si="7"/>
        <v>0</v>
      </c>
      <c r="E44" s="60">
        <f t="shared" si="7"/>
        <v>0</v>
      </c>
      <c r="F44" s="60">
        <f t="shared" si="7"/>
        <v>0</v>
      </c>
      <c r="G44" s="60">
        <f t="shared" si="7"/>
        <v>0</v>
      </c>
      <c r="H44" s="60">
        <f t="shared" si="7"/>
        <v>0</v>
      </c>
      <c r="I44" s="60">
        <f t="shared" si="7"/>
        <v>0</v>
      </c>
      <c r="J44" s="60">
        <f t="shared" si="7"/>
        <v>0</v>
      </c>
      <c r="K44" s="60">
        <f t="shared" si="7"/>
        <v>0</v>
      </c>
      <c r="L44" s="60">
        <f t="shared" si="7"/>
        <v>2</v>
      </c>
      <c r="M44" s="60">
        <f t="shared" si="7"/>
        <v>0</v>
      </c>
      <c r="N44" s="60">
        <f t="shared" si="7"/>
        <v>0</v>
      </c>
      <c r="O44" s="60">
        <f t="shared" si="7"/>
        <v>0</v>
      </c>
      <c r="P44" s="60">
        <f t="shared" si="7"/>
        <v>0</v>
      </c>
      <c r="Q44" s="60">
        <f t="shared" si="7"/>
        <v>0</v>
      </c>
      <c r="R44" s="60">
        <f t="shared" si="7"/>
        <v>0</v>
      </c>
      <c r="S44" s="60">
        <f t="shared" si="7"/>
        <v>1</v>
      </c>
      <c r="T44" s="60">
        <f t="shared" si="7"/>
        <v>0</v>
      </c>
      <c r="U44" s="60">
        <f t="shared" si="7"/>
        <v>0</v>
      </c>
      <c r="V44" s="60">
        <f t="shared" si="7"/>
        <v>0</v>
      </c>
      <c r="W44" s="60">
        <f t="shared" si="7"/>
        <v>0</v>
      </c>
      <c r="Z44" s="78">
        <f t="shared" si="9"/>
        <v>3</v>
      </c>
      <c r="AA44" s="66">
        <f t="shared" si="10"/>
        <v>3.8314176245210726E-3</v>
      </c>
      <c r="AB44" s="67">
        <v>0</v>
      </c>
    </row>
    <row r="45" spans="1:28" x14ac:dyDescent="0.4">
      <c r="A45" s="30" t="str">
        <f t="shared" si="8"/>
        <v>RINGNECK</v>
      </c>
      <c r="C45" s="60">
        <f t="shared" si="7"/>
        <v>0</v>
      </c>
      <c r="D45" s="60">
        <f t="shared" si="7"/>
        <v>0</v>
      </c>
      <c r="E45" s="60">
        <f t="shared" si="7"/>
        <v>0</v>
      </c>
      <c r="F45" s="60">
        <f t="shared" si="7"/>
        <v>0</v>
      </c>
      <c r="G45" s="60">
        <f t="shared" si="7"/>
        <v>0</v>
      </c>
      <c r="H45" s="60">
        <f t="shared" si="7"/>
        <v>0</v>
      </c>
      <c r="I45" s="60">
        <f t="shared" si="7"/>
        <v>0</v>
      </c>
      <c r="J45" s="60">
        <f t="shared" si="7"/>
        <v>0</v>
      </c>
      <c r="K45" s="60">
        <f t="shared" si="7"/>
        <v>0</v>
      </c>
      <c r="L45" s="60">
        <f t="shared" si="7"/>
        <v>0</v>
      </c>
      <c r="M45" s="60">
        <f t="shared" si="7"/>
        <v>0</v>
      </c>
      <c r="N45" s="60">
        <f t="shared" si="7"/>
        <v>0</v>
      </c>
      <c r="O45" s="60">
        <f t="shared" si="7"/>
        <v>0</v>
      </c>
      <c r="P45" s="60">
        <f t="shared" si="7"/>
        <v>0</v>
      </c>
      <c r="Q45" s="60">
        <f t="shared" si="7"/>
        <v>0</v>
      </c>
      <c r="R45" s="60">
        <f t="shared" si="7"/>
        <v>0</v>
      </c>
      <c r="S45" s="60">
        <f t="shared" si="7"/>
        <v>0</v>
      </c>
      <c r="T45" s="60">
        <f t="shared" si="7"/>
        <v>0</v>
      </c>
      <c r="U45" s="60">
        <f t="shared" si="7"/>
        <v>0</v>
      </c>
      <c r="V45" s="60">
        <f t="shared" si="7"/>
        <v>0</v>
      </c>
      <c r="W45" s="60">
        <f t="shared" si="7"/>
        <v>0</v>
      </c>
      <c r="Z45" s="78">
        <f t="shared" si="9"/>
        <v>0</v>
      </c>
      <c r="AA45" s="66">
        <f t="shared" si="10"/>
        <v>0</v>
      </c>
      <c r="AB45" s="67">
        <v>0</v>
      </c>
    </row>
    <row r="46" spans="1:28" x14ac:dyDescent="0.4">
      <c r="A46" s="30" t="str">
        <f t="shared" si="8"/>
        <v>B'HEAD</v>
      </c>
      <c r="C46" s="60">
        <f t="shared" si="7"/>
        <v>0</v>
      </c>
      <c r="D46" s="60">
        <f t="shared" si="7"/>
        <v>0</v>
      </c>
      <c r="E46" s="60">
        <f t="shared" si="7"/>
        <v>0</v>
      </c>
      <c r="F46" s="60">
        <f t="shared" si="7"/>
        <v>1</v>
      </c>
      <c r="G46" s="60">
        <f t="shared" si="7"/>
        <v>0</v>
      </c>
      <c r="H46" s="60">
        <f t="shared" si="7"/>
        <v>0</v>
      </c>
      <c r="I46" s="60">
        <f t="shared" si="7"/>
        <v>2</v>
      </c>
      <c r="J46" s="60">
        <f t="shared" si="7"/>
        <v>0</v>
      </c>
      <c r="K46" s="60">
        <f t="shared" si="7"/>
        <v>0</v>
      </c>
      <c r="L46" s="60">
        <f t="shared" si="7"/>
        <v>0</v>
      </c>
      <c r="M46" s="60">
        <f t="shared" si="7"/>
        <v>0</v>
      </c>
      <c r="N46" s="60">
        <f t="shared" si="7"/>
        <v>0</v>
      </c>
      <c r="O46" s="60">
        <f t="shared" si="7"/>
        <v>0</v>
      </c>
      <c r="P46" s="60">
        <f t="shared" si="7"/>
        <v>0</v>
      </c>
      <c r="Q46" s="60">
        <f t="shared" si="7"/>
        <v>0</v>
      </c>
      <c r="R46" s="60">
        <f t="shared" si="7"/>
        <v>1</v>
      </c>
      <c r="S46" s="60">
        <f t="shared" si="7"/>
        <v>0</v>
      </c>
      <c r="T46" s="60">
        <f t="shared" si="7"/>
        <v>0</v>
      </c>
      <c r="U46" s="60">
        <f t="shared" si="7"/>
        <v>0</v>
      </c>
      <c r="V46" s="60">
        <f t="shared" si="7"/>
        <v>0</v>
      </c>
      <c r="W46" s="60">
        <f t="shared" si="7"/>
        <v>0</v>
      </c>
      <c r="Z46" s="78">
        <f t="shared" si="9"/>
        <v>4</v>
      </c>
      <c r="AA46" s="66">
        <f t="shared" si="10"/>
        <v>5.108556832694764E-3</v>
      </c>
      <c r="AB46" s="67">
        <v>0</v>
      </c>
    </row>
    <row r="47" spans="1:28" x14ac:dyDescent="0.4">
      <c r="A47" s="30" t="str">
        <f t="shared" si="8"/>
        <v>SPOONY</v>
      </c>
      <c r="C47" s="60">
        <f t="shared" si="7"/>
        <v>12</v>
      </c>
      <c r="D47" s="60">
        <f t="shared" si="7"/>
        <v>6</v>
      </c>
      <c r="E47" s="60">
        <f t="shared" si="7"/>
        <v>2</v>
      </c>
      <c r="F47" s="60">
        <f t="shared" si="7"/>
        <v>22</v>
      </c>
      <c r="G47" s="60">
        <f t="shared" si="7"/>
        <v>10</v>
      </c>
      <c r="H47" s="60">
        <f t="shared" si="7"/>
        <v>7</v>
      </c>
      <c r="I47" s="60">
        <f t="shared" si="7"/>
        <v>32</v>
      </c>
      <c r="J47" s="60">
        <f t="shared" si="7"/>
        <v>0</v>
      </c>
      <c r="K47" s="60">
        <f t="shared" si="7"/>
        <v>7</v>
      </c>
      <c r="L47" s="60">
        <f t="shared" si="7"/>
        <v>21</v>
      </c>
      <c r="M47" s="60">
        <f t="shared" si="7"/>
        <v>1</v>
      </c>
      <c r="N47" s="60">
        <f t="shared" si="7"/>
        <v>5</v>
      </c>
      <c r="O47" s="60">
        <f t="shared" si="7"/>
        <v>3</v>
      </c>
      <c r="P47" s="60">
        <f t="shared" si="7"/>
        <v>0</v>
      </c>
      <c r="Q47" s="60">
        <f t="shared" si="7"/>
        <v>2</v>
      </c>
      <c r="R47" s="60">
        <f t="shared" si="7"/>
        <v>36</v>
      </c>
      <c r="S47" s="60">
        <f t="shared" si="7"/>
        <v>12</v>
      </c>
      <c r="T47" s="60">
        <f t="shared" si="7"/>
        <v>1</v>
      </c>
      <c r="U47" s="60">
        <f t="shared" si="7"/>
        <v>0</v>
      </c>
      <c r="V47" s="60">
        <f t="shared" si="7"/>
        <v>24</v>
      </c>
      <c r="W47" s="60">
        <f t="shared" si="7"/>
        <v>47</v>
      </c>
      <c r="Z47" s="78">
        <f t="shared" si="9"/>
        <v>250</v>
      </c>
      <c r="AA47" s="66">
        <f t="shared" si="10"/>
        <v>0.31928480204342274</v>
      </c>
      <c r="AB47" s="67">
        <v>0</v>
      </c>
    </row>
    <row r="48" spans="1:28" x14ac:dyDescent="0.4">
      <c r="A48" s="30" t="str">
        <f t="shared" si="8"/>
        <v>TEAL</v>
      </c>
      <c r="C48" s="60">
        <f t="shared" si="7"/>
        <v>22</v>
      </c>
      <c r="D48" s="60">
        <f t="shared" si="7"/>
        <v>3</v>
      </c>
      <c r="E48" s="60">
        <f t="shared" si="7"/>
        <v>14</v>
      </c>
      <c r="F48" s="60">
        <f t="shared" si="7"/>
        <v>18</v>
      </c>
      <c r="G48" s="60">
        <f t="shared" si="7"/>
        <v>8</v>
      </c>
      <c r="H48" s="60">
        <f t="shared" si="7"/>
        <v>30</v>
      </c>
      <c r="I48" s="60">
        <f t="shared" si="7"/>
        <v>36</v>
      </c>
      <c r="J48" s="60">
        <f t="shared" si="7"/>
        <v>0</v>
      </c>
      <c r="K48" s="60">
        <f t="shared" si="7"/>
        <v>5</v>
      </c>
      <c r="L48" s="60">
        <f t="shared" si="7"/>
        <v>39</v>
      </c>
      <c r="M48" s="60">
        <f t="shared" si="7"/>
        <v>0</v>
      </c>
      <c r="N48" s="60">
        <f t="shared" si="7"/>
        <v>11</v>
      </c>
      <c r="O48" s="60">
        <f t="shared" si="7"/>
        <v>5</v>
      </c>
      <c r="P48" s="60">
        <f t="shared" si="7"/>
        <v>0</v>
      </c>
      <c r="Q48" s="60">
        <f t="shared" si="7"/>
        <v>5</v>
      </c>
      <c r="R48" s="60">
        <f t="shared" si="7"/>
        <v>53</v>
      </c>
      <c r="S48" s="60">
        <f t="shared" si="7"/>
        <v>2</v>
      </c>
      <c r="T48" s="60">
        <f t="shared" si="7"/>
        <v>0</v>
      </c>
      <c r="U48" s="60">
        <f t="shared" si="7"/>
        <v>0</v>
      </c>
      <c r="V48" s="60">
        <f t="shared" si="7"/>
        <v>36</v>
      </c>
      <c r="W48" s="60">
        <f t="shared" si="7"/>
        <v>43</v>
      </c>
      <c r="Z48" s="78">
        <f t="shared" si="9"/>
        <v>330</v>
      </c>
      <c r="AA48" s="66">
        <f t="shared" si="10"/>
        <v>0.42145593869731801</v>
      </c>
      <c r="AB48" s="67">
        <v>0</v>
      </c>
    </row>
    <row r="49" spans="1:28" x14ac:dyDescent="0.4">
      <c r="A49" s="30" t="str">
        <f t="shared" si="8"/>
        <v>WIDGEON</v>
      </c>
      <c r="C49" s="60">
        <f t="shared" si="7"/>
        <v>2</v>
      </c>
      <c r="D49" s="60">
        <f t="shared" si="7"/>
        <v>0</v>
      </c>
      <c r="E49" s="60">
        <f t="shared" si="7"/>
        <v>3</v>
      </c>
      <c r="F49" s="60">
        <f t="shared" si="7"/>
        <v>2</v>
      </c>
      <c r="G49" s="60">
        <f t="shared" si="7"/>
        <v>0</v>
      </c>
      <c r="H49" s="60">
        <f t="shared" si="7"/>
        <v>2</v>
      </c>
      <c r="I49" s="60">
        <f t="shared" si="7"/>
        <v>3</v>
      </c>
      <c r="J49" s="60">
        <f t="shared" si="7"/>
        <v>0</v>
      </c>
      <c r="K49" s="60">
        <f t="shared" si="7"/>
        <v>0</v>
      </c>
      <c r="L49" s="60">
        <f t="shared" si="7"/>
        <v>4</v>
      </c>
      <c r="M49" s="60">
        <f t="shared" si="7"/>
        <v>0</v>
      </c>
      <c r="N49" s="60">
        <f t="shared" si="7"/>
        <v>1</v>
      </c>
      <c r="O49" s="60">
        <f t="shared" si="7"/>
        <v>1</v>
      </c>
      <c r="P49" s="60">
        <f t="shared" si="7"/>
        <v>0</v>
      </c>
      <c r="Q49" s="60">
        <f t="shared" si="7"/>
        <v>1</v>
      </c>
      <c r="R49" s="60">
        <f t="shared" si="7"/>
        <v>7</v>
      </c>
      <c r="S49" s="60">
        <f t="shared" si="7"/>
        <v>2</v>
      </c>
      <c r="T49" s="60">
        <f t="shared" si="7"/>
        <v>0</v>
      </c>
      <c r="U49" s="60">
        <f t="shared" si="7"/>
        <v>0</v>
      </c>
      <c r="V49" s="60">
        <f t="shared" si="7"/>
        <v>14</v>
      </c>
      <c r="W49" s="60">
        <f t="shared" si="7"/>
        <v>7</v>
      </c>
      <c r="Z49" s="78">
        <f t="shared" si="9"/>
        <v>49</v>
      </c>
      <c r="AA49" s="66">
        <f t="shared" si="10"/>
        <v>6.2579821200510852E-2</v>
      </c>
      <c r="AB49" s="67">
        <v>0</v>
      </c>
    </row>
    <row r="50" spans="1:28" x14ac:dyDescent="0.4">
      <c r="A50" s="30" t="str">
        <f t="shared" si="8"/>
        <v>MISC-FULVOUS TD</v>
      </c>
      <c r="C50" s="60">
        <f t="shared" si="7"/>
        <v>0</v>
      </c>
      <c r="D50" s="60">
        <f t="shared" si="7"/>
        <v>0</v>
      </c>
      <c r="E50" s="60">
        <f t="shared" si="7"/>
        <v>0</v>
      </c>
      <c r="F50" s="60">
        <f t="shared" ref="C50:W51" si="11">F15+F32</f>
        <v>1</v>
      </c>
      <c r="G50" s="60">
        <f t="shared" si="11"/>
        <v>0</v>
      </c>
      <c r="H50" s="60">
        <f t="shared" si="11"/>
        <v>0</v>
      </c>
      <c r="I50" s="60">
        <f t="shared" si="11"/>
        <v>0</v>
      </c>
      <c r="J50" s="60">
        <f t="shared" si="11"/>
        <v>0</v>
      </c>
      <c r="K50" s="60">
        <f t="shared" si="11"/>
        <v>0</v>
      </c>
      <c r="L50" s="60">
        <f t="shared" si="11"/>
        <v>1</v>
      </c>
      <c r="M50" s="60">
        <f t="shared" si="11"/>
        <v>0</v>
      </c>
      <c r="N50" s="60">
        <f t="shared" si="11"/>
        <v>0</v>
      </c>
      <c r="O50" s="60">
        <f t="shared" si="11"/>
        <v>0</v>
      </c>
      <c r="P50" s="60">
        <f t="shared" si="11"/>
        <v>0</v>
      </c>
      <c r="Q50" s="60">
        <f t="shared" si="11"/>
        <v>0</v>
      </c>
      <c r="R50" s="60">
        <f t="shared" si="11"/>
        <v>4</v>
      </c>
      <c r="S50" s="60">
        <f t="shared" si="11"/>
        <v>2</v>
      </c>
      <c r="T50" s="60">
        <f t="shared" si="11"/>
        <v>0</v>
      </c>
      <c r="U50" s="60">
        <f t="shared" si="11"/>
        <v>0</v>
      </c>
      <c r="V50" s="60">
        <f t="shared" si="11"/>
        <v>0</v>
      </c>
      <c r="W50" s="60">
        <f t="shared" si="11"/>
        <v>0</v>
      </c>
      <c r="Z50" s="78">
        <f t="shared" si="9"/>
        <v>8</v>
      </c>
      <c r="AA50" s="66">
        <f t="shared" si="10"/>
        <v>1.0217113665389528E-2</v>
      </c>
      <c r="AB50" s="67">
        <v>0</v>
      </c>
    </row>
    <row r="51" spans="1:28" ht="13" thickBot="1" x14ac:dyDescent="0.45">
      <c r="A51" s="30" t="s">
        <v>58</v>
      </c>
      <c r="C51" s="62">
        <f t="shared" si="11"/>
        <v>0</v>
      </c>
      <c r="D51" s="62">
        <f t="shared" si="11"/>
        <v>0</v>
      </c>
      <c r="E51" s="62">
        <f t="shared" si="11"/>
        <v>0</v>
      </c>
      <c r="F51" s="62">
        <f t="shared" si="11"/>
        <v>0</v>
      </c>
      <c r="G51" s="62">
        <f t="shared" si="11"/>
        <v>0</v>
      </c>
      <c r="H51" s="62">
        <f t="shared" si="11"/>
        <v>0</v>
      </c>
      <c r="I51" s="62">
        <f t="shared" si="11"/>
        <v>0</v>
      </c>
      <c r="J51" s="62">
        <f t="shared" si="11"/>
        <v>0</v>
      </c>
      <c r="K51" s="62">
        <f t="shared" si="11"/>
        <v>0</v>
      </c>
      <c r="L51" s="62">
        <f t="shared" si="11"/>
        <v>0</v>
      </c>
      <c r="M51" s="62">
        <f t="shared" si="11"/>
        <v>0</v>
      </c>
      <c r="N51" s="62">
        <f t="shared" si="11"/>
        <v>0</v>
      </c>
      <c r="O51" s="62">
        <f t="shared" si="11"/>
        <v>0</v>
      </c>
      <c r="P51" s="62">
        <f t="shared" si="11"/>
        <v>0</v>
      </c>
      <c r="Q51" s="62">
        <f t="shared" si="11"/>
        <v>0</v>
      </c>
      <c r="R51" s="62">
        <f t="shared" si="11"/>
        <v>0</v>
      </c>
      <c r="S51" s="62">
        <f t="shared" si="11"/>
        <v>0</v>
      </c>
      <c r="T51" s="62">
        <f t="shared" si="11"/>
        <v>0</v>
      </c>
      <c r="U51" s="62">
        <f t="shared" si="11"/>
        <v>0</v>
      </c>
      <c r="V51" s="62">
        <f>V16+V33</f>
        <v>0</v>
      </c>
      <c r="W51" s="62">
        <f>W16+W33</f>
        <v>0</v>
      </c>
      <c r="X51" s="62"/>
      <c r="Y51" s="62"/>
      <c r="Z51" s="68">
        <f t="shared" si="9"/>
        <v>0</v>
      </c>
      <c r="AA51" s="69">
        <f t="shared" si="10"/>
        <v>0</v>
      </c>
      <c r="AB51" s="70">
        <v>0</v>
      </c>
    </row>
    <row r="52" spans="1:28" x14ac:dyDescent="0.4">
      <c r="A52" s="30" t="s">
        <v>25</v>
      </c>
      <c r="C52" s="60">
        <f>0+SUM(C38:C51)</f>
        <v>40</v>
      </c>
      <c r="D52" s="60">
        <f t="shared" ref="D52:U52" si="12">0+SUM(D38:D51)</f>
        <v>11</v>
      </c>
      <c r="E52" s="60">
        <f t="shared" si="12"/>
        <v>24</v>
      </c>
      <c r="F52" s="60">
        <f t="shared" si="12"/>
        <v>62</v>
      </c>
      <c r="G52" s="60">
        <f t="shared" si="12"/>
        <v>25</v>
      </c>
      <c r="H52" s="60">
        <f t="shared" si="12"/>
        <v>49</v>
      </c>
      <c r="I52" s="60">
        <f t="shared" si="12"/>
        <v>92</v>
      </c>
      <c r="J52" s="60">
        <f t="shared" si="12"/>
        <v>0</v>
      </c>
      <c r="K52" s="60">
        <f t="shared" si="12"/>
        <v>13</v>
      </c>
      <c r="L52" s="60">
        <f t="shared" si="12"/>
        <v>84</v>
      </c>
      <c r="M52" s="60">
        <f t="shared" si="12"/>
        <v>1</v>
      </c>
      <c r="N52" s="60">
        <f t="shared" si="12"/>
        <v>18</v>
      </c>
      <c r="O52" s="60">
        <f t="shared" si="12"/>
        <v>11</v>
      </c>
      <c r="P52" s="60">
        <f t="shared" si="12"/>
        <v>0</v>
      </c>
      <c r="Q52" s="60">
        <f t="shared" si="12"/>
        <v>10</v>
      </c>
      <c r="R52" s="60">
        <f t="shared" si="12"/>
        <v>117</v>
      </c>
      <c r="S52" s="60">
        <f t="shared" si="12"/>
        <v>23</v>
      </c>
      <c r="T52" s="60">
        <f t="shared" si="12"/>
        <v>1</v>
      </c>
      <c r="U52" s="60">
        <f t="shared" si="12"/>
        <v>0</v>
      </c>
      <c r="V52" s="60">
        <f>0+SUM(V38:V51)</f>
        <v>88</v>
      </c>
      <c r="W52" s="60">
        <f>0+SUM(W38:W51)</f>
        <v>114</v>
      </c>
      <c r="X52" s="60">
        <f>0+SUM(X38:X51)</f>
        <v>0</v>
      </c>
      <c r="Y52" s="60">
        <f>0+SUM(Y38:Y51)</f>
        <v>0</v>
      </c>
      <c r="Z52" s="30">
        <f>SUM(Z38:Z51)</f>
        <v>783</v>
      </c>
      <c r="AB52" s="71"/>
    </row>
    <row r="53" spans="1:28" x14ac:dyDescent="0.4">
      <c r="A53" s="30" t="s">
        <v>48</v>
      </c>
      <c r="C53" s="72">
        <f t="shared" ref="C53:U53" si="13">C52/$Z$52</f>
        <v>5.108556832694764E-2</v>
      </c>
      <c r="D53" s="72">
        <f t="shared" si="13"/>
        <v>1.40485312899106E-2</v>
      </c>
      <c r="E53" s="72">
        <f t="shared" si="13"/>
        <v>3.0651340996168581E-2</v>
      </c>
      <c r="F53" s="72">
        <f t="shared" si="13"/>
        <v>7.9182630906768844E-2</v>
      </c>
      <c r="G53" s="72">
        <f t="shared" si="13"/>
        <v>3.1928480204342274E-2</v>
      </c>
      <c r="H53" s="72">
        <f t="shared" si="13"/>
        <v>6.2579821200510852E-2</v>
      </c>
      <c r="I53" s="72">
        <f t="shared" si="13"/>
        <v>0.11749680715197956</v>
      </c>
      <c r="J53" s="72">
        <f t="shared" si="13"/>
        <v>0</v>
      </c>
      <c r="K53" s="72">
        <f t="shared" si="13"/>
        <v>1.6602809706257982E-2</v>
      </c>
      <c r="L53" s="72">
        <f t="shared" si="13"/>
        <v>0.10727969348659004</v>
      </c>
      <c r="M53" s="72">
        <f t="shared" si="13"/>
        <v>1.277139208173691E-3</v>
      </c>
      <c r="N53" s="72">
        <f t="shared" si="13"/>
        <v>2.2988505747126436E-2</v>
      </c>
      <c r="O53" s="72">
        <f t="shared" si="13"/>
        <v>1.40485312899106E-2</v>
      </c>
      <c r="P53" s="72">
        <f t="shared" si="13"/>
        <v>0</v>
      </c>
      <c r="Q53" s="72">
        <f t="shared" si="13"/>
        <v>1.277139208173691E-2</v>
      </c>
      <c r="R53" s="72">
        <f t="shared" si="13"/>
        <v>0.14942528735632185</v>
      </c>
      <c r="S53" s="72">
        <f t="shared" si="13"/>
        <v>2.9374201787994891E-2</v>
      </c>
      <c r="T53" s="72">
        <f t="shared" si="13"/>
        <v>1.277139208173691E-3</v>
      </c>
      <c r="U53" s="72">
        <f t="shared" si="13"/>
        <v>0</v>
      </c>
      <c r="V53" s="72">
        <f>V52/$Z$52</f>
        <v>0.1123882503192848</v>
      </c>
      <c r="W53" s="72">
        <f>W52/$Z$52</f>
        <v>0.14559386973180077</v>
      </c>
      <c r="X53" s="72">
        <f>X52/$Z$52</f>
        <v>0</v>
      </c>
      <c r="Y53" s="72">
        <f>Y52/$Z$52</f>
        <v>0</v>
      </c>
    </row>
    <row r="54" spans="1:28" x14ac:dyDescent="0.4">
      <c r="A54" s="5" t="s">
        <v>47</v>
      </c>
    </row>
    <row r="55" spans="1:28" x14ac:dyDescent="0.4">
      <c r="A55" s="30" t="s">
        <v>40</v>
      </c>
      <c r="D55" s="73">
        <v>144</v>
      </c>
    </row>
    <row r="56" spans="1:28" x14ac:dyDescent="0.4">
      <c r="A56" s="30" t="s">
        <v>41</v>
      </c>
      <c r="D56" s="74">
        <f>Z17/D55</f>
        <v>1.8958333333333333</v>
      </c>
    </row>
    <row r="57" spans="1:28" x14ac:dyDescent="0.4">
      <c r="A57" s="30" t="s">
        <v>42</v>
      </c>
      <c r="D57" s="73">
        <v>233</v>
      </c>
    </row>
    <row r="58" spans="1:28" x14ac:dyDescent="0.4">
      <c r="A58" s="30" t="s">
        <v>43</v>
      </c>
      <c r="D58" s="74">
        <f>Z34/D57</f>
        <v>2.3047210300429186</v>
      </c>
      <c r="F58" s="29" t="s">
        <v>62</v>
      </c>
    </row>
    <row r="59" spans="1:28" x14ac:dyDescent="0.4">
      <c r="A59" s="30" t="s">
        <v>44</v>
      </c>
      <c r="D59" s="73">
        <f>D55+D57</f>
        <v>377</v>
      </c>
      <c r="F59" s="74">
        <f>10068/3358</f>
        <v>2.9982132221560454</v>
      </c>
      <c r="J59" s="76" t="s">
        <v>86</v>
      </c>
      <c r="L59" s="60">
        <v>0</v>
      </c>
    </row>
    <row r="60" spans="1:28" x14ac:dyDescent="0.4">
      <c r="A60" s="30" t="s">
        <v>45</v>
      </c>
      <c r="D60" s="74">
        <f>Z52/D59</f>
        <v>2.0769230769230771</v>
      </c>
      <c r="F60" s="74">
        <f>10068/2400</f>
        <v>4.1950000000000003</v>
      </c>
      <c r="G60" s="64" t="s">
        <v>77</v>
      </c>
      <c r="J60" s="76" t="s">
        <v>82</v>
      </c>
      <c r="L60" s="74" t="e">
        <f>SUM(N52:W52)/L59</f>
        <v>#DIV/0!</v>
      </c>
    </row>
    <row r="61" spans="1:28" x14ac:dyDescent="0.4">
      <c r="A61" s="30" t="s">
        <v>46</v>
      </c>
      <c r="D61" s="75">
        <f>Z52/250</f>
        <v>3.1320000000000001</v>
      </c>
      <c r="F61" s="74">
        <f>5200/10068</f>
        <v>0.51648788239968213</v>
      </c>
      <c r="G61" s="64" t="s">
        <v>64</v>
      </c>
    </row>
    <row r="62" spans="1:28" x14ac:dyDescent="0.4">
      <c r="A62" s="5" t="s">
        <v>49</v>
      </c>
      <c r="D62" s="7"/>
    </row>
    <row r="67" spans="1:4" x14ac:dyDescent="0.4">
      <c r="A67" s="5" t="s">
        <v>56</v>
      </c>
      <c r="D67" s="7"/>
    </row>
    <row r="68" spans="1:4" x14ac:dyDescent="0.4">
      <c r="A68" s="30" t="s">
        <v>109</v>
      </c>
    </row>
  </sheetData>
  <phoneticPr fontId="0" type="noConversion"/>
  <printOptions horizontalCentered="1" verticalCentered="1" gridLines="1" gridLinesSet="0"/>
  <pageMargins left="0.25" right="0.25" top="0.75" bottom="0.5" header="0.5" footer="0.5"/>
  <pageSetup scale="61" orientation="landscape"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68"/>
  <sheetViews>
    <sheetView topLeftCell="A47" zoomScale="80" zoomScaleNormal="80" workbookViewId="0">
      <selection activeCell="H74" sqref="H74"/>
    </sheetView>
  </sheetViews>
  <sheetFormatPr defaultColWidth="7.703125" defaultRowHeight="12.7" x14ac:dyDescent="0.4"/>
  <cols>
    <col min="1" max="1" width="20.1171875" style="30" customWidth="1"/>
    <col min="2" max="2" width="4.41015625" style="30" customWidth="1"/>
    <col min="3" max="5" width="6.703125" style="60" customWidth="1"/>
    <col min="6" max="6" width="8.703125" style="60" customWidth="1"/>
    <col min="7" max="7" width="6.703125" style="60" customWidth="1"/>
    <col min="8" max="8" width="8.41015625" style="60" customWidth="1"/>
    <col min="9" max="9" width="7.703125" style="60" customWidth="1"/>
    <col min="10" max="10" width="6.703125" style="60" customWidth="1"/>
    <col min="11" max="11" width="8.87890625" style="60" customWidth="1"/>
    <col min="12" max="12" width="7.29296875" style="60" customWidth="1"/>
    <col min="13" max="17" width="6.703125" style="60" customWidth="1"/>
    <col min="18" max="18" width="7.41015625" style="60" customWidth="1"/>
    <col min="19" max="22" width="6.703125" style="60" customWidth="1"/>
    <col min="23" max="23" width="7.703125" style="60" customWidth="1"/>
    <col min="24" max="25" width="6.703125" style="60" customWidth="1"/>
    <col min="26" max="26" width="8.703125" style="30" customWidth="1"/>
    <col min="27" max="27" width="9.29296875" style="30" customWidth="1"/>
    <col min="28" max="28" width="9.87890625" style="30" customWidth="1"/>
    <col min="29" max="16384" width="7.703125" style="30"/>
  </cols>
  <sheetData>
    <row r="1" spans="1:26" ht="13" thickBot="1" x14ac:dyDescent="0.45">
      <c r="A1" s="5" t="s">
        <v>106</v>
      </c>
    </row>
    <row r="2" spans="1:26"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3" t="s">
        <v>2</v>
      </c>
    </row>
    <row r="3" spans="1:26" x14ac:dyDescent="0.4">
      <c r="A3" s="30" t="s">
        <v>34</v>
      </c>
      <c r="Z3" s="77">
        <f t="shared" ref="Z3:Z8" si="0">SUM(C3:Y3)</f>
        <v>0</v>
      </c>
    </row>
    <row r="4" spans="1:26" x14ac:dyDescent="0.4">
      <c r="A4" s="30" t="s">
        <v>35</v>
      </c>
      <c r="Z4" s="78">
        <f t="shared" si="0"/>
        <v>0</v>
      </c>
    </row>
    <row r="5" spans="1:26" x14ac:dyDescent="0.4">
      <c r="A5" s="30" t="s">
        <v>16</v>
      </c>
      <c r="C5" s="60">
        <v>1</v>
      </c>
      <c r="D5" s="60">
        <v>1</v>
      </c>
      <c r="F5" s="60">
        <v>1</v>
      </c>
      <c r="G5" s="60">
        <v>1</v>
      </c>
      <c r="I5" s="60">
        <v>2</v>
      </c>
      <c r="L5" s="60">
        <v>3</v>
      </c>
      <c r="Z5" s="78">
        <f t="shared" si="0"/>
        <v>9</v>
      </c>
    </row>
    <row r="6" spans="1:26" x14ac:dyDescent="0.4">
      <c r="A6" s="30" t="s">
        <v>29</v>
      </c>
      <c r="H6" s="60">
        <v>1</v>
      </c>
      <c r="S6" s="60">
        <v>3</v>
      </c>
      <c r="W6" s="60">
        <v>1</v>
      </c>
      <c r="Z6" s="78">
        <f t="shared" si="0"/>
        <v>5</v>
      </c>
    </row>
    <row r="7" spans="1:26" x14ac:dyDescent="0.4">
      <c r="A7" s="30" t="s">
        <v>18</v>
      </c>
      <c r="F7" s="60">
        <v>1</v>
      </c>
      <c r="H7" s="60">
        <v>2</v>
      </c>
      <c r="I7" s="60">
        <v>3</v>
      </c>
      <c r="L7" s="60">
        <v>2</v>
      </c>
      <c r="Z7" s="78">
        <f t="shared" si="0"/>
        <v>8</v>
      </c>
    </row>
    <row r="8" spans="1:26" x14ac:dyDescent="0.4">
      <c r="A8" s="30" t="s">
        <v>19</v>
      </c>
      <c r="I8" s="60">
        <v>3</v>
      </c>
      <c r="L8" s="60">
        <v>1</v>
      </c>
      <c r="Z8" s="78">
        <f t="shared" si="0"/>
        <v>4</v>
      </c>
    </row>
    <row r="9" spans="1:26" x14ac:dyDescent="0.4">
      <c r="A9" s="30" t="s">
        <v>20</v>
      </c>
      <c r="Z9" s="78">
        <f t="shared" ref="Z9:Z16" si="1">SUM(C9:Y9)</f>
        <v>0</v>
      </c>
    </row>
    <row r="10" spans="1:26" x14ac:dyDescent="0.4">
      <c r="A10" s="30" t="s">
        <v>21</v>
      </c>
      <c r="H10" s="60">
        <v>1</v>
      </c>
      <c r="Z10" s="78">
        <f t="shared" si="1"/>
        <v>1</v>
      </c>
    </row>
    <row r="11" spans="1:26" x14ac:dyDescent="0.4">
      <c r="A11" s="30" t="s">
        <v>98</v>
      </c>
      <c r="L11" s="60">
        <v>1</v>
      </c>
      <c r="Z11" s="78">
        <f t="shared" si="1"/>
        <v>1</v>
      </c>
    </row>
    <row r="12" spans="1:26" x14ac:dyDescent="0.4">
      <c r="A12" s="30" t="s">
        <v>22</v>
      </c>
      <c r="C12" s="60">
        <v>4</v>
      </c>
      <c r="D12" s="60">
        <v>12</v>
      </c>
      <c r="F12" s="60">
        <v>2</v>
      </c>
      <c r="G12" s="60">
        <v>2</v>
      </c>
      <c r="H12" s="60">
        <v>8</v>
      </c>
      <c r="I12" s="60">
        <v>17</v>
      </c>
      <c r="K12" s="60">
        <v>3</v>
      </c>
      <c r="L12" s="60">
        <v>2</v>
      </c>
      <c r="M12" s="60">
        <v>1</v>
      </c>
      <c r="R12" s="60">
        <v>3</v>
      </c>
      <c r="S12" s="60">
        <v>1</v>
      </c>
      <c r="W12" s="60">
        <v>2</v>
      </c>
      <c r="Z12" s="78">
        <f t="shared" si="1"/>
        <v>57</v>
      </c>
    </row>
    <row r="13" spans="1:26" x14ac:dyDescent="0.4">
      <c r="A13" s="30" t="s">
        <v>23</v>
      </c>
      <c r="C13" s="60">
        <v>1</v>
      </c>
      <c r="D13" s="60">
        <v>1</v>
      </c>
      <c r="F13" s="60">
        <v>5</v>
      </c>
      <c r="G13" s="60">
        <v>1</v>
      </c>
      <c r="H13" s="60">
        <v>8</v>
      </c>
      <c r="I13" s="60">
        <v>13</v>
      </c>
      <c r="L13" s="60">
        <v>4</v>
      </c>
      <c r="N13" s="60">
        <v>1</v>
      </c>
      <c r="R13" s="60">
        <v>1</v>
      </c>
      <c r="Z13" s="78">
        <f t="shared" si="1"/>
        <v>35</v>
      </c>
    </row>
    <row r="14" spans="1:26" x14ac:dyDescent="0.4">
      <c r="A14" s="30" t="s">
        <v>24</v>
      </c>
      <c r="C14" s="60">
        <v>1</v>
      </c>
      <c r="I14" s="60">
        <v>3</v>
      </c>
      <c r="Z14" s="78">
        <f t="shared" si="1"/>
        <v>4</v>
      </c>
    </row>
    <row r="15" spans="1:26" x14ac:dyDescent="0.4">
      <c r="A15" s="30" t="s">
        <v>102</v>
      </c>
      <c r="Z15" s="78">
        <f t="shared" si="1"/>
        <v>0</v>
      </c>
    </row>
    <row r="16" spans="1:26" ht="13" thickBot="1" x14ac:dyDescent="0.45">
      <c r="A16" s="30" t="s">
        <v>37</v>
      </c>
      <c r="C16" s="62"/>
      <c r="D16" s="62"/>
      <c r="E16" s="62"/>
      <c r="F16" s="62"/>
      <c r="G16" s="62"/>
      <c r="H16" s="62"/>
      <c r="I16" s="62"/>
      <c r="J16" s="62"/>
      <c r="K16" s="62"/>
      <c r="L16" s="62"/>
      <c r="M16" s="62"/>
      <c r="N16" s="62"/>
      <c r="O16" s="62"/>
      <c r="P16" s="62"/>
      <c r="Q16" s="62"/>
      <c r="R16" s="62"/>
      <c r="S16" s="62"/>
      <c r="T16" s="62"/>
      <c r="U16" s="62"/>
      <c r="V16" s="62"/>
      <c r="W16" s="62"/>
      <c r="X16" s="62"/>
      <c r="Y16" s="62"/>
      <c r="Z16" s="68">
        <f t="shared" si="1"/>
        <v>0</v>
      </c>
    </row>
    <row r="17" spans="1:26" x14ac:dyDescent="0.4">
      <c r="A17" s="30" t="s">
        <v>25</v>
      </c>
      <c r="C17" s="60">
        <f>SUM(C3:C16)</f>
        <v>7</v>
      </c>
      <c r="D17" s="60">
        <f t="shared" ref="D17:U17" si="2">SUM(D3:D16)</f>
        <v>14</v>
      </c>
      <c r="E17" s="60">
        <f t="shared" si="2"/>
        <v>0</v>
      </c>
      <c r="F17" s="60">
        <f t="shared" si="2"/>
        <v>9</v>
      </c>
      <c r="G17" s="60">
        <f t="shared" si="2"/>
        <v>4</v>
      </c>
      <c r="H17" s="60">
        <f t="shared" si="2"/>
        <v>20</v>
      </c>
      <c r="I17" s="60">
        <f t="shared" si="2"/>
        <v>41</v>
      </c>
      <c r="J17" s="60">
        <f t="shared" si="2"/>
        <v>0</v>
      </c>
      <c r="K17" s="60">
        <f t="shared" si="2"/>
        <v>3</v>
      </c>
      <c r="L17" s="60">
        <f t="shared" si="2"/>
        <v>13</v>
      </c>
      <c r="M17" s="60">
        <f t="shared" si="2"/>
        <v>1</v>
      </c>
      <c r="N17" s="60">
        <f t="shared" si="2"/>
        <v>1</v>
      </c>
      <c r="O17" s="60">
        <f t="shared" si="2"/>
        <v>0</v>
      </c>
      <c r="P17" s="60">
        <f t="shared" si="2"/>
        <v>0</v>
      </c>
      <c r="Q17" s="60">
        <f t="shared" si="2"/>
        <v>0</v>
      </c>
      <c r="R17" s="60">
        <f t="shared" si="2"/>
        <v>4</v>
      </c>
      <c r="S17" s="60">
        <f t="shared" si="2"/>
        <v>4</v>
      </c>
      <c r="T17" s="60">
        <f t="shared" si="2"/>
        <v>0</v>
      </c>
      <c r="U17" s="60">
        <f t="shared" si="2"/>
        <v>0</v>
      </c>
      <c r="V17" s="60">
        <f>SUM(V3:V16)</f>
        <v>0</v>
      </c>
      <c r="W17" s="60">
        <f>SUM(W3:W16)</f>
        <v>3</v>
      </c>
      <c r="X17" s="60">
        <f>SUM(X3:X16)</f>
        <v>0</v>
      </c>
      <c r="Y17" s="60">
        <f>SUM(Y3:Y16)</f>
        <v>0</v>
      </c>
      <c r="Z17" s="78">
        <f>SUM(Z3:Z16)</f>
        <v>124</v>
      </c>
    </row>
    <row r="18" spans="1:26" ht="13" thickBot="1" x14ac:dyDescent="0.45">
      <c r="A18" s="29" t="s">
        <v>107</v>
      </c>
      <c r="D18" s="64"/>
      <c r="E18" s="7"/>
      <c r="F18" s="29"/>
      <c r="G18" s="29" t="s">
        <v>108</v>
      </c>
    </row>
    <row r="19" spans="1:26" ht="13" thickBot="1" x14ac:dyDescent="0.45">
      <c r="A19" s="10" t="str">
        <f>A2</f>
        <v>BLIND #</v>
      </c>
      <c r="B19" s="14"/>
      <c r="C19" s="12">
        <f t="shared" ref="C19:N19" si="3">C2</f>
        <v>1</v>
      </c>
      <c r="D19" s="12">
        <f t="shared" si="3"/>
        <v>2</v>
      </c>
      <c r="E19" s="12">
        <f t="shared" si="3"/>
        <v>3</v>
      </c>
      <c r="F19" s="12">
        <f t="shared" si="3"/>
        <v>4</v>
      </c>
      <c r="G19" s="12">
        <f t="shared" si="3"/>
        <v>5</v>
      </c>
      <c r="H19" s="12">
        <f t="shared" si="3"/>
        <v>6</v>
      </c>
      <c r="I19" s="12">
        <f t="shared" si="3"/>
        <v>7</v>
      </c>
      <c r="J19" s="12">
        <f t="shared" si="3"/>
        <v>8</v>
      </c>
      <c r="K19" s="12">
        <f t="shared" si="3"/>
        <v>9</v>
      </c>
      <c r="L19" s="12">
        <f t="shared" si="3"/>
        <v>10</v>
      </c>
      <c r="M19" s="12">
        <f t="shared" si="3"/>
        <v>11</v>
      </c>
      <c r="N19" s="12">
        <f t="shared" si="3"/>
        <v>12</v>
      </c>
      <c r="O19" s="12">
        <v>13</v>
      </c>
      <c r="P19" s="12">
        <v>14</v>
      </c>
      <c r="Q19" s="12">
        <v>15</v>
      </c>
      <c r="R19" s="12">
        <v>16</v>
      </c>
      <c r="S19" s="12">
        <v>17</v>
      </c>
      <c r="T19" s="12">
        <v>18</v>
      </c>
      <c r="U19" s="12">
        <v>19</v>
      </c>
      <c r="V19" s="12">
        <v>20</v>
      </c>
      <c r="W19" s="12">
        <v>21</v>
      </c>
      <c r="X19" s="12">
        <v>22</v>
      </c>
      <c r="Y19" s="12">
        <v>23</v>
      </c>
      <c r="Z19" s="13" t="s">
        <v>2</v>
      </c>
    </row>
    <row r="20" spans="1:26" ht="13" thickBot="1" x14ac:dyDescent="0.45">
      <c r="A20" s="30" t="str">
        <f>A3</f>
        <v>RUDDY</v>
      </c>
      <c r="H20" s="60">
        <v>1</v>
      </c>
      <c r="I20" s="60">
        <v>2</v>
      </c>
      <c r="L20" s="60">
        <v>4</v>
      </c>
      <c r="Z20" s="77">
        <f>SUM(C20:Y20)</f>
        <v>7</v>
      </c>
    </row>
    <row r="21" spans="1:26" ht="13" thickBot="1" x14ac:dyDescent="0.45">
      <c r="A21" s="30" t="str">
        <f t="shared" ref="A21:A33" si="4">A4</f>
        <v>CANVASBACK</v>
      </c>
      <c r="Z21" s="77">
        <f t="shared" ref="Z21:Z33" si="5">SUM(C21:Y21)</f>
        <v>0</v>
      </c>
    </row>
    <row r="22" spans="1:26" ht="13" thickBot="1" x14ac:dyDescent="0.45">
      <c r="A22" s="30" t="str">
        <f t="shared" si="4"/>
        <v>GADWALL</v>
      </c>
      <c r="C22" s="60">
        <v>2</v>
      </c>
      <c r="F22" s="60">
        <v>4</v>
      </c>
      <c r="H22" s="60">
        <v>1</v>
      </c>
      <c r="P22" s="60">
        <v>1</v>
      </c>
      <c r="R22" s="60">
        <v>2</v>
      </c>
      <c r="V22" s="60">
        <v>4</v>
      </c>
      <c r="W22" s="60">
        <v>4</v>
      </c>
      <c r="Z22" s="77">
        <f t="shared" si="5"/>
        <v>18</v>
      </c>
    </row>
    <row r="23" spans="1:26" ht="13" thickBot="1" x14ac:dyDescent="0.45">
      <c r="A23" s="30" t="str">
        <f t="shared" si="4"/>
        <v>GEESE</v>
      </c>
      <c r="H23" s="60">
        <v>2</v>
      </c>
      <c r="V23" s="60">
        <v>1</v>
      </c>
      <c r="Z23" s="77">
        <f t="shared" si="5"/>
        <v>3</v>
      </c>
    </row>
    <row r="24" spans="1:26" ht="13" thickBot="1" x14ac:dyDescent="0.45">
      <c r="A24" s="30" t="str">
        <f t="shared" si="4"/>
        <v>MALLARD</v>
      </c>
      <c r="F24" s="60">
        <v>3</v>
      </c>
      <c r="G24" s="60">
        <v>3</v>
      </c>
      <c r="H24" s="60">
        <v>4</v>
      </c>
      <c r="W24" s="60">
        <v>3</v>
      </c>
      <c r="Z24" s="77">
        <f t="shared" si="5"/>
        <v>13</v>
      </c>
    </row>
    <row r="25" spans="1:26" ht="13" thickBot="1" x14ac:dyDescent="0.45">
      <c r="A25" s="30" t="str">
        <f t="shared" si="4"/>
        <v>PINTAIL</v>
      </c>
      <c r="C25" s="60">
        <v>2</v>
      </c>
      <c r="F25" s="60">
        <v>32</v>
      </c>
      <c r="G25" s="60">
        <v>4</v>
      </c>
      <c r="H25" s="60">
        <v>10</v>
      </c>
      <c r="I25" s="60">
        <v>4</v>
      </c>
      <c r="K25" s="60">
        <v>3</v>
      </c>
      <c r="L25" s="60">
        <v>4</v>
      </c>
      <c r="N25" s="60">
        <v>3</v>
      </c>
      <c r="P25" s="60">
        <v>1</v>
      </c>
      <c r="R25" s="60">
        <v>9</v>
      </c>
      <c r="U25" s="60">
        <v>2</v>
      </c>
      <c r="V25" s="60">
        <v>7</v>
      </c>
      <c r="W25" s="60">
        <v>9</v>
      </c>
      <c r="X25" s="60">
        <v>1</v>
      </c>
      <c r="Z25" s="77">
        <f t="shared" si="5"/>
        <v>91</v>
      </c>
    </row>
    <row r="26" spans="1:26" ht="13" thickBot="1" x14ac:dyDescent="0.45">
      <c r="A26" s="30" t="str">
        <f t="shared" si="4"/>
        <v>REDHEAD</v>
      </c>
      <c r="C26" s="60">
        <v>2</v>
      </c>
      <c r="D26" s="60">
        <v>1</v>
      </c>
      <c r="F26" s="60">
        <v>1</v>
      </c>
      <c r="I26" s="60">
        <v>1</v>
      </c>
      <c r="K26" s="60">
        <v>1</v>
      </c>
      <c r="L26" s="60">
        <v>2</v>
      </c>
      <c r="R26" s="60">
        <v>1</v>
      </c>
      <c r="U26" s="60">
        <v>1</v>
      </c>
      <c r="W26" s="60">
        <v>1</v>
      </c>
      <c r="X26" s="60">
        <v>1</v>
      </c>
      <c r="Z26" s="77">
        <f t="shared" si="5"/>
        <v>12</v>
      </c>
    </row>
    <row r="27" spans="1:26" ht="13" thickBot="1" x14ac:dyDescent="0.45">
      <c r="A27" s="30" t="str">
        <f t="shared" si="4"/>
        <v>RINGNECK</v>
      </c>
      <c r="L27" s="60">
        <v>1</v>
      </c>
      <c r="R27" s="60">
        <v>3</v>
      </c>
      <c r="W27" s="60">
        <v>1</v>
      </c>
      <c r="Z27" s="77">
        <f t="shared" si="5"/>
        <v>5</v>
      </c>
    </row>
    <row r="28" spans="1:26" ht="13" thickBot="1" x14ac:dyDescent="0.45">
      <c r="A28" s="30" t="str">
        <f t="shared" si="4"/>
        <v>B'HEAD</v>
      </c>
      <c r="R28" s="60">
        <v>1</v>
      </c>
      <c r="Z28" s="77">
        <f t="shared" si="5"/>
        <v>1</v>
      </c>
    </row>
    <row r="29" spans="1:26" ht="13" thickBot="1" x14ac:dyDescent="0.45">
      <c r="A29" s="30" t="str">
        <f t="shared" si="4"/>
        <v>SPOONY</v>
      </c>
      <c r="C29" s="60">
        <v>6</v>
      </c>
      <c r="D29" s="60">
        <v>1</v>
      </c>
      <c r="F29" s="60">
        <v>8</v>
      </c>
      <c r="G29" s="60">
        <v>4</v>
      </c>
      <c r="H29" s="60">
        <v>5</v>
      </c>
      <c r="I29" s="60">
        <v>7</v>
      </c>
      <c r="K29" s="60">
        <v>6</v>
      </c>
      <c r="L29" s="60">
        <v>6</v>
      </c>
      <c r="M29" s="60">
        <v>1</v>
      </c>
      <c r="P29" s="60">
        <v>2</v>
      </c>
      <c r="R29" s="60">
        <v>14</v>
      </c>
      <c r="V29" s="60">
        <v>9</v>
      </c>
      <c r="W29" s="60">
        <v>29</v>
      </c>
      <c r="Z29" s="77">
        <f t="shared" si="5"/>
        <v>98</v>
      </c>
    </row>
    <row r="30" spans="1:26" ht="13" thickBot="1" x14ac:dyDescent="0.45">
      <c r="A30" s="30" t="str">
        <f t="shared" si="4"/>
        <v>TEAL</v>
      </c>
      <c r="C30" s="60">
        <v>12</v>
      </c>
      <c r="D30" s="60">
        <v>4</v>
      </c>
      <c r="E30" s="60">
        <v>2</v>
      </c>
      <c r="F30" s="60">
        <v>48</v>
      </c>
      <c r="G30" s="60">
        <v>17</v>
      </c>
      <c r="H30" s="60">
        <v>27</v>
      </c>
      <c r="I30" s="60">
        <v>28</v>
      </c>
      <c r="K30" s="60">
        <v>24</v>
      </c>
      <c r="L30" s="60">
        <v>23</v>
      </c>
      <c r="M30" s="60">
        <v>2</v>
      </c>
      <c r="N30" s="60">
        <v>2</v>
      </c>
      <c r="P30" s="60">
        <v>11</v>
      </c>
      <c r="R30" s="60">
        <v>35</v>
      </c>
      <c r="U30" s="60">
        <v>30</v>
      </c>
      <c r="V30" s="60">
        <v>36</v>
      </c>
      <c r="W30" s="60">
        <v>66</v>
      </c>
      <c r="Z30" s="77">
        <f t="shared" si="5"/>
        <v>367</v>
      </c>
    </row>
    <row r="31" spans="1:26" ht="13" thickBot="1" x14ac:dyDescent="0.45">
      <c r="A31" s="30" t="str">
        <f t="shared" si="4"/>
        <v>WIDGEON</v>
      </c>
      <c r="C31" s="60">
        <v>1</v>
      </c>
      <c r="D31" s="60">
        <v>2</v>
      </c>
      <c r="F31" s="60">
        <v>10</v>
      </c>
      <c r="H31" s="60">
        <v>8</v>
      </c>
      <c r="I31" s="60">
        <v>6</v>
      </c>
      <c r="K31" s="60">
        <v>2</v>
      </c>
      <c r="L31" s="60">
        <v>4</v>
      </c>
      <c r="M31" s="60">
        <v>1</v>
      </c>
      <c r="R31" s="60">
        <v>7</v>
      </c>
      <c r="V31" s="60">
        <v>5</v>
      </c>
      <c r="W31" s="60">
        <v>15</v>
      </c>
      <c r="Z31" s="77">
        <f t="shared" si="5"/>
        <v>61</v>
      </c>
    </row>
    <row r="32" spans="1:26" ht="13" thickBot="1" x14ac:dyDescent="0.45">
      <c r="A32" s="30" t="str">
        <f t="shared" si="4"/>
        <v>MISC-FULVOUS TD</v>
      </c>
      <c r="K32" s="60">
        <v>1</v>
      </c>
      <c r="Z32" s="77">
        <f t="shared" si="5"/>
        <v>1</v>
      </c>
    </row>
    <row r="33" spans="1:28" ht="13" thickBot="1" x14ac:dyDescent="0.45">
      <c r="A33" s="30" t="str">
        <f t="shared" si="4"/>
        <v>OTHER</v>
      </c>
      <c r="C33" s="62"/>
      <c r="D33" s="62"/>
      <c r="E33" s="62"/>
      <c r="F33" s="62"/>
      <c r="G33" s="62"/>
      <c r="H33" s="62"/>
      <c r="I33" s="62"/>
      <c r="J33" s="62"/>
      <c r="K33" s="62"/>
      <c r="L33" s="62"/>
      <c r="M33" s="62"/>
      <c r="N33" s="62"/>
      <c r="O33" s="62"/>
      <c r="P33" s="62"/>
      <c r="Q33" s="62"/>
      <c r="R33" s="62"/>
      <c r="S33" s="62"/>
      <c r="T33" s="62"/>
      <c r="U33" s="62"/>
      <c r="V33" s="62"/>
      <c r="W33" s="62"/>
      <c r="X33" s="62"/>
      <c r="Y33" s="62"/>
      <c r="Z33" s="79">
        <f t="shared" si="5"/>
        <v>0</v>
      </c>
    </row>
    <row r="34" spans="1:28" x14ac:dyDescent="0.4">
      <c r="A34" s="30" t="s">
        <v>25</v>
      </c>
      <c r="C34" s="60">
        <f>0+SUM(C20:C33)</f>
        <v>25</v>
      </c>
      <c r="D34" s="60">
        <f t="shared" ref="D34:U34" si="6">0+SUM(D20:D33)</f>
        <v>8</v>
      </c>
      <c r="E34" s="60">
        <f t="shared" si="6"/>
        <v>2</v>
      </c>
      <c r="F34" s="60">
        <f t="shared" si="6"/>
        <v>106</v>
      </c>
      <c r="G34" s="60">
        <f t="shared" si="6"/>
        <v>28</v>
      </c>
      <c r="H34" s="60">
        <f t="shared" si="6"/>
        <v>58</v>
      </c>
      <c r="I34" s="60">
        <f t="shared" si="6"/>
        <v>48</v>
      </c>
      <c r="J34" s="60">
        <f t="shared" si="6"/>
        <v>0</v>
      </c>
      <c r="K34" s="60">
        <f t="shared" si="6"/>
        <v>37</v>
      </c>
      <c r="L34" s="60">
        <f t="shared" si="6"/>
        <v>44</v>
      </c>
      <c r="M34" s="60">
        <f t="shared" si="6"/>
        <v>4</v>
      </c>
      <c r="N34" s="60">
        <f t="shared" si="6"/>
        <v>5</v>
      </c>
      <c r="O34" s="60">
        <f t="shared" si="6"/>
        <v>0</v>
      </c>
      <c r="P34" s="60">
        <f t="shared" si="6"/>
        <v>15</v>
      </c>
      <c r="Q34" s="60">
        <f t="shared" si="6"/>
        <v>0</v>
      </c>
      <c r="R34" s="60">
        <f t="shared" si="6"/>
        <v>72</v>
      </c>
      <c r="S34" s="60">
        <f t="shared" si="6"/>
        <v>0</v>
      </c>
      <c r="T34" s="60">
        <f t="shared" si="6"/>
        <v>0</v>
      </c>
      <c r="U34" s="60">
        <f t="shared" si="6"/>
        <v>33</v>
      </c>
      <c r="V34" s="60">
        <f>0+SUM(V20:V33)</f>
        <v>62</v>
      </c>
      <c r="W34" s="60">
        <f>0+SUM(W20:W33)</f>
        <v>128</v>
      </c>
      <c r="X34" s="60">
        <f>0+SUM(X20:X33)</f>
        <v>2</v>
      </c>
      <c r="Y34" s="60">
        <f>0+SUM(Y20:Y33)</f>
        <v>0</v>
      </c>
      <c r="Z34" s="30">
        <f>SUM(Z20:Z33)</f>
        <v>677</v>
      </c>
    </row>
    <row r="35" spans="1:28" ht="13" thickBot="1" x14ac:dyDescent="0.45"/>
    <row r="36" spans="1:28"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15"/>
      <c r="AA36" s="20" t="s">
        <v>60</v>
      </c>
      <c r="AB36" s="21" t="s">
        <v>57</v>
      </c>
    </row>
    <row r="37" spans="1:28" ht="13" thickBot="1" x14ac:dyDescent="0.45">
      <c r="A37" s="10" t="str">
        <f>A19</f>
        <v>BLIND #</v>
      </c>
      <c r="B37" s="14"/>
      <c r="C37" s="12">
        <f t="shared" ref="C37:U37" si="7">C19</f>
        <v>1</v>
      </c>
      <c r="D37" s="12">
        <f t="shared" si="7"/>
        <v>2</v>
      </c>
      <c r="E37" s="12">
        <f t="shared" si="7"/>
        <v>3</v>
      </c>
      <c r="F37" s="12">
        <f t="shared" si="7"/>
        <v>4</v>
      </c>
      <c r="G37" s="12">
        <f t="shared" si="7"/>
        <v>5</v>
      </c>
      <c r="H37" s="12">
        <f t="shared" si="7"/>
        <v>6</v>
      </c>
      <c r="I37" s="12">
        <f t="shared" si="7"/>
        <v>7</v>
      </c>
      <c r="J37" s="12">
        <f t="shared" si="7"/>
        <v>8</v>
      </c>
      <c r="K37" s="12">
        <f t="shared" si="7"/>
        <v>9</v>
      </c>
      <c r="L37" s="12">
        <f t="shared" si="7"/>
        <v>10</v>
      </c>
      <c r="M37" s="12">
        <f t="shared" si="7"/>
        <v>11</v>
      </c>
      <c r="N37" s="12">
        <f t="shared" si="7"/>
        <v>12</v>
      </c>
      <c r="O37" s="12">
        <f t="shared" si="7"/>
        <v>13</v>
      </c>
      <c r="P37" s="12">
        <f t="shared" si="7"/>
        <v>14</v>
      </c>
      <c r="Q37" s="12">
        <f t="shared" si="7"/>
        <v>15</v>
      </c>
      <c r="R37" s="12">
        <f t="shared" si="7"/>
        <v>16</v>
      </c>
      <c r="S37" s="12">
        <f t="shared" si="7"/>
        <v>17</v>
      </c>
      <c r="T37" s="12">
        <f t="shared" si="7"/>
        <v>18</v>
      </c>
      <c r="U37" s="12">
        <f t="shared" si="7"/>
        <v>19</v>
      </c>
      <c r="V37" s="65">
        <v>20</v>
      </c>
      <c r="W37" s="65">
        <v>21</v>
      </c>
      <c r="X37" s="65">
        <v>22</v>
      </c>
      <c r="Y37" s="65">
        <v>23</v>
      </c>
      <c r="Z37" s="15" t="s">
        <v>2</v>
      </c>
      <c r="AA37" s="26" t="s">
        <v>61</v>
      </c>
      <c r="AB37" s="27" t="s">
        <v>59</v>
      </c>
    </row>
    <row r="38" spans="1:28" x14ac:dyDescent="0.4">
      <c r="A38" s="30" t="str">
        <f>A20</f>
        <v>RUDDY</v>
      </c>
      <c r="C38" s="60">
        <f t="shared" ref="C38:W50" si="8">C3+C20</f>
        <v>0</v>
      </c>
      <c r="D38" s="60">
        <f t="shared" si="8"/>
        <v>0</v>
      </c>
      <c r="E38" s="60">
        <f t="shared" si="8"/>
        <v>0</v>
      </c>
      <c r="F38" s="60">
        <f t="shared" si="8"/>
        <v>0</v>
      </c>
      <c r="G38" s="60">
        <f t="shared" si="8"/>
        <v>0</v>
      </c>
      <c r="H38" s="60">
        <f t="shared" si="8"/>
        <v>1</v>
      </c>
      <c r="I38" s="60">
        <f t="shared" si="8"/>
        <v>2</v>
      </c>
      <c r="J38" s="60">
        <f t="shared" si="8"/>
        <v>0</v>
      </c>
      <c r="K38" s="60">
        <f t="shared" si="8"/>
        <v>0</v>
      </c>
      <c r="L38" s="60">
        <f t="shared" si="8"/>
        <v>4</v>
      </c>
      <c r="M38" s="60">
        <f t="shared" si="8"/>
        <v>0</v>
      </c>
      <c r="N38" s="60">
        <f t="shared" si="8"/>
        <v>0</v>
      </c>
      <c r="O38" s="60">
        <f t="shared" si="8"/>
        <v>0</v>
      </c>
      <c r="P38" s="60">
        <f t="shared" si="8"/>
        <v>0</v>
      </c>
      <c r="Q38" s="60">
        <f t="shared" si="8"/>
        <v>0</v>
      </c>
      <c r="R38" s="60">
        <f t="shared" si="8"/>
        <v>0</v>
      </c>
      <c r="S38" s="60">
        <f t="shared" si="8"/>
        <v>0</v>
      </c>
      <c r="T38" s="60">
        <f t="shared" si="8"/>
        <v>0</v>
      </c>
      <c r="U38" s="60">
        <f t="shared" si="8"/>
        <v>0</v>
      </c>
      <c r="V38" s="60">
        <f t="shared" si="8"/>
        <v>0</v>
      </c>
      <c r="W38" s="60">
        <f t="shared" si="8"/>
        <v>0</v>
      </c>
      <c r="Z38" s="77">
        <f>SUM(C38:Y38)</f>
        <v>7</v>
      </c>
      <c r="AA38" s="66">
        <f>Z38/$Z$52</f>
        <v>8.7390761548064924E-3</v>
      </c>
      <c r="AB38" s="67">
        <f>0/10068</f>
        <v>0</v>
      </c>
    </row>
    <row r="39" spans="1:28" x14ac:dyDescent="0.4">
      <c r="A39" s="30" t="str">
        <f t="shared" ref="A39:A50" si="9">A21</f>
        <v>CANVASBACK</v>
      </c>
      <c r="C39" s="60">
        <f t="shared" si="8"/>
        <v>0</v>
      </c>
      <c r="D39" s="60">
        <f t="shared" si="8"/>
        <v>0</v>
      </c>
      <c r="E39" s="60">
        <f t="shared" si="8"/>
        <v>0</v>
      </c>
      <c r="F39" s="60">
        <f t="shared" si="8"/>
        <v>0</v>
      </c>
      <c r="G39" s="60">
        <f t="shared" si="8"/>
        <v>0</v>
      </c>
      <c r="H39" s="60">
        <f t="shared" si="8"/>
        <v>0</v>
      </c>
      <c r="I39" s="60">
        <f t="shared" si="8"/>
        <v>0</v>
      </c>
      <c r="J39" s="60">
        <f t="shared" si="8"/>
        <v>0</v>
      </c>
      <c r="K39" s="60">
        <f t="shared" si="8"/>
        <v>0</v>
      </c>
      <c r="L39" s="60">
        <f t="shared" si="8"/>
        <v>0</v>
      </c>
      <c r="M39" s="60">
        <f t="shared" si="8"/>
        <v>0</v>
      </c>
      <c r="N39" s="60">
        <f t="shared" si="8"/>
        <v>0</v>
      </c>
      <c r="O39" s="60">
        <f t="shared" si="8"/>
        <v>0</v>
      </c>
      <c r="P39" s="60">
        <f t="shared" si="8"/>
        <v>0</v>
      </c>
      <c r="Q39" s="60">
        <f t="shared" si="8"/>
        <v>0</v>
      </c>
      <c r="R39" s="60">
        <f t="shared" si="8"/>
        <v>0</v>
      </c>
      <c r="S39" s="60">
        <f t="shared" si="8"/>
        <v>0</v>
      </c>
      <c r="T39" s="60">
        <f t="shared" si="8"/>
        <v>0</v>
      </c>
      <c r="U39" s="60">
        <f t="shared" si="8"/>
        <v>0</v>
      </c>
      <c r="V39" s="60">
        <f t="shared" si="8"/>
        <v>0</v>
      </c>
      <c r="W39" s="60">
        <f t="shared" si="8"/>
        <v>0</v>
      </c>
      <c r="Z39" s="78">
        <f t="shared" ref="Z39:Z51" si="10">SUM(C39:Y39)</f>
        <v>0</v>
      </c>
      <c r="AA39" s="66">
        <f t="shared" ref="AA39:AA51" si="11">Z39/$Z$52</f>
        <v>0</v>
      </c>
      <c r="AB39" s="67">
        <v>0</v>
      </c>
    </row>
    <row r="40" spans="1:28" x14ac:dyDescent="0.4">
      <c r="A40" s="30" t="str">
        <f t="shared" si="9"/>
        <v>GADWALL</v>
      </c>
      <c r="C40" s="60">
        <f t="shared" si="8"/>
        <v>3</v>
      </c>
      <c r="D40" s="60">
        <f t="shared" si="8"/>
        <v>1</v>
      </c>
      <c r="E40" s="60">
        <f t="shared" si="8"/>
        <v>0</v>
      </c>
      <c r="F40" s="60">
        <f t="shared" si="8"/>
        <v>5</v>
      </c>
      <c r="G40" s="60">
        <f t="shared" si="8"/>
        <v>1</v>
      </c>
      <c r="H40" s="60">
        <f t="shared" si="8"/>
        <v>1</v>
      </c>
      <c r="I40" s="60">
        <f t="shared" si="8"/>
        <v>2</v>
      </c>
      <c r="J40" s="60">
        <f t="shared" si="8"/>
        <v>0</v>
      </c>
      <c r="K40" s="60">
        <f t="shared" si="8"/>
        <v>0</v>
      </c>
      <c r="L40" s="60">
        <f t="shared" si="8"/>
        <v>3</v>
      </c>
      <c r="M40" s="60">
        <f t="shared" si="8"/>
        <v>0</v>
      </c>
      <c r="N40" s="60">
        <f t="shared" si="8"/>
        <v>0</v>
      </c>
      <c r="O40" s="60">
        <f t="shared" si="8"/>
        <v>0</v>
      </c>
      <c r="P40" s="60">
        <f t="shared" si="8"/>
        <v>1</v>
      </c>
      <c r="Q40" s="60">
        <f t="shared" si="8"/>
        <v>0</v>
      </c>
      <c r="R40" s="60">
        <f t="shared" si="8"/>
        <v>2</v>
      </c>
      <c r="S40" s="60">
        <f t="shared" si="8"/>
        <v>0</v>
      </c>
      <c r="T40" s="60">
        <f t="shared" si="8"/>
        <v>0</v>
      </c>
      <c r="U40" s="60">
        <f t="shared" si="8"/>
        <v>0</v>
      </c>
      <c r="V40" s="60">
        <f t="shared" si="8"/>
        <v>4</v>
      </c>
      <c r="W40" s="60">
        <f t="shared" si="8"/>
        <v>4</v>
      </c>
      <c r="Z40" s="78">
        <f t="shared" si="10"/>
        <v>27</v>
      </c>
      <c r="AA40" s="66">
        <f t="shared" si="11"/>
        <v>3.3707865168539325E-2</v>
      </c>
      <c r="AB40" s="67">
        <v>0</v>
      </c>
    </row>
    <row r="41" spans="1:28" x14ac:dyDescent="0.4">
      <c r="A41" s="30" t="str">
        <f t="shared" si="9"/>
        <v>GEESE</v>
      </c>
      <c r="C41" s="60">
        <f t="shared" si="8"/>
        <v>0</v>
      </c>
      <c r="D41" s="60">
        <f t="shared" si="8"/>
        <v>0</v>
      </c>
      <c r="E41" s="60">
        <f t="shared" si="8"/>
        <v>0</v>
      </c>
      <c r="F41" s="60">
        <f t="shared" si="8"/>
        <v>0</v>
      </c>
      <c r="G41" s="60">
        <f t="shared" si="8"/>
        <v>0</v>
      </c>
      <c r="H41" s="60">
        <f t="shared" si="8"/>
        <v>3</v>
      </c>
      <c r="I41" s="60">
        <f t="shared" si="8"/>
        <v>0</v>
      </c>
      <c r="J41" s="60">
        <f t="shared" si="8"/>
        <v>0</v>
      </c>
      <c r="K41" s="60">
        <f t="shared" si="8"/>
        <v>0</v>
      </c>
      <c r="L41" s="60">
        <f t="shared" si="8"/>
        <v>0</v>
      </c>
      <c r="M41" s="60">
        <f t="shared" si="8"/>
        <v>0</v>
      </c>
      <c r="N41" s="60">
        <f t="shared" si="8"/>
        <v>0</v>
      </c>
      <c r="O41" s="60">
        <f t="shared" si="8"/>
        <v>0</v>
      </c>
      <c r="P41" s="60">
        <f t="shared" si="8"/>
        <v>0</v>
      </c>
      <c r="Q41" s="60">
        <f t="shared" si="8"/>
        <v>0</v>
      </c>
      <c r="R41" s="60">
        <f t="shared" si="8"/>
        <v>0</v>
      </c>
      <c r="S41" s="60">
        <f t="shared" si="8"/>
        <v>3</v>
      </c>
      <c r="T41" s="60">
        <f t="shared" si="8"/>
        <v>0</v>
      </c>
      <c r="U41" s="60">
        <f t="shared" si="8"/>
        <v>0</v>
      </c>
      <c r="V41" s="60">
        <f t="shared" si="8"/>
        <v>1</v>
      </c>
      <c r="W41" s="60">
        <f t="shared" si="8"/>
        <v>1</v>
      </c>
      <c r="Z41" s="78">
        <f t="shared" si="10"/>
        <v>8</v>
      </c>
      <c r="AA41" s="66">
        <f t="shared" si="11"/>
        <v>9.9875156054931337E-3</v>
      </c>
      <c r="AB41" s="67">
        <v>0</v>
      </c>
    </row>
    <row r="42" spans="1:28" x14ac:dyDescent="0.4">
      <c r="A42" s="30" t="str">
        <f t="shared" si="9"/>
        <v>MALLARD</v>
      </c>
      <c r="C42" s="60">
        <f t="shared" si="8"/>
        <v>0</v>
      </c>
      <c r="D42" s="60">
        <f t="shared" si="8"/>
        <v>0</v>
      </c>
      <c r="E42" s="60">
        <f t="shared" si="8"/>
        <v>0</v>
      </c>
      <c r="F42" s="60">
        <f t="shared" si="8"/>
        <v>4</v>
      </c>
      <c r="G42" s="60">
        <f t="shared" si="8"/>
        <v>3</v>
      </c>
      <c r="H42" s="60">
        <f t="shared" si="8"/>
        <v>6</v>
      </c>
      <c r="I42" s="60">
        <f t="shared" si="8"/>
        <v>3</v>
      </c>
      <c r="J42" s="60">
        <f t="shared" si="8"/>
        <v>0</v>
      </c>
      <c r="K42" s="60">
        <f t="shared" si="8"/>
        <v>0</v>
      </c>
      <c r="L42" s="60">
        <f t="shared" si="8"/>
        <v>2</v>
      </c>
      <c r="M42" s="60">
        <f t="shared" si="8"/>
        <v>0</v>
      </c>
      <c r="N42" s="60">
        <f t="shared" si="8"/>
        <v>0</v>
      </c>
      <c r="O42" s="60">
        <f t="shared" si="8"/>
        <v>0</v>
      </c>
      <c r="P42" s="60">
        <f t="shared" si="8"/>
        <v>0</v>
      </c>
      <c r="Q42" s="60">
        <f t="shared" si="8"/>
        <v>0</v>
      </c>
      <c r="R42" s="60">
        <f t="shared" si="8"/>
        <v>0</v>
      </c>
      <c r="S42" s="60">
        <f t="shared" si="8"/>
        <v>0</v>
      </c>
      <c r="T42" s="60">
        <f t="shared" si="8"/>
        <v>0</v>
      </c>
      <c r="U42" s="60">
        <f t="shared" si="8"/>
        <v>0</v>
      </c>
      <c r="V42" s="60">
        <f t="shared" si="8"/>
        <v>0</v>
      </c>
      <c r="W42" s="60">
        <f t="shared" si="8"/>
        <v>3</v>
      </c>
      <c r="Z42" s="78">
        <f t="shared" si="10"/>
        <v>21</v>
      </c>
      <c r="AA42" s="66">
        <f t="shared" si="11"/>
        <v>2.6217228464419477E-2</v>
      </c>
      <c r="AB42" s="67">
        <v>0</v>
      </c>
    </row>
    <row r="43" spans="1:28" x14ac:dyDescent="0.4">
      <c r="A43" s="30" t="str">
        <f t="shared" si="9"/>
        <v>PINTAIL</v>
      </c>
      <c r="C43" s="60">
        <f t="shared" si="8"/>
        <v>2</v>
      </c>
      <c r="D43" s="60">
        <f t="shared" si="8"/>
        <v>0</v>
      </c>
      <c r="E43" s="60">
        <f t="shared" si="8"/>
        <v>0</v>
      </c>
      <c r="F43" s="60">
        <f t="shared" si="8"/>
        <v>32</v>
      </c>
      <c r="G43" s="60">
        <f t="shared" si="8"/>
        <v>4</v>
      </c>
      <c r="H43" s="60">
        <f t="shared" si="8"/>
        <v>10</v>
      </c>
      <c r="I43" s="60">
        <f t="shared" si="8"/>
        <v>7</v>
      </c>
      <c r="J43" s="60">
        <f t="shared" si="8"/>
        <v>0</v>
      </c>
      <c r="K43" s="60">
        <f t="shared" si="8"/>
        <v>3</v>
      </c>
      <c r="L43" s="60">
        <f t="shared" si="8"/>
        <v>5</v>
      </c>
      <c r="M43" s="60">
        <f t="shared" si="8"/>
        <v>0</v>
      </c>
      <c r="N43" s="60">
        <f t="shared" si="8"/>
        <v>3</v>
      </c>
      <c r="O43" s="60">
        <f t="shared" si="8"/>
        <v>0</v>
      </c>
      <c r="P43" s="60">
        <f t="shared" si="8"/>
        <v>1</v>
      </c>
      <c r="Q43" s="60">
        <f t="shared" si="8"/>
        <v>0</v>
      </c>
      <c r="R43" s="60">
        <f t="shared" si="8"/>
        <v>9</v>
      </c>
      <c r="S43" s="60">
        <f t="shared" si="8"/>
        <v>0</v>
      </c>
      <c r="T43" s="60">
        <f t="shared" si="8"/>
        <v>0</v>
      </c>
      <c r="U43" s="60">
        <f t="shared" si="8"/>
        <v>2</v>
      </c>
      <c r="V43" s="60">
        <f t="shared" si="8"/>
        <v>7</v>
      </c>
      <c r="W43" s="60">
        <f t="shared" si="8"/>
        <v>9</v>
      </c>
      <c r="X43" s="60">
        <v>1</v>
      </c>
      <c r="Z43" s="78">
        <f t="shared" si="10"/>
        <v>95</v>
      </c>
      <c r="AA43" s="66">
        <f t="shared" si="11"/>
        <v>0.11860174781523096</v>
      </c>
      <c r="AB43" s="67">
        <v>0</v>
      </c>
    </row>
    <row r="44" spans="1:28" x14ac:dyDescent="0.4">
      <c r="A44" s="30" t="str">
        <f t="shared" si="9"/>
        <v>REDHEAD</v>
      </c>
      <c r="C44" s="60">
        <f t="shared" si="8"/>
        <v>2</v>
      </c>
      <c r="D44" s="60">
        <f t="shared" si="8"/>
        <v>1</v>
      </c>
      <c r="E44" s="60">
        <f t="shared" si="8"/>
        <v>0</v>
      </c>
      <c r="F44" s="60">
        <f t="shared" si="8"/>
        <v>1</v>
      </c>
      <c r="G44" s="60">
        <f t="shared" si="8"/>
        <v>0</v>
      </c>
      <c r="H44" s="60">
        <f t="shared" si="8"/>
        <v>0</v>
      </c>
      <c r="I44" s="60">
        <f t="shared" si="8"/>
        <v>1</v>
      </c>
      <c r="J44" s="60">
        <f t="shared" si="8"/>
        <v>0</v>
      </c>
      <c r="K44" s="60">
        <f t="shared" si="8"/>
        <v>1</v>
      </c>
      <c r="L44" s="60">
        <f t="shared" si="8"/>
        <v>2</v>
      </c>
      <c r="M44" s="60">
        <f t="shared" si="8"/>
        <v>0</v>
      </c>
      <c r="N44" s="60">
        <f t="shared" si="8"/>
        <v>0</v>
      </c>
      <c r="O44" s="60">
        <f t="shared" si="8"/>
        <v>0</v>
      </c>
      <c r="P44" s="60">
        <f t="shared" si="8"/>
        <v>0</v>
      </c>
      <c r="Q44" s="60">
        <f t="shared" si="8"/>
        <v>0</v>
      </c>
      <c r="R44" s="60">
        <f t="shared" si="8"/>
        <v>1</v>
      </c>
      <c r="S44" s="60">
        <f t="shared" si="8"/>
        <v>0</v>
      </c>
      <c r="T44" s="60">
        <f t="shared" si="8"/>
        <v>0</v>
      </c>
      <c r="U44" s="60">
        <f t="shared" si="8"/>
        <v>1</v>
      </c>
      <c r="V44" s="60">
        <f t="shared" si="8"/>
        <v>0</v>
      </c>
      <c r="W44" s="60">
        <f t="shared" si="8"/>
        <v>1</v>
      </c>
      <c r="X44" s="60">
        <v>1</v>
      </c>
      <c r="Z44" s="78">
        <f t="shared" si="10"/>
        <v>12</v>
      </c>
      <c r="AA44" s="66">
        <f t="shared" si="11"/>
        <v>1.4981273408239701E-2</v>
      </c>
      <c r="AB44" s="67">
        <v>0</v>
      </c>
    </row>
    <row r="45" spans="1:28" x14ac:dyDescent="0.4">
      <c r="A45" s="30" t="str">
        <f t="shared" si="9"/>
        <v>RINGNECK</v>
      </c>
      <c r="C45" s="60">
        <f t="shared" si="8"/>
        <v>0</v>
      </c>
      <c r="D45" s="60">
        <f t="shared" si="8"/>
        <v>0</v>
      </c>
      <c r="E45" s="60">
        <f t="shared" si="8"/>
        <v>0</v>
      </c>
      <c r="F45" s="60">
        <f t="shared" si="8"/>
        <v>0</v>
      </c>
      <c r="G45" s="60">
        <f t="shared" si="8"/>
        <v>0</v>
      </c>
      <c r="H45" s="60">
        <f t="shared" si="8"/>
        <v>1</v>
      </c>
      <c r="I45" s="60">
        <f t="shared" si="8"/>
        <v>0</v>
      </c>
      <c r="J45" s="60">
        <f t="shared" si="8"/>
        <v>0</v>
      </c>
      <c r="K45" s="60">
        <f t="shared" si="8"/>
        <v>0</v>
      </c>
      <c r="L45" s="60">
        <f t="shared" si="8"/>
        <v>1</v>
      </c>
      <c r="M45" s="60">
        <f t="shared" si="8"/>
        <v>0</v>
      </c>
      <c r="N45" s="60">
        <f t="shared" si="8"/>
        <v>0</v>
      </c>
      <c r="O45" s="60">
        <f t="shared" si="8"/>
        <v>0</v>
      </c>
      <c r="P45" s="60">
        <f t="shared" si="8"/>
        <v>0</v>
      </c>
      <c r="Q45" s="60">
        <f t="shared" si="8"/>
        <v>0</v>
      </c>
      <c r="R45" s="60">
        <f t="shared" si="8"/>
        <v>3</v>
      </c>
      <c r="S45" s="60">
        <f t="shared" si="8"/>
        <v>0</v>
      </c>
      <c r="T45" s="60">
        <f t="shared" si="8"/>
        <v>0</v>
      </c>
      <c r="U45" s="60">
        <f t="shared" si="8"/>
        <v>0</v>
      </c>
      <c r="V45" s="60">
        <f t="shared" si="8"/>
        <v>0</v>
      </c>
      <c r="W45" s="60">
        <f t="shared" si="8"/>
        <v>1</v>
      </c>
      <c r="Z45" s="78">
        <f t="shared" si="10"/>
        <v>6</v>
      </c>
      <c r="AA45" s="66">
        <f t="shared" si="11"/>
        <v>7.4906367041198503E-3</v>
      </c>
      <c r="AB45" s="67">
        <v>0</v>
      </c>
    </row>
    <row r="46" spans="1:28" x14ac:dyDescent="0.4">
      <c r="A46" s="30" t="str">
        <f t="shared" si="9"/>
        <v>B'HEAD</v>
      </c>
      <c r="C46" s="60">
        <f t="shared" si="8"/>
        <v>0</v>
      </c>
      <c r="D46" s="60">
        <f t="shared" si="8"/>
        <v>0</v>
      </c>
      <c r="E46" s="60">
        <f t="shared" si="8"/>
        <v>0</v>
      </c>
      <c r="F46" s="60">
        <f t="shared" si="8"/>
        <v>0</v>
      </c>
      <c r="G46" s="60">
        <f t="shared" si="8"/>
        <v>0</v>
      </c>
      <c r="H46" s="60">
        <f t="shared" si="8"/>
        <v>0</v>
      </c>
      <c r="I46" s="60">
        <f t="shared" si="8"/>
        <v>0</v>
      </c>
      <c r="J46" s="60">
        <f t="shared" si="8"/>
        <v>0</v>
      </c>
      <c r="K46" s="60">
        <f t="shared" si="8"/>
        <v>0</v>
      </c>
      <c r="L46" s="60">
        <f t="shared" si="8"/>
        <v>1</v>
      </c>
      <c r="M46" s="60">
        <f t="shared" si="8"/>
        <v>0</v>
      </c>
      <c r="N46" s="60">
        <f t="shared" si="8"/>
        <v>0</v>
      </c>
      <c r="O46" s="60">
        <f t="shared" si="8"/>
        <v>0</v>
      </c>
      <c r="P46" s="60">
        <f t="shared" si="8"/>
        <v>0</v>
      </c>
      <c r="Q46" s="60">
        <f t="shared" si="8"/>
        <v>0</v>
      </c>
      <c r="R46" s="60">
        <f t="shared" si="8"/>
        <v>1</v>
      </c>
      <c r="S46" s="60">
        <f t="shared" si="8"/>
        <v>0</v>
      </c>
      <c r="T46" s="60">
        <f t="shared" si="8"/>
        <v>0</v>
      </c>
      <c r="U46" s="60">
        <f t="shared" si="8"/>
        <v>0</v>
      </c>
      <c r="V46" s="60">
        <f t="shared" si="8"/>
        <v>0</v>
      </c>
      <c r="W46" s="60">
        <f t="shared" si="8"/>
        <v>0</v>
      </c>
      <c r="Z46" s="78">
        <f t="shared" si="10"/>
        <v>2</v>
      </c>
      <c r="AA46" s="66">
        <f t="shared" si="11"/>
        <v>2.4968789013732834E-3</v>
      </c>
      <c r="AB46" s="67">
        <v>0</v>
      </c>
    </row>
    <row r="47" spans="1:28" x14ac:dyDescent="0.4">
      <c r="A47" s="30" t="str">
        <f t="shared" si="9"/>
        <v>SPOONY</v>
      </c>
      <c r="C47" s="60">
        <f t="shared" si="8"/>
        <v>10</v>
      </c>
      <c r="D47" s="60">
        <f t="shared" si="8"/>
        <v>13</v>
      </c>
      <c r="E47" s="60">
        <f t="shared" si="8"/>
        <v>0</v>
      </c>
      <c r="F47" s="60">
        <f t="shared" si="8"/>
        <v>10</v>
      </c>
      <c r="G47" s="60">
        <f t="shared" si="8"/>
        <v>6</v>
      </c>
      <c r="H47" s="60">
        <f t="shared" si="8"/>
        <v>13</v>
      </c>
      <c r="I47" s="60">
        <f t="shared" si="8"/>
        <v>24</v>
      </c>
      <c r="J47" s="60">
        <f t="shared" si="8"/>
        <v>0</v>
      </c>
      <c r="K47" s="60">
        <f t="shared" si="8"/>
        <v>9</v>
      </c>
      <c r="L47" s="60">
        <f t="shared" si="8"/>
        <v>8</v>
      </c>
      <c r="M47" s="60">
        <f t="shared" si="8"/>
        <v>2</v>
      </c>
      <c r="N47" s="60">
        <f t="shared" si="8"/>
        <v>0</v>
      </c>
      <c r="O47" s="60">
        <f t="shared" si="8"/>
        <v>0</v>
      </c>
      <c r="P47" s="60">
        <f t="shared" si="8"/>
        <v>2</v>
      </c>
      <c r="Q47" s="60">
        <f t="shared" si="8"/>
        <v>0</v>
      </c>
      <c r="R47" s="60">
        <f t="shared" si="8"/>
        <v>17</v>
      </c>
      <c r="S47" s="60">
        <f t="shared" si="8"/>
        <v>1</v>
      </c>
      <c r="T47" s="60">
        <f t="shared" si="8"/>
        <v>0</v>
      </c>
      <c r="U47" s="60">
        <f t="shared" si="8"/>
        <v>0</v>
      </c>
      <c r="V47" s="60">
        <f t="shared" si="8"/>
        <v>9</v>
      </c>
      <c r="W47" s="60">
        <f t="shared" si="8"/>
        <v>31</v>
      </c>
      <c r="Z47" s="78">
        <f t="shared" si="10"/>
        <v>155</v>
      </c>
      <c r="AA47" s="66">
        <f t="shared" si="11"/>
        <v>0.19350811485642946</v>
      </c>
      <c r="AB47" s="67">
        <v>0</v>
      </c>
    </row>
    <row r="48" spans="1:28" x14ac:dyDescent="0.4">
      <c r="A48" s="30" t="str">
        <f t="shared" si="9"/>
        <v>TEAL</v>
      </c>
      <c r="C48" s="60">
        <f t="shared" si="8"/>
        <v>13</v>
      </c>
      <c r="D48" s="60">
        <f t="shared" si="8"/>
        <v>5</v>
      </c>
      <c r="E48" s="60">
        <f t="shared" si="8"/>
        <v>2</v>
      </c>
      <c r="F48" s="60">
        <f t="shared" si="8"/>
        <v>53</v>
      </c>
      <c r="G48" s="60">
        <f t="shared" si="8"/>
        <v>18</v>
      </c>
      <c r="H48" s="60">
        <f t="shared" si="8"/>
        <v>35</v>
      </c>
      <c r="I48" s="60">
        <f t="shared" si="8"/>
        <v>41</v>
      </c>
      <c r="J48" s="60">
        <f t="shared" si="8"/>
        <v>0</v>
      </c>
      <c r="K48" s="60">
        <f t="shared" si="8"/>
        <v>24</v>
      </c>
      <c r="L48" s="60">
        <f t="shared" si="8"/>
        <v>27</v>
      </c>
      <c r="M48" s="60">
        <f t="shared" si="8"/>
        <v>2</v>
      </c>
      <c r="N48" s="60">
        <f t="shared" si="8"/>
        <v>3</v>
      </c>
      <c r="O48" s="60">
        <f t="shared" si="8"/>
        <v>0</v>
      </c>
      <c r="P48" s="60">
        <f t="shared" si="8"/>
        <v>11</v>
      </c>
      <c r="Q48" s="60">
        <f t="shared" si="8"/>
        <v>0</v>
      </c>
      <c r="R48" s="60">
        <f t="shared" si="8"/>
        <v>36</v>
      </c>
      <c r="S48" s="60">
        <f t="shared" si="8"/>
        <v>0</v>
      </c>
      <c r="T48" s="60">
        <f t="shared" si="8"/>
        <v>0</v>
      </c>
      <c r="U48" s="60">
        <f t="shared" si="8"/>
        <v>30</v>
      </c>
      <c r="V48" s="60">
        <f t="shared" si="8"/>
        <v>36</v>
      </c>
      <c r="W48" s="60">
        <f t="shared" si="8"/>
        <v>66</v>
      </c>
      <c r="Z48" s="78">
        <f t="shared" si="10"/>
        <v>402</v>
      </c>
      <c r="AA48" s="66">
        <f t="shared" si="11"/>
        <v>0.50187265917602997</v>
      </c>
      <c r="AB48" s="67">
        <v>0</v>
      </c>
    </row>
    <row r="49" spans="1:28" x14ac:dyDescent="0.4">
      <c r="A49" s="30" t="str">
        <f t="shared" si="9"/>
        <v>WIDGEON</v>
      </c>
      <c r="C49" s="60">
        <f t="shared" si="8"/>
        <v>2</v>
      </c>
      <c r="D49" s="60">
        <f t="shared" si="8"/>
        <v>2</v>
      </c>
      <c r="E49" s="60">
        <f t="shared" si="8"/>
        <v>0</v>
      </c>
      <c r="F49" s="60">
        <f t="shared" si="8"/>
        <v>10</v>
      </c>
      <c r="G49" s="60">
        <f t="shared" si="8"/>
        <v>0</v>
      </c>
      <c r="H49" s="60">
        <f t="shared" si="8"/>
        <v>8</v>
      </c>
      <c r="I49" s="60">
        <f t="shared" si="8"/>
        <v>9</v>
      </c>
      <c r="J49" s="60">
        <f t="shared" si="8"/>
        <v>0</v>
      </c>
      <c r="K49" s="60">
        <f t="shared" si="8"/>
        <v>2</v>
      </c>
      <c r="L49" s="60">
        <f t="shared" si="8"/>
        <v>4</v>
      </c>
      <c r="M49" s="60">
        <f t="shared" si="8"/>
        <v>1</v>
      </c>
      <c r="N49" s="60">
        <f t="shared" si="8"/>
        <v>0</v>
      </c>
      <c r="O49" s="60">
        <f t="shared" si="8"/>
        <v>0</v>
      </c>
      <c r="P49" s="60">
        <f t="shared" si="8"/>
        <v>0</v>
      </c>
      <c r="Q49" s="60">
        <f t="shared" si="8"/>
        <v>0</v>
      </c>
      <c r="R49" s="60">
        <f t="shared" si="8"/>
        <v>7</v>
      </c>
      <c r="S49" s="60">
        <f t="shared" si="8"/>
        <v>0</v>
      </c>
      <c r="T49" s="60">
        <f t="shared" si="8"/>
        <v>0</v>
      </c>
      <c r="U49" s="60">
        <f t="shared" si="8"/>
        <v>0</v>
      </c>
      <c r="V49" s="60">
        <f t="shared" si="8"/>
        <v>5</v>
      </c>
      <c r="W49" s="60">
        <f t="shared" si="8"/>
        <v>15</v>
      </c>
      <c r="Z49" s="78">
        <f t="shared" si="10"/>
        <v>65</v>
      </c>
      <c r="AA49" s="66">
        <f t="shared" si="11"/>
        <v>8.1148564294631714E-2</v>
      </c>
      <c r="AB49" s="67">
        <v>0</v>
      </c>
    </row>
    <row r="50" spans="1:28" x14ac:dyDescent="0.4">
      <c r="A50" s="30" t="str">
        <f t="shared" si="9"/>
        <v>MISC-FULVOUS TD</v>
      </c>
      <c r="C50" s="60">
        <f t="shared" si="8"/>
        <v>0</v>
      </c>
      <c r="D50" s="60">
        <f t="shared" si="8"/>
        <v>0</v>
      </c>
      <c r="E50" s="60">
        <f t="shared" si="8"/>
        <v>0</v>
      </c>
      <c r="F50" s="60">
        <f t="shared" ref="C50:W51" si="12">F15+F32</f>
        <v>0</v>
      </c>
      <c r="G50" s="60">
        <f t="shared" si="12"/>
        <v>0</v>
      </c>
      <c r="H50" s="60">
        <f t="shared" si="12"/>
        <v>0</v>
      </c>
      <c r="I50" s="60">
        <f t="shared" si="12"/>
        <v>0</v>
      </c>
      <c r="J50" s="60">
        <f t="shared" si="12"/>
        <v>0</v>
      </c>
      <c r="K50" s="60">
        <f t="shared" si="12"/>
        <v>1</v>
      </c>
      <c r="L50" s="60">
        <f t="shared" si="12"/>
        <v>0</v>
      </c>
      <c r="M50" s="60">
        <f t="shared" si="12"/>
        <v>0</v>
      </c>
      <c r="N50" s="60">
        <f t="shared" si="12"/>
        <v>0</v>
      </c>
      <c r="O50" s="60">
        <f t="shared" si="12"/>
        <v>0</v>
      </c>
      <c r="P50" s="60">
        <f t="shared" si="12"/>
        <v>0</v>
      </c>
      <c r="Q50" s="60">
        <f t="shared" si="12"/>
        <v>0</v>
      </c>
      <c r="R50" s="60">
        <f t="shared" si="12"/>
        <v>0</v>
      </c>
      <c r="S50" s="60">
        <f t="shared" si="12"/>
        <v>0</v>
      </c>
      <c r="T50" s="60">
        <f t="shared" si="12"/>
        <v>0</v>
      </c>
      <c r="U50" s="60">
        <f t="shared" si="12"/>
        <v>0</v>
      </c>
      <c r="V50" s="60">
        <f t="shared" si="12"/>
        <v>0</v>
      </c>
      <c r="W50" s="60">
        <f t="shared" si="12"/>
        <v>0</v>
      </c>
      <c r="Z50" s="78">
        <f t="shared" si="10"/>
        <v>1</v>
      </c>
      <c r="AA50" s="66">
        <f t="shared" si="11"/>
        <v>1.2484394506866417E-3</v>
      </c>
      <c r="AB50" s="67">
        <v>0</v>
      </c>
    </row>
    <row r="51" spans="1:28" ht="13" thickBot="1" x14ac:dyDescent="0.45">
      <c r="A51" s="30" t="s">
        <v>58</v>
      </c>
      <c r="C51" s="62">
        <f t="shared" si="12"/>
        <v>0</v>
      </c>
      <c r="D51" s="62">
        <f t="shared" si="12"/>
        <v>0</v>
      </c>
      <c r="E51" s="62">
        <f t="shared" si="12"/>
        <v>0</v>
      </c>
      <c r="F51" s="62">
        <f t="shared" si="12"/>
        <v>0</v>
      </c>
      <c r="G51" s="62">
        <f t="shared" si="12"/>
        <v>0</v>
      </c>
      <c r="H51" s="62">
        <f t="shared" si="12"/>
        <v>0</v>
      </c>
      <c r="I51" s="62">
        <f t="shared" si="12"/>
        <v>0</v>
      </c>
      <c r="J51" s="62">
        <f t="shared" si="12"/>
        <v>0</v>
      </c>
      <c r="K51" s="62">
        <f t="shared" si="12"/>
        <v>0</v>
      </c>
      <c r="L51" s="62">
        <f t="shared" si="12"/>
        <v>0</v>
      </c>
      <c r="M51" s="62">
        <f t="shared" si="12"/>
        <v>0</v>
      </c>
      <c r="N51" s="62">
        <f t="shared" si="12"/>
        <v>0</v>
      </c>
      <c r="O51" s="62">
        <f t="shared" si="12"/>
        <v>0</v>
      </c>
      <c r="P51" s="62">
        <f t="shared" si="12"/>
        <v>0</v>
      </c>
      <c r="Q51" s="62">
        <f t="shared" si="12"/>
        <v>0</v>
      </c>
      <c r="R51" s="62">
        <f t="shared" si="12"/>
        <v>0</v>
      </c>
      <c r="S51" s="62">
        <f t="shared" si="12"/>
        <v>0</v>
      </c>
      <c r="T51" s="62">
        <f t="shared" si="12"/>
        <v>0</v>
      </c>
      <c r="U51" s="62">
        <f t="shared" si="12"/>
        <v>0</v>
      </c>
      <c r="V51" s="62">
        <f>V16+V33</f>
        <v>0</v>
      </c>
      <c r="W51" s="62">
        <f>W16+W33</f>
        <v>0</v>
      </c>
      <c r="X51" s="62"/>
      <c r="Y51" s="62"/>
      <c r="Z51" s="68">
        <f t="shared" si="10"/>
        <v>0</v>
      </c>
      <c r="AA51" s="69">
        <f t="shared" si="11"/>
        <v>0</v>
      </c>
      <c r="AB51" s="70">
        <v>0</v>
      </c>
    </row>
    <row r="52" spans="1:28" x14ac:dyDescent="0.4">
      <c r="A52" s="30" t="s">
        <v>25</v>
      </c>
      <c r="C52" s="60">
        <f>0+SUM(C38:C51)</f>
        <v>32</v>
      </c>
      <c r="D52" s="60">
        <f t="shared" ref="D52:U52" si="13">0+SUM(D38:D51)</f>
        <v>22</v>
      </c>
      <c r="E52" s="60">
        <f t="shared" si="13"/>
        <v>2</v>
      </c>
      <c r="F52" s="60">
        <f t="shared" si="13"/>
        <v>115</v>
      </c>
      <c r="G52" s="60">
        <f t="shared" si="13"/>
        <v>32</v>
      </c>
      <c r="H52" s="60">
        <f t="shared" si="13"/>
        <v>78</v>
      </c>
      <c r="I52" s="60">
        <f t="shared" si="13"/>
        <v>89</v>
      </c>
      <c r="J52" s="60">
        <f t="shared" si="13"/>
        <v>0</v>
      </c>
      <c r="K52" s="60">
        <f t="shared" si="13"/>
        <v>40</v>
      </c>
      <c r="L52" s="60">
        <f t="shared" si="13"/>
        <v>57</v>
      </c>
      <c r="M52" s="60">
        <f t="shared" si="13"/>
        <v>5</v>
      </c>
      <c r="N52" s="60">
        <f t="shared" si="13"/>
        <v>6</v>
      </c>
      <c r="O52" s="60">
        <f t="shared" si="13"/>
        <v>0</v>
      </c>
      <c r="P52" s="60">
        <f t="shared" si="13"/>
        <v>15</v>
      </c>
      <c r="Q52" s="60">
        <f t="shared" si="13"/>
        <v>0</v>
      </c>
      <c r="R52" s="60">
        <f t="shared" si="13"/>
        <v>76</v>
      </c>
      <c r="S52" s="60">
        <f t="shared" si="13"/>
        <v>4</v>
      </c>
      <c r="T52" s="60">
        <f t="shared" si="13"/>
        <v>0</v>
      </c>
      <c r="U52" s="60">
        <f t="shared" si="13"/>
        <v>33</v>
      </c>
      <c r="V52" s="60">
        <f>0+SUM(V38:V51)</f>
        <v>62</v>
      </c>
      <c r="W52" s="60">
        <f>0+SUM(W38:W51)</f>
        <v>131</v>
      </c>
      <c r="X52" s="60">
        <f>SUM(X17,X34)</f>
        <v>2</v>
      </c>
      <c r="Y52" s="60">
        <f>0+SUM(Y38:Y51)</f>
        <v>0</v>
      </c>
      <c r="Z52" s="30">
        <f>SUM(Z38:Z51)</f>
        <v>801</v>
      </c>
      <c r="AB52" s="71"/>
    </row>
    <row r="53" spans="1:28" x14ac:dyDescent="0.4">
      <c r="A53" s="30" t="s">
        <v>48</v>
      </c>
      <c r="C53" s="72">
        <f t="shared" ref="C53:U53" si="14">C52/$Z$52</f>
        <v>3.9950062421972535E-2</v>
      </c>
      <c r="D53" s="72">
        <f t="shared" si="14"/>
        <v>2.7465667915106119E-2</v>
      </c>
      <c r="E53" s="72">
        <f t="shared" si="14"/>
        <v>2.4968789013732834E-3</v>
      </c>
      <c r="F53" s="72">
        <f t="shared" si="14"/>
        <v>0.14357053682896379</v>
      </c>
      <c r="G53" s="72">
        <f t="shared" si="14"/>
        <v>3.9950062421972535E-2</v>
      </c>
      <c r="H53" s="72">
        <f t="shared" si="14"/>
        <v>9.7378277153558054E-2</v>
      </c>
      <c r="I53" s="72">
        <f t="shared" si="14"/>
        <v>0.1111111111111111</v>
      </c>
      <c r="J53" s="72">
        <f t="shared" si="14"/>
        <v>0</v>
      </c>
      <c r="K53" s="72">
        <f t="shared" si="14"/>
        <v>4.9937578027465665E-2</v>
      </c>
      <c r="L53" s="72">
        <f t="shared" si="14"/>
        <v>7.116104868913857E-2</v>
      </c>
      <c r="M53" s="72">
        <f t="shared" si="14"/>
        <v>6.2421972534332081E-3</v>
      </c>
      <c r="N53" s="72">
        <f t="shared" si="14"/>
        <v>7.4906367041198503E-3</v>
      </c>
      <c r="O53" s="72">
        <f t="shared" si="14"/>
        <v>0</v>
      </c>
      <c r="P53" s="72">
        <f t="shared" si="14"/>
        <v>1.8726591760299626E-2</v>
      </c>
      <c r="Q53" s="72">
        <f t="shared" si="14"/>
        <v>0</v>
      </c>
      <c r="R53" s="72">
        <f t="shared" si="14"/>
        <v>9.4881398252184765E-2</v>
      </c>
      <c r="S53" s="72">
        <f t="shared" si="14"/>
        <v>4.9937578027465668E-3</v>
      </c>
      <c r="T53" s="72">
        <f t="shared" si="14"/>
        <v>0</v>
      </c>
      <c r="U53" s="72">
        <f t="shared" si="14"/>
        <v>4.1198501872659173E-2</v>
      </c>
      <c r="V53" s="72">
        <f>V52/$Z$52</f>
        <v>7.740324594257178E-2</v>
      </c>
      <c r="W53" s="72">
        <f>W52/$Z$52</f>
        <v>0.16354556803995007</v>
      </c>
      <c r="X53" s="72">
        <f>X52/$Z$52</f>
        <v>2.4968789013732834E-3</v>
      </c>
      <c r="Y53" s="72">
        <f>Y52/$Z$52</f>
        <v>0</v>
      </c>
    </row>
    <row r="54" spans="1:28" x14ac:dyDescent="0.4">
      <c r="A54" s="5" t="s">
        <v>47</v>
      </c>
    </row>
    <row r="55" spans="1:28" x14ac:dyDescent="0.4">
      <c r="A55" s="30" t="s">
        <v>40</v>
      </c>
      <c r="C55" s="60">
        <v>104</v>
      </c>
      <c r="D55" s="73"/>
    </row>
    <row r="56" spans="1:28" x14ac:dyDescent="0.4">
      <c r="A56" s="30" t="s">
        <v>41</v>
      </c>
      <c r="D56" s="74"/>
    </row>
    <row r="57" spans="1:28" x14ac:dyDescent="0.4">
      <c r="A57" s="30" t="s">
        <v>42</v>
      </c>
      <c r="C57" s="60">
        <v>236</v>
      </c>
      <c r="D57" s="73"/>
    </row>
    <row r="58" spans="1:28" x14ac:dyDescent="0.4">
      <c r="A58" s="30" t="s">
        <v>43</v>
      </c>
      <c r="D58" s="74"/>
      <c r="F58" s="29" t="s">
        <v>62</v>
      </c>
    </row>
    <row r="59" spans="1:28" x14ac:dyDescent="0.4">
      <c r="A59" s="30" t="s">
        <v>44</v>
      </c>
      <c r="C59" s="60">
        <v>340</v>
      </c>
      <c r="D59" s="73"/>
      <c r="F59" s="74"/>
      <c r="J59" s="76" t="s">
        <v>86</v>
      </c>
      <c r="L59" s="60">
        <v>0</v>
      </c>
    </row>
    <row r="60" spans="1:28" x14ac:dyDescent="0.4">
      <c r="A60" s="30" t="s">
        <v>45</v>
      </c>
      <c r="D60" s="74"/>
      <c r="F60" s="74"/>
      <c r="G60" s="64" t="s">
        <v>77</v>
      </c>
      <c r="J60" s="76" t="s">
        <v>82</v>
      </c>
      <c r="L60" s="74" t="e">
        <f>SUM(N52:W52)/L59</f>
        <v>#DIV/0!</v>
      </c>
    </row>
    <row r="61" spans="1:28" x14ac:dyDescent="0.4">
      <c r="A61" s="30" t="s">
        <v>46</v>
      </c>
      <c r="D61" s="75"/>
      <c r="F61" s="74"/>
      <c r="G61" s="64" t="s">
        <v>64</v>
      </c>
    </row>
    <row r="62" spans="1:28" x14ac:dyDescent="0.4">
      <c r="A62" s="5" t="s">
        <v>49</v>
      </c>
      <c r="D62" s="7"/>
    </row>
    <row r="67" spans="1:4" x14ac:dyDescent="0.4">
      <c r="A67" s="5" t="s">
        <v>56</v>
      </c>
      <c r="D67" s="7"/>
    </row>
    <row r="68" spans="1:4" x14ac:dyDescent="0.4">
      <c r="A68" s="30" t="s">
        <v>110</v>
      </c>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B68"/>
  <sheetViews>
    <sheetView topLeftCell="A17" zoomScale="80" zoomScaleNormal="80" workbookViewId="0">
      <selection activeCell="C59" sqref="C59"/>
    </sheetView>
  </sheetViews>
  <sheetFormatPr defaultColWidth="7.703125" defaultRowHeight="12.7" x14ac:dyDescent="0.4"/>
  <cols>
    <col min="1" max="1" width="20.1171875" style="30" customWidth="1"/>
    <col min="2" max="2" width="4.41015625" style="30" customWidth="1"/>
    <col min="3" max="5" width="6.703125" style="60" customWidth="1"/>
    <col min="6" max="6" width="8.703125" style="60" customWidth="1"/>
    <col min="7" max="7" width="6.703125" style="60" customWidth="1"/>
    <col min="8" max="8" width="8.41015625" style="60" customWidth="1"/>
    <col min="9" max="9" width="7.703125" style="60" customWidth="1"/>
    <col min="10" max="10" width="6.703125" style="60" customWidth="1"/>
    <col min="11" max="11" width="8.87890625" style="60" customWidth="1"/>
    <col min="12" max="12" width="7.29296875" style="60" customWidth="1"/>
    <col min="13" max="17" width="6.703125" style="60" customWidth="1"/>
    <col min="18" max="18" width="7.41015625" style="60" customWidth="1"/>
    <col min="19" max="21" width="6.703125" style="60" customWidth="1"/>
    <col min="22" max="22" width="7.41015625" style="60" customWidth="1"/>
    <col min="23" max="23" width="7.703125" style="60" customWidth="1"/>
    <col min="24" max="25" width="6.703125" style="60" customWidth="1"/>
    <col min="26" max="26" width="8.703125" style="30" customWidth="1"/>
    <col min="27" max="27" width="9.29296875" style="30" customWidth="1"/>
    <col min="28" max="28" width="9.87890625" style="30" customWidth="1"/>
    <col min="29" max="16384" width="7.703125" style="30"/>
  </cols>
  <sheetData>
    <row r="1" spans="1:26" ht="13" thickBot="1" x14ac:dyDescent="0.45">
      <c r="A1" s="5" t="s">
        <v>106</v>
      </c>
    </row>
    <row r="2" spans="1:26"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3" t="s">
        <v>2</v>
      </c>
    </row>
    <row r="3" spans="1:26" x14ac:dyDescent="0.4">
      <c r="A3" s="30" t="s">
        <v>34</v>
      </c>
      <c r="Z3" s="77">
        <f t="shared" ref="Z3:Z8" si="0">SUM(C3:Y3)</f>
        <v>0</v>
      </c>
    </row>
    <row r="4" spans="1:26" x14ac:dyDescent="0.4">
      <c r="A4" s="30" t="s">
        <v>35</v>
      </c>
      <c r="F4" s="60">
        <v>1</v>
      </c>
      <c r="I4" s="60">
        <v>3</v>
      </c>
      <c r="Z4" s="78">
        <f t="shared" si="0"/>
        <v>4</v>
      </c>
    </row>
    <row r="5" spans="1:26" x14ac:dyDescent="0.4">
      <c r="A5" s="30" t="s">
        <v>16</v>
      </c>
      <c r="C5" s="60">
        <v>1</v>
      </c>
      <c r="F5" s="60">
        <v>5</v>
      </c>
      <c r="I5" s="60">
        <v>3</v>
      </c>
      <c r="Z5" s="78">
        <f t="shared" si="0"/>
        <v>9</v>
      </c>
    </row>
    <row r="6" spans="1:26" x14ac:dyDescent="0.4">
      <c r="A6" s="30" t="s">
        <v>29</v>
      </c>
      <c r="Z6" s="78">
        <f t="shared" si="0"/>
        <v>0</v>
      </c>
    </row>
    <row r="7" spans="1:26" x14ac:dyDescent="0.4">
      <c r="A7" s="30" t="s">
        <v>18</v>
      </c>
      <c r="C7" s="60">
        <v>1</v>
      </c>
      <c r="D7" s="60">
        <v>2</v>
      </c>
      <c r="F7" s="60">
        <v>1</v>
      </c>
      <c r="I7" s="60">
        <v>1</v>
      </c>
      <c r="Z7" s="78">
        <f t="shared" si="0"/>
        <v>5</v>
      </c>
    </row>
    <row r="8" spans="1:26" x14ac:dyDescent="0.4">
      <c r="A8" s="30" t="s">
        <v>19</v>
      </c>
      <c r="C8" s="60">
        <v>2</v>
      </c>
      <c r="D8" s="60">
        <v>1</v>
      </c>
      <c r="E8" s="60">
        <v>1</v>
      </c>
      <c r="F8" s="60">
        <v>1</v>
      </c>
      <c r="I8" s="60">
        <v>3</v>
      </c>
      <c r="N8" s="60">
        <v>2</v>
      </c>
      <c r="Z8" s="78">
        <f t="shared" si="0"/>
        <v>10</v>
      </c>
    </row>
    <row r="9" spans="1:26" x14ac:dyDescent="0.4">
      <c r="A9" s="30" t="s">
        <v>20</v>
      </c>
      <c r="D9" s="60">
        <v>1</v>
      </c>
      <c r="Z9" s="78">
        <f t="shared" ref="Z9:Z16" si="1">SUM(C9:Y9)</f>
        <v>1</v>
      </c>
    </row>
    <row r="10" spans="1:26" x14ac:dyDescent="0.4">
      <c r="A10" s="30" t="s">
        <v>21</v>
      </c>
      <c r="Z10" s="78">
        <f t="shared" si="1"/>
        <v>0</v>
      </c>
    </row>
    <row r="11" spans="1:26" x14ac:dyDescent="0.4">
      <c r="A11" s="30" t="s">
        <v>98</v>
      </c>
      <c r="Z11" s="78">
        <f t="shared" si="1"/>
        <v>0</v>
      </c>
    </row>
    <row r="12" spans="1:26" x14ac:dyDescent="0.4">
      <c r="A12" s="30" t="s">
        <v>22</v>
      </c>
      <c r="C12" s="60">
        <v>10</v>
      </c>
      <c r="D12" s="60">
        <v>15</v>
      </c>
      <c r="E12" s="60">
        <v>1</v>
      </c>
      <c r="F12" s="60">
        <v>13</v>
      </c>
      <c r="G12" s="60">
        <v>1</v>
      </c>
      <c r="I12" s="60">
        <v>16</v>
      </c>
      <c r="N12" s="60">
        <v>4</v>
      </c>
      <c r="Z12" s="78">
        <f t="shared" si="1"/>
        <v>60</v>
      </c>
    </row>
    <row r="13" spans="1:26" x14ac:dyDescent="0.4">
      <c r="A13" s="30" t="s">
        <v>23</v>
      </c>
      <c r="C13" s="60">
        <v>5</v>
      </c>
      <c r="D13" s="60">
        <v>7</v>
      </c>
      <c r="F13" s="60">
        <v>6</v>
      </c>
      <c r="H13" s="60">
        <v>1</v>
      </c>
      <c r="I13" s="60">
        <v>8</v>
      </c>
      <c r="L13" s="60">
        <v>1</v>
      </c>
      <c r="N13" s="60">
        <v>1</v>
      </c>
      <c r="Z13" s="78">
        <f t="shared" si="1"/>
        <v>29</v>
      </c>
    </row>
    <row r="14" spans="1:26" x14ac:dyDescent="0.4">
      <c r="A14" s="30" t="s">
        <v>24</v>
      </c>
      <c r="F14" s="60">
        <v>5</v>
      </c>
      <c r="I14" s="60">
        <v>3</v>
      </c>
      <c r="N14" s="60">
        <v>2</v>
      </c>
      <c r="Z14" s="78">
        <f t="shared" si="1"/>
        <v>10</v>
      </c>
    </row>
    <row r="15" spans="1:26" x14ac:dyDescent="0.4">
      <c r="A15" s="30" t="s">
        <v>102</v>
      </c>
      <c r="Z15" s="78">
        <f t="shared" si="1"/>
        <v>0</v>
      </c>
    </row>
    <row r="16" spans="1:26" ht="13" thickBot="1" x14ac:dyDescent="0.45">
      <c r="A16" s="30" t="s">
        <v>37</v>
      </c>
      <c r="C16" s="62"/>
      <c r="D16" s="62"/>
      <c r="E16" s="62"/>
      <c r="F16" s="62"/>
      <c r="G16" s="62"/>
      <c r="H16" s="62"/>
      <c r="I16" s="62"/>
      <c r="J16" s="62"/>
      <c r="K16" s="62"/>
      <c r="L16" s="62"/>
      <c r="M16" s="62"/>
      <c r="N16" s="62"/>
      <c r="O16" s="62"/>
      <c r="P16" s="62"/>
      <c r="Q16" s="62"/>
      <c r="R16" s="62"/>
      <c r="S16" s="62"/>
      <c r="T16" s="62"/>
      <c r="U16" s="62"/>
      <c r="V16" s="62"/>
      <c r="W16" s="62"/>
      <c r="X16" s="62"/>
      <c r="Y16" s="62"/>
      <c r="Z16" s="68">
        <f t="shared" si="1"/>
        <v>0</v>
      </c>
    </row>
    <row r="17" spans="1:26" x14ac:dyDescent="0.4">
      <c r="A17" s="30" t="s">
        <v>25</v>
      </c>
      <c r="C17" s="60">
        <f>SUM(C3:C16)</f>
        <v>19</v>
      </c>
      <c r="D17" s="60">
        <f t="shared" ref="D17:U17" si="2">SUM(D3:D16)</f>
        <v>26</v>
      </c>
      <c r="E17" s="60">
        <f t="shared" si="2"/>
        <v>2</v>
      </c>
      <c r="F17" s="60">
        <f t="shared" si="2"/>
        <v>32</v>
      </c>
      <c r="G17" s="60">
        <f t="shared" si="2"/>
        <v>1</v>
      </c>
      <c r="H17" s="60">
        <f t="shared" si="2"/>
        <v>1</v>
      </c>
      <c r="I17" s="60">
        <f t="shared" si="2"/>
        <v>37</v>
      </c>
      <c r="J17" s="60">
        <f t="shared" si="2"/>
        <v>0</v>
      </c>
      <c r="K17" s="60">
        <f t="shared" si="2"/>
        <v>0</v>
      </c>
      <c r="L17" s="60">
        <f t="shared" si="2"/>
        <v>1</v>
      </c>
      <c r="M17" s="60">
        <f t="shared" si="2"/>
        <v>0</v>
      </c>
      <c r="N17" s="60">
        <f t="shared" si="2"/>
        <v>9</v>
      </c>
      <c r="O17" s="60">
        <f t="shared" si="2"/>
        <v>0</v>
      </c>
      <c r="P17" s="60">
        <f t="shared" si="2"/>
        <v>0</v>
      </c>
      <c r="Q17" s="60">
        <f t="shared" si="2"/>
        <v>0</v>
      </c>
      <c r="R17" s="60">
        <f t="shared" si="2"/>
        <v>0</v>
      </c>
      <c r="S17" s="60">
        <f t="shared" si="2"/>
        <v>0</v>
      </c>
      <c r="T17" s="60">
        <f t="shared" si="2"/>
        <v>0</v>
      </c>
      <c r="U17" s="60">
        <f t="shared" si="2"/>
        <v>0</v>
      </c>
      <c r="V17" s="60">
        <f>SUM(V3:V16)</f>
        <v>0</v>
      </c>
      <c r="W17" s="60">
        <f>SUM(W3:W16)</f>
        <v>0</v>
      </c>
      <c r="X17" s="60">
        <f>SUM(X3:X16)</f>
        <v>0</v>
      </c>
      <c r="Y17" s="60">
        <f>SUM(Y3:Y16)</f>
        <v>0</v>
      </c>
      <c r="Z17" s="78">
        <f>SUM(Z3:Z16)</f>
        <v>128</v>
      </c>
    </row>
    <row r="18" spans="1:26" ht="13" thickBot="1" x14ac:dyDescent="0.45">
      <c r="A18" s="29" t="s">
        <v>107</v>
      </c>
      <c r="D18" s="64"/>
      <c r="E18" s="7"/>
      <c r="F18" s="29"/>
      <c r="G18" s="29" t="s">
        <v>108</v>
      </c>
    </row>
    <row r="19" spans="1:26" ht="13" thickBot="1" x14ac:dyDescent="0.45">
      <c r="A19" s="10" t="str">
        <f>A2</f>
        <v>BLIND #</v>
      </c>
      <c r="B19" s="14"/>
      <c r="C19" s="12">
        <f t="shared" ref="C19:N19" si="3">C2</f>
        <v>1</v>
      </c>
      <c r="D19" s="12">
        <f t="shared" si="3"/>
        <v>2</v>
      </c>
      <c r="E19" s="12">
        <f t="shared" si="3"/>
        <v>3</v>
      </c>
      <c r="F19" s="12">
        <f t="shared" si="3"/>
        <v>4</v>
      </c>
      <c r="G19" s="12">
        <f t="shared" si="3"/>
        <v>5</v>
      </c>
      <c r="H19" s="12">
        <f t="shared" si="3"/>
        <v>6</v>
      </c>
      <c r="I19" s="12">
        <f t="shared" si="3"/>
        <v>7</v>
      </c>
      <c r="J19" s="12">
        <f t="shared" si="3"/>
        <v>8</v>
      </c>
      <c r="K19" s="12">
        <f t="shared" si="3"/>
        <v>9</v>
      </c>
      <c r="L19" s="12">
        <f t="shared" si="3"/>
        <v>10</v>
      </c>
      <c r="M19" s="12">
        <f t="shared" si="3"/>
        <v>11</v>
      </c>
      <c r="N19" s="12">
        <f t="shared" si="3"/>
        <v>12</v>
      </c>
      <c r="O19" s="12">
        <v>13</v>
      </c>
      <c r="P19" s="12">
        <v>14</v>
      </c>
      <c r="Q19" s="12">
        <v>15</v>
      </c>
      <c r="R19" s="12">
        <v>16</v>
      </c>
      <c r="S19" s="12">
        <v>17</v>
      </c>
      <c r="T19" s="12">
        <v>18</v>
      </c>
      <c r="U19" s="12">
        <v>19</v>
      </c>
      <c r="V19" s="12">
        <v>20</v>
      </c>
      <c r="W19" s="12">
        <v>21</v>
      </c>
      <c r="X19" s="12">
        <v>22</v>
      </c>
      <c r="Y19" s="12">
        <v>23</v>
      </c>
      <c r="Z19" s="13" t="s">
        <v>2</v>
      </c>
    </row>
    <row r="20" spans="1:26" ht="13" thickBot="1" x14ac:dyDescent="0.45">
      <c r="A20" s="30" t="str">
        <f>A3</f>
        <v>RUDDY</v>
      </c>
      <c r="Z20" s="77">
        <f>SUM(C20:Y20)</f>
        <v>0</v>
      </c>
    </row>
    <row r="21" spans="1:26" ht="13" thickBot="1" x14ac:dyDescent="0.45">
      <c r="A21" s="30" t="str">
        <f t="shared" ref="A21:A33" si="4">A4</f>
        <v>CANVASBACK</v>
      </c>
      <c r="D21" s="60">
        <v>1</v>
      </c>
      <c r="F21" s="60">
        <v>1</v>
      </c>
      <c r="M21" s="60">
        <v>1</v>
      </c>
      <c r="O21" s="60">
        <v>1</v>
      </c>
      <c r="V21" s="60">
        <v>2</v>
      </c>
      <c r="W21" s="60">
        <v>14</v>
      </c>
      <c r="Y21" s="60">
        <v>3</v>
      </c>
      <c r="Z21" s="77">
        <f t="shared" ref="Z21:Z33" si="5">SUM(C21:Y21)</f>
        <v>23</v>
      </c>
    </row>
    <row r="22" spans="1:26" ht="13" thickBot="1" x14ac:dyDescent="0.45">
      <c r="A22" s="30" t="str">
        <f t="shared" si="4"/>
        <v>GADWALL</v>
      </c>
      <c r="F22" s="60">
        <v>1</v>
      </c>
      <c r="H22" s="60">
        <v>2</v>
      </c>
      <c r="I22" s="60">
        <v>1</v>
      </c>
      <c r="L22" s="60">
        <v>1</v>
      </c>
      <c r="S22" s="60">
        <v>1</v>
      </c>
      <c r="U22" s="60">
        <v>2</v>
      </c>
      <c r="V22" s="60">
        <v>4</v>
      </c>
      <c r="W22" s="60">
        <v>2</v>
      </c>
      <c r="Y22" s="60">
        <v>2</v>
      </c>
      <c r="Z22" s="77">
        <f t="shared" si="5"/>
        <v>16</v>
      </c>
    </row>
    <row r="23" spans="1:26" ht="13" thickBot="1" x14ac:dyDescent="0.45">
      <c r="A23" s="30" t="str">
        <f t="shared" si="4"/>
        <v>GEESE</v>
      </c>
      <c r="Z23" s="77">
        <f t="shared" si="5"/>
        <v>0</v>
      </c>
    </row>
    <row r="24" spans="1:26" ht="13" thickBot="1" x14ac:dyDescent="0.45">
      <c r="A24" s="30" t="str">
        <f t="shared" si="4"/>
        <v>MALLARD</v>
      </c>
      <c r="F24" s="60">
        <v>3</v>
      </c>
      <c r="G24" s="60">
        <v>1</v>
      </c>
      <c r="I24" s="60">
        <v>3</v>
      </c>
      <c r="L24" s="60">
        <v>1</v>
      </c>
      <c r="M24" s="60">
        <v>1</v>
      </c>
      <c r="R24" s="60">
        <v>2</v>
      </c>
      <c r="W24" s="60">
        <v>4</v>
      </c>
      <c r="Z24" s="77">
        <f t="shared" si="5"/>
        <v>15</v>
      </c>
    </row>
    <row r="25" spans="1:26" ht="13" thickBot="1" x14ac:dyDescent="0.45">
      <c r="A25" s="30" t="str">
        <f t="shared" si="4"/>
        <v>PINTAIL</v>
      </c>
      <c r="C25" s="60">
        <v>1</v>
      </c>
      <c r="F25" s="60">
        <v>6</v>
      </c>
      <c r="H25" s="60">
        <v>6</v>
      </c>
      <c r="I25" s="60">
        <v>2</v>
      </c>
      <c r="K25" s="60">
        <v>2</v>
      </c>
      <c r="L25" s="60">
        <v>3</v>
      </c>
      <c r="M25" s="60">
        <v>2</v>
      </c>
      <c r="R25" s="60">
        <v>5</v>
      </c>
      <c r="U25" s="60">
        <v>1</v>
      </c>
      <c r="V25" s="60">
        <v>9</v>
      </c>
      <c r="W25" s="60">
        <v>7</v>
      </c>
      <c r="Y25" s="60">
        <v>2</v>
      </c>
      <c r="Z25" s="77">
        <f t="shared" si="5"/>
        <v>46</v>
      </c>
    </row>
    <row r="26" spans="1:26" ht="13" thickBot="1" x14ac:dyDescent="0.45">
      <c r="A26" s="30" t="str">
        <f t="shared" si="4"/>
        <v>REDHEAD</v>
      </c>
      <c r="V26" s="60">
        <v>3</v>
      </c>
      <c r="W26" s="60">
        <v>7</v>
      </c>
      <c r="Z26" s="77">
        <f t="shared" si="5"/>
        <v>10</v>
      </c>
    </row>
    <row r="27" spans="1:26" ht="13" thickBot="1" x14ac:dyDescent="0.45">
      <c r="A27" s="30" t="str">
        <f t="shared" si="4"/>
        <v>RINGNECK</v>
      </c>
      <c r="W27" s="60">
        <v>1</v>
      </c>
      <c r="Z27" s="77">
        <f t="shared" si="5"/>
        <v>1</v>
      </c>
    </row>
    <row r="28" spans="1:26" ht="13" thickBot="1" x14ac:dyDescent="0.45">
      <c r="A28" s="30" t="str">
        <f t="shared" si="4"/>
        <v>B'HEAD</v>
      </c>
      <c r="Y28" s="60">
        <v>1</v>
      </c>
      <c r="Z28" s="77">
        <f t="shared" si="5"/>
        <v>1</v>
      </c>
    </row>
    <row r="29" spans="1:26" ht="13" thickBot="1" x14ac:dyDescent="0.45">
      <c r="A29" s="30" t="str">
        <f t="shared" si="4"/>
        <v>SPOONY</v>
      </c>
      <c r="C29" s="60">
        <v>4</v>
      </c>
      <c r="D29" s="60">
        <v>2</v>
      </c>
      <c r="F29" s="60">
        <v>7</v>
      </c>
      <c r="H29" s="60">
        <v>3</v>
      </c>
      <c r="I29" s="60">
        <v>7</v>
      </c>
      <c r="L29" s="60">
        <v>3</v>
      </c>
      <c r="M29" s="60">
        <v>2</v>
      </c>
      <c r="N29" s="60">
        <v>3</v>
      </c>
      <c r="O29" s="60">
        <v>1</v>
      </c>
      <c r="R29" s="60">
        <v>11</v>
      </c>
      <c r="U29" s="60">
        <v>6</v>
      </c>
      <c r="V29" s="60">
        <v>10</v>
      </c>
      <c r="W29" s="60">
        <v>19</v>
      </c>
      <c r="Y29" s="60">
        <v>1</v>
      </c>
      <c r="Z29" s="77">
        <f t="shared" si="5"/>
        <v>79</v>
      </c>
    </row>
    <row r="30" spans="1:26" ht="13" thickBot="1" x14ac:dyDescent="0.45">
      <c r="A30" s="30" t="str">
        <f t="shared" si="4"/>
        <v>TEAL</v>
      </c>
      <c r="C30" s="60">
        <v>9</v>
      </c>
      <c r="D30" s="60">
        <v>10</v>
      </c>
      <c r="F30" s="60">
        <v>21</v>
      </c>
      <c r="G30" s="60">
        <v>4</v>
      </c>
      <c r="H30" s="60">
        <v>28</v>
      </c>
      <c r="I30" s="60">
        <v>29</v>
      </c>
      <c r="K30" s="60">
        <v>5</v>
      </c>
      <c r="L30" s="60">
        <v>20</v>
      </c>
      <c r="M30" s="60">
        <v>3</v>
      </c>
      <c r="O30" s="60">
        <v>7</v>
      </c>
      <c r="R30" s="60">
        <v>13</v>
      </c>
      <c r="S30" s="60">
        <v>2</v>
      </c>
      <c r="U30" s="60">
        <v>1</v>
      </c>
      <c r="V30" s="60">
        <v>32</v>
      </c>
      <c r="W30" s="60">
        <v>23</v>
      </c>
      <c r="Y30" s="60">
        <v>7</v>
      </c>
      <c r="Z30" s="77">
        <f t="shared" si="5"/>
        <v>214</v>
      </c>
    </row>
    <row r="31" spans="1:26" ht="13" thickBot="1" x14ac:dyDescent="0.45">
      <c r="A31" s="30" t="str">
        <f t="shared" si="4"/>
        <v>WIDGEON</v>
      </c>
      <c r="C31" s="60">
        <v>1</v>
      </c>
      <c r="D31" s="60">
        <v>3</v>
      </c>
      <c r="F31" s="60">
        <v>3</v>
      </c>
      <c r="H31" s="60">
        <v>3</v>
      </c>
      <c r="I31" s="60">
        <v>5</v>
      </c>
      <c r="L31" s="60">
        <v>4</v>
      </c>
      <c r="R31" s="60">
        <v>9</v>
      </c>
      <c r="U31" s="60">
        <v>3</v>
      </c>
      <c r="V31" s="60">
        <v>17</v>
      </c>
      <c r="W31" s="60">
        <v>3</v>
      </c>
      <c r="Y31" s="60">
        <v>2</v>
      </c>
      <c r="Z31" s="77">
        <f t="shared" si="5"/>
        <v>53</v>
      </c>
    </row>
    <row r="32" spans="1:26" ht="13" thickBot="1" x14ac:dyDescent="0.45">
      <c r="A32" s="30" t="s">
        <v>111</v>
      </c>
      <c r="I32" s="60">
        <v>1</v>
      </c>
      <c r="V32" s="60">
        <v>1</v>
      </c>
      <c r="W32" s="60">
        <v>3</v>
      </c>
      <c r="Z32" s="77">
        <f t="shared" si="5"/>
        <v>5</v>
      </c>
    </row>
    <row r="33" spans="1:28" ht="13" thickBot="1" x14ac:dyDescent="0.45">
      <c r="A33" s="30" t="str">
        <f t="shared" si="4"/>
        <v>OTHER</v>
      </c>
      <c r="C33" s="62"/>
      <c r="D33" s="62"/>
      <c r="E33" s="62"/>
      <c r="F33" s="62"/>
      <c r="G33" s="62"/>
      <c r="H33" s="62"/>
      <c r="I33" s="62"/>
      <c r="J33" s="62"/>
      <c r="K33" s="62"/>
      <c r="L33" s="62"/>
      <c r="M33" s="62"/>
      <c r="N33" s="62"/>
      <c r="O33" s="62"/>
      <c r="P33" s="62"/>
      <c r="Q33" s="62"/>
      <c r="R33" s="62"/>
      <c r="S33" s="62"/>
      <c r="T33" s="62"/>
      <c r="U33" s="62"/>
      <c r="V33" s="62"/>
      <c r="W33" s="62"/>
      <c r="X33" s="62"/>
      <c r="Y33" s="62"/>
      <c r="Z33" s="79">
        <f t="shared" si="5"/>
        <v>0</v>
      </c>
    </row>
    <row r="34" spans="1:28" x14ac:dyDescent="0.4">
      <c r="A34" s="30" t="s">
        <v>25</v>
      </c>
      <c r="C34" s="60">
        <f>0+SUM(C20:C33)</f>
        <v>15</v>
      </c>
      <c r="D34" s="60">
        <f t="shared" ref="D34:U34" si="6">0+SUM(D20:D33)</f>
        <v>16</v>
      </c>
      <c r="E34" s="60">
        <f t="shared" si="6"/>
        <v>0</v>
      </c>
      <c r="F34" s="60">
        <f t="shared" si="6"/>
        <v>42</v>
      </c>
      <c r="G34" s="60">
        <f t="shared" si="6"/>
        <v>5</v>
      </c>
      <c r="H34" s="60">
        <f t="shared" si="6"/>
        <v>42</v>
      </c>
      <c r="I34" s="60">
        <f t="shared" si="6"/>
        <v>48</v>
      </c>
      <c r="J34" s="60">
        <f t="shared" si="6"/>
        <v>0</v>
      </c>
      <c r="K34" s="60">
        <f t="shared" si="6"/>
        <v>7</v>
      </c>
      <c r="L34" s="60">
        <f t="shared" si="6"/>
        <v>32</v>
      </c>
      <c r="M34" s="60">
        <f t="shared" si="6"/>
        <v>9</v>
      </c>
      <c r="N34" s="60">
        <f t="shared" si="6"/>
        <v>3</v>
      </c>
      <c r="O34" s="60">
        <f t="shared" si="6"/>
        <v>9</v>
      </c>
      <c r="P34" s="60">
        <f t="shared" si="6"/>
        <v>0</v>
      </c>
      <c r="Q34" s="60">
        <f t="shared" si="6"/>
        <v>0</v>
      </c>
      <c r="R34" s="60">
        <f t="shared" si="6"/>
        <v>40</v>
      </c>
      <c r="S34" s="60">
        <f t="shared" si="6"/>
        <v>3</v>
      </c>
      <c r="T34" s="60">
        <f t="shared" si="6"/>
        <v>0</v>
      </c>
      <c r="U34" s="60">
        <f t="shared" si="6"/>
        <v>13</v>
      </c>
      <c r="V34" s="60">
        <f>0+SUM(V20:V33)</f>
        <v>78</v>
      </c>
      <c r="W34" s="60">
        <f>0+SUM(W20:W33)</f>
        <v>83</v>
      </c>
      <c r="X34" s="60">
        <f>0+SUM(X20:X33)</f>
        <v>0</v>
      </c>
      <c r="Y34" s="60">
        <f>0+SUM(Y20:Y33)</f>
        <v>18</v>
      </c>
      <c r="Z34" s="30">
        <f>SUM(Z20:Z33)</f>
        <v>463</v>
      </c>
    </row>
    <row r="35" spans="1:28" ht="13" thickBot="1" x14ac:dyDescent="0.45"/>
    <row r="36" spans="1:28"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15"/>
      <c r="AA36" s="20" t="s">
        <v>60</v>
      </c>
      <c r="AB36" s="21" t="s">
        <v>57</v>
      </c>
    </row>
    <row r="37" spans="1:28" ht="13" thickBot="1" x14ac:dyDescent="0.45">
      <c r="A37" s="10" t="str">
        <f>A19</f>
        <v>BLIND #</v>
      </c>
      <c r="B37" s="14"/>
      <c r="C37" s="12">
        <f t="shared" ref="C37:U37" si="7">C19</f>
        <v>1</v>
      </c>
      <c r="D37" s="12">
        <f t="shared" si="7"/>
        <v>2</v>
      </c>
      <c r="E37" s="12">
        <f t="shared" si="7"/>
        <v>3</v>
      </c>
      <c r="F37" s="12">
        <f t="shared" si="7"/>
        <v>4</v>
      </c>
      <c r="G37" s="12">
        <f t="shared" si="7"/>
        <v>5</v>
      </c>
      <c r="H37" s="12">
        <f t="shared" si="7"/>
        <v>6</v>
      </c>
      <c r="I37" s="12">
        <f t="shared" si="7"/>
        <v>7</v>
      </c>
      <c r="J37" s="12">
        <f t="shared" si="7"/>
        <v>8</v>
      </c>
      <c r="K37" s="12">
        <f t="shared" si="7"/>
        <v>9</v>
      </c>
      <c r="L37" s="12">
        <f t="shared" si="7"/>
        <v>10</v>
      </c>
      <c r="M37" s="12">
        <f t="shared" si="7"/>
        <v>11</v>
      </c>
      <c r="N37" s="12">
        <f t="shared" si="7"/>
        <v>12</v>
      </c>
      <c r="O37" s="12">
        <f t="shared" si="7"/>
        <v>13</v>
      </c>
      <c r="P37" s="12">
        <f t="shared" si="7"/>
        <v>14</v>
      </c>
      <c r="Q37" s="12">
        <f t="shared" si="7"/>
        <v>15</v>
      </c>
      <c r="R37" s="12">
        <f t="shared" si="7"/>
        <v>16</v>
      </c>
      <c r="S37" s="12">
        <f t="shared" si="7"/>
        <v>17</v>
      </c>
      <c r="T37" s="12">
        <f t="shared" si="7"/>
        <v>18</v>
      </c>
      <c r="U37" s="12">
        <f t="shared" si="7"/>
        <v>19</v>
      </c>
      <c r="V37" s="65">
        <v>20</v>
      </c>
      <c r="W37" s="65">
        <v>21</v>
      </c>
      <c r="X37" s="65">
        <v>22</v>
      </c>
      <c r="Y37" s="65">
        <v>23</v>
      </c>
      <c r="Z37" s="15" t="s">
        <v>2</v>
      </c>
      <c r="AA37" s="26" t="s">
        <v>61</v>
      </c>
      <c r="AB37" s="27" t="s">
        <v>59</v>
      </c>
    </row>
    <row r="38" spans="1:28" x14ac:dyDescent="0.4">
      <c r="A38" s="30" t="str">
        <f>A20</f>
        <v>RUDDY</v>
      </c>
      <c r="C38" s="60">
        <f t="shared" ref="C38:W50" si="8">C3+C20</f>
        <v>0</v>
      </c>
      <c r="D38" s="60">
        <f t="shared" si="8"/>
        <v>0</v>
      </c>
      <c r="E38" s="60">
        <f t="shared" si="8"/>
        <v>0</v>
      </c>
      <c r="F38" s="60">
        <f t="shared" si="8"/>
        <v>0</v>
      </c>
      <c r="G38" s="60">
        <f t="shared" si="8"/>
        <v>0</v>
      </c>
      <c r="H38" s="60">
        <f t="shared" si="8"/>
        <v>0</v>
      </c>
      <c r="I38" s="60">
        <f t="shared" si="8"/>
        <v>0</v>
      </c>
      <c r="J38" s="60">
        <f t="shared" si="8"/>
        <v>0</v>
      </c>
      <c r="K38" s="60">
        <f t="shared" si="8"/>
        <v>0</v>
      </c>
      <c r="L38" s="60">
        <f t="shared" si="8"/>
        <v>0</v>
      </c>
      <c r="M38" s="60">
        <f t="shared" si="8"/>
        <v>0</v>
      </c>
      <c r="N38" s="60">
        <f t="shared" si="8"/>
        <v>0</v>
      </c>
      <c r="O38" s="60">
        <f t="shared" si="8"/>
        <v>0</v>
      </c>
      <c r="P38" s="60">
        <f t="shared" si="8"/>
        <v>0</v>
      </c>
      <c r="Q38" s="60">
        <f t="shared" si="8"/>
        <v>0</v>
      </c>
      <c r="R38" s="60">
        <f t="shared" si="8"/>
        <v>0</v>
      </c>
      <c r="S38" s="60">
        <f t="shared" si="8"/>
        <v>0</v>
      </c>
      <c r="T38" s="60">
        <f t="shared" si="8"/>
        <v>0</v>
      </c>
      <c r="U38" s="60">
        <f t="shared" si="8"/>
        <v>0</v>
      </c>
      <c r="V38" s="60">
        <f t="shared" si="8"/>
        <v>0</v>
      </c>
      <c r="W38" s="60">
        <f t="shared" si="8"/>
        <v>0</v>
      </c>
      <c r="Z38" s="77">
        <f>SUM(C38:Y38)</f>
        <v>0</v>
      </c>
      <c r="AA38" s="66">
        <f>Z38/$Z$52</f>
        <v>0</v>
      </c>
      <c r="AB38" s="67">
        <f>0/10068</f>
        <v>0</v>
      </c>
    </row>
    <row r="39" spans="1:28" x14ac:dyDescent="0.4">
      <c r="A39" s="30" t="str">
        <f t="shared" ref="A39:A50" si="9">A21</f>
        <v>CANVASBACK</v>
      </c>
      <c r="C39" s="60">
        <f t="shared" si="8"/>
        <v>0</v>
      </c>
      <c r="D39" s="60">
        <f t="shared" si="8"/>
        <v>1</v>
      </c>
      <c r="E39" s="60">
        <f t="shared" si="8"/>
        <v>0</v>
      </c>
      <c r="F39" s="60">
        <f t="shared" si="8"/>
        <v>2</v>
      </c>
      <c r="G39" s="60">
        <f t="shared" si="8"/>
        <v>0</v>
      </c>
      <c r="H39" s="60">
        <f t="shared" si="8"/>
        <v>0</v>
      </c>
      <c r="I39" s="60">
        <f t="shared" si="8"/>
        <v>3</v>
      </c>
      <c r="J39" s="60">
        <f t="shared" si="8"/>
        <v>0</v>
      </c>
      <c r="K39" s="60">
        <f t="shared" si="8"/>
        <v>0</v>
      </c>
      <c r="L39" s="60">
        <f t="shared" si="8"/>
        <v>0</v>
      </c>
      <c r="M39" s="60">
        <f t="shared" si="8"/>
        <v>1</v>
      </c>
      <c r="N39" s="60">
        <f t="shared" si="8"/>
        <v>0</v>
      </c>
      <c r="O39" s="60">
        <f t="shared" si="8"/>
        <v>1</v>
      </c>
      <c r="P39" s="60">
        <f t="shared" si="8"/>
        <v>0</v>
      </c>
      <c r="Q39" s="60">
        <f t="shared" si="8"/>
        <v>0</v>
      </c>
      <c r="R39" s="60">
        <f t="shared" si="8"/>
        <v>0</v>
      </c>
      <c r="S39" s="60">
        <f t="shared" si="8"/>
        <v>0</v>
      </c>
      <c r="T39" s="60">
        <f t="shared" si="8"/>
        <v>0</v>
      </c>
      <c r="U39" s="60">
        <f t="shared" si="8"/>
        <v>0</v>
      </c>
      <c r="V39" s="60">
        <f t="shared" si="8"/>
        <v>2</v>
      </c>
      <c r="W39" s="60">
        <f t="shared" si="8"/>
        <v>14</v>
      </c>
      <c r="Y39" s="60">
        <v>3</v>
      </c>
      <c r="Z39" s="78">
        <f t="shared" ref="Z39:Z51" si="10">SUM(C39:Y39)</f>
        <v>27</v>
      </c>
      <c r="AA39" s="66">
        <f t="shared" ref="AA39:AA51" si="11">Z39/$Z$52</f>
        <v>4.5685279187817257E-2</v>
      </c>
      <c r="AB39" s="67">
        <v>0</v>
      </c>
    </row>
    <row r="40" spans="1:28" x14ac:dyDescent="0.4">
      <c r="A40" s="30" t="str">
        <f t="shared" si="9"/>
        <v>GADWALL</v>
      </c>
      <c r="C40" s="60">
        <f t="shared" si="8"/>
        <v>1</v>
      </c>
      <c r="D40" s="60">
        <f t="shared" si="8"/>
        <v>0</v>
      </c>
      <c r="E40" s="60">
        <f t="shared" si="8"/>
        <v>0</v>
      </c>
      <c r="F40" s="60">
        <f t="shared" si="8"/>
        <v>6</v>
      </c>
      <c r="G40" s="60">
        <f t="shared" si="8"/>
        <v>0</v>
      </c>
      <c r="H40" s="60">
        <f t="shared" si="8"/>
        <v>2</v>
      </c>
      <c r="I40" s="60">
        <f t="shared" si="8"/>
        <v>4</v>
      </c>
      <c r="J40" s="60">
        <f t="shared" si="8"/>
        <v>0</v>
      </c>
      <c r="K40" s="60">
        <f t="shared" si="8"/>
        <v>0</v>
      </c>
      <c r="L40" s="60">
        <f t="shared" si="8"/>
        <v>1</v>
      </c>
      <c r="M40" s="60">
        <f t="shared" si="8"/>
        <v>0</v>
      </c>
      <c r="N40" s="60">
        <f t="shared" si="8"/>
        <v>0</v>
      </c>
      <c r="O40" s="60">
        <f t="shared" si="8"/>
        <v>0</v>
      </c>
      <c r="P40" s="60">
        <f t="shared" si="8"/>
        <v>0</v>
      </c>
      <c r="Q40" s="60">
        <f t="shared" si="8"/>
        <v>0</v>
      </c>
      <c r="R40" s="60">
        <f t="shared" si="8"/>
        <v>0</v>
      </c>
      <c r="S40" s="60">
        <f t="shared" si="8"/>
        <v>1</v>
      </c>
      <c r="T40" s="60">
        <f t="shared" si="8"/>
        <v>0</v>
      </c>
      <c r="U40" s="60">
        <f t="shared" si="8"/>
        <v>2</v>
      </c>
      <c r="V40" s="60">
        <f t="shared" si="8"/>
        <v>4</v>
      </c>
      <c r="W40" s="60">
        <f t="shared" si="8"/>
        <v>2</v>
      </c>
      <c r="Y40" s="60">
        <v>2</v>
      </c>
      <c r="Z40" s="78">
        <f t="shared" si="10"/>
        <v>25</v>
      </c>
      <c r="AA40" s="66">
        <f t="shared" si="11"/>
        <v>4.2301184433164128E-2</v>
      </c>
      <c r="AB40" s="67">
        <v>0</v>
      </c>
    </row>
    <row r="41" spans="1:28" x14ac:dyDescent="0.4">
      <c r="A41" s="30" t="str">
        <f t="shared" si="9"/>
        <v>GEESE</v>
      </c>
      <c r="C41" s="60">
        <f t="shared" si="8"/>
        <v>0</v>
      </c>
      <c r="D41" s="60">
        <f t="shared" si="8"/>
        <v>0</v>
      </c>
      <c r="E41" s="60">
        <f t="shared" si="8"/>
        <v>0</v>
      </c>
      <c r="F41" s="60">
        <f t="shared" si="8"/>
        <v>0</v>
      </c>
      <c r="G41" s="60">
        <f t="shared" si="8"/>
        <v>0</v>
      </c>
      <c r="H41" s="60">
        <f t="shared" si="8"/>
        <v>0</v>
      </c>
      <c r="I41" s="60">
        <f t="shared" si="8"/>
        <v>0</v>
      </c>
      <c r="J41" s="60">
        <f t="shared" si="8"/>
        <v>0</v>
      </c>
      <c r="K41" s="60">
        <f t="shared" si="8"/>
        <v>0</v>
      </c>
      <c r="L41" s="60">
        <f t="shared" si="8"/>
        <v>0</v>
      </c>
      <c r="M41" s="60">
        <f t="shared" si="8"/>
        <v>0</v>
      </c>
      <c r="N41" s="60">
        <f t="shared" si="8"/>
        <v>0</v>
      </c>
      <c r="O41" s="60">
        <f t="shared" si="8"/>
        <v>0</v>
      </c>
      <c r="P41" s="60">
        <f t="shared" si="8"/>
        <v>0</v>
      </c>
      <c r="Q41" s="60">
        <f t="shared" si="8"/>
        <v>0</v>
      </c>
      <c r="R41" s="60">
        <f t="shared" si="8"/>
        <v>0</v>
      </c>
      <c r="S41" s="60">
        <f t="shared" si="8"/>
        <v>0</v>
      </c>
      <c r="T41" s="60">
        <f t="shared" si="8"/>
        <v>0</v>
      </c>
      <c r="U41" s="60">
        <f t="shared" si="8"/>
        <v>0</v>
      </c>
      <c r="V41" s="60">
        <f t="shared" si="8"/>
        <v>0</v>
      </c>
      <c r="W41" s="60">
        <f t="shared" si="8"/>
        <v>0</v>
      </c>
      <c r="Z41" s="78">
        <f t="shared" si="10"/>
        <v>0</v>
      </c>
      <c r="AA41" s="66">
        <f t="shared" si="11"/>
        <v>0</v>
      </c>
      <c r="AB41" s="67">
        <v>0</v>
      </c>
    </row>
    <row r="42" spans="1:28" x14ac:dyDescent="0.4">
      <c r="A42" s="30" t="str">
        <f t="shared" si="9"/>
        <v>MALLARD</v>
      </c>
      <c r="C42" s="60">
        <f t="shared" si="8"/>
        <v>1</v>
      </c>
      <c r="D42" s="60">
        <f t="shared" si="8"/>
        <v>2</v>
      </c>
      <c r="E42" s="60">
        <f t="shared" si="8"/>
        <v>0</v>
      </c>
      <c r="F42" s="60">
        <f t="shared" si="8"/>
        <v>4</v>
      </c>
      <c r="G42" s="60">
        <f t="shared" si="8"/>
        <v>1</v>
      </c>
      <c r="H42" s="60">
        <f t="shared" si="8"/>
        <v>0</v>
      </c>
      <c r="I42" s="60">
        <f t="shared" si="8"/>
        <v>4</v>
      </c>
      <c r="J42" s="60">
        <f t="shared" si="8"/>
        <v>0</v>
      </c>
      <c r="K42" s="60">
        <f t="shared" si="8"/>
        <v>0</v>
      </c>
      <c r="L42" s="60">
        <f t="shared" si="8"/>
        <v>1</v>
      </c>
      <c r="M42" s="60">
        <f t="shared" si="8"/>
        <v>1</v>
      </c>
      <c r="N42" s="60">
        <f t="shared" si="8"/>
        <v>0</v>
      </c>
      <c r="O42" s="60">
        <f t="shared" si="8"/>
        <v>0</v>
      </c>
      <c r="P42" s="60">
        <f t="shared" si="8"/>
        <v>0</v>
      </c>
      <c r="Q42" s="60">
        <f t="shared" si="8"/>
        <v>0</v>
      </c>
      <c r="R42" s="60">
        <f t="shared" si="8"/>
        <v>2</v>
      </c>
      <c r="S42" s="60">
        <f t="shared" si="8"/>
        <v>0</v>
      </c>
      <c r="T42" s="60">
        <f t="shared" si="8"/>
        <v>0</v>
      </c>
      <c r="U42" s="60">
        <f t="shared" si="8"/>
        <v>0</v>
      </c>
      <c r="V42" s="60">
        <f t="shared" si="8"/>
        <v>0</v>
      </c>
      <c r="W42" s="60">
        <f t="shared" si="8"/>
        <v>4</v>
      </c>
      <c r="Z42" s="78">
        <f t="shared" si="10"/>
        <v>20</v>
      </c>
      <c r="AA42" s="66">
        <f t="shared" si="11"/>
        <v>3.3840947546531303E-2</v>
      </c>
      <c r="AB42" s="67">
        <v>0</v>
      </c>
    </row>
    <row r="43" spans="1:28" x14ac:dyDescent="0.4">
      <c r="A43" s="30" t="str">
        <f t="shared" si="9"/>
        <v>PINTAIL</v>
      </c>
      <c r="C43" s="60">
        <f t="shared" si="8"/>
        <v>3</v>
      </c>
      <c r="D43" s="60">
        <f t="shared" si="8"/>
        <v>1</v>
      </c>
      <c r="E43" s="60">
        <f t="shared" si="8"/>
        <v>1</v>
      </c>
      <c r="F43" s="60">
        <f t="shared" si="8"/>
        <v>7</v>
      </c>
      <c r="G43" s="60">
        <f t="shared" si="8"/>
        <v>0</v>
      </c>
      <c r="H43" s="60">
        <f t="shared" si="8"/>
        <v>6</v>
      </c>
      <c r="I43" s="60">
        <f t="shared" si="8"/>
        <v>5</v>
      </c>
      <c r="J43" s="60">
        <f t="shared" si="8"/>
        <v>0</v>
      </c>
      <c r="K43" s="60">
        <f t="shared" si="8"/>
        <v>2</v>
      </c>
      <c r="L43" s="60">
        <f t="shared" si="8"/>
        <v>3</v>
      </c>
      <c r="M43" s="60">
        <f t="shared" si="8"/>
        <v>2</v>
      </c>
      <c r="N43" s="60">
        <f t="shared" si="8"/>
        <v>2</v>
      </c>
      <c r="O43" s="60">
        <f t="shared" si="8"/>
        <v>0</v>
      </c>
      <c r="P43" s="60">
        <f t="shared" si="8"/>
        <v>0</v>
      </c>
      <c r="Q43" s="60">
        <f t="shared" si="8"/>
        <v>0</v>
      </c>
      <c r="R43" s="60">
        <f t="shared" si="8"/>
        <v>5</v>
      </c>
      <c r="S43" s="60">
        <f t="shared" si="8"/>
        <v>0</v>
      </c>
      <c r="T43" s="60">
        <f t="shared" si="8"/>
        <v>0</v>
      </c>
      <c r="U43" s="60">
        <f t="shared" si="8"/>
        <v>1</v>
      </c>
      <c r="V43" s="60">
        <f t="shared" si="8"/>
        <v>9</v>
      </c>
      <c r="W43" s="60">
        <f t="shared" si="8"/>
        <v>7</v>
      </c>
      <c r="Y43" s="60">
        <v>2</v>
      </c>
      <c r="Z43" s="78">
        <f t="shared" si="10"/>
        <v>56</v>
      </c>
      <c r="AA43" s="66">
        <f t="shared" si="11"/>
        <v>9.475465313028765E-2</v>
      </c>
      <c r="AB43" s="67">
        <v>0</v>
      </c>
    </row>
    <row r="44" spans="1:28" x14ac:dyDescent="0.4">
      <c r="A44" s="30" t="str">
        <f t="shared" si="9"/>
        <v>REDHEAD</v>
      </c>
      <c r="C44" s="60">
        <f t="shared" si="8"/>
        <v>0</v>
      </c>
      <c r="D44" s="60">
        <f t="shared" si="8"/>
        <v>1</v>
      </c>
      <c r="E44" s="60">
        <f t="shared" si="8"/>
        <v>0</v>
      </c>
      <c r="F44" s="60">
        <f t="shared" si="8"/>
        <v>0</v>
      </c>
      <c r="G44" s="60">
        <f t="shared" si="8"/>
        <v>0</v>
      </c>
      <c r="H44" s="60">
        <f t="shared" si="8"/>
        <v>0</v>
      </c>
      <c r="I44" s="60">
        <f t="shared" si="8"/>
        <v>0</v>
      </c>
      <c r="J44" s="60">
        <f t="shared" si="8"/>
        <v>0</v>
      </c>
      <c r="K44" s="60">
        <f t="shared" si="8"/>
        <v>0</v>
      </c>
      <c r="L44" s="60">
        <f t="shared" si="8"/>
        <v>0</v>
      </c>
      <c r="M44" s="60">
        <f t="shared" si="8"/>
        <v>0</v>
      </c>
      <c r="N44" s="60">
        <f t="shared" si="8"/>
        <v>0</v>
      </c>
      <c r="O44" s="60">
        <f t="shared" si="8"/>
        <v>0</v>
      </c>
      <c r="P44" s="60">
        <f t="shared" si="8"/>
        <v>0</v>
      </c>
      <c r="Q44" s="60">
        <f t="shared" si="8"/>
        <v>0</v>
      </c>
      <c r="R44" s="60">
        <f t="shared" si="8"/>
        <v>0</v>
      </c>
      <c r="S44" s="60">
        <f t="shared" si="8"/>
        <v>0</v>
      </c>
      <c r="T44" s="60">
        <f t="shared" si="8"/>
        <v>0</v>
      </c>
      <c r="U44" s="60">
        <f t="shared" si="8"/>
        <v>0</v>
      </c>
      <c r="V44" s="60">
        <f t="shared" si="8"/>
        <v>3</v>
      </c>
      <c r="W44" s="60">
        <f t="shared" si="8"/>
        <v>7</v>
      </c>
      <c r="Z44" s="78">
        <f t="shared" si="10"/>
        <v>11</v>
      </c>
      <c r="AA44" s="66">
        <f t="shared" si="11"/>
        <v>1.8612521150592216E-2</v>
      </c>
      <c r="AB44" s="67">
        <v>0</v>
      </c>
    </row>
    <row r="45" spans="1:28" x14ac:dyDescent="0.4">
      <c r="A45" s="30" t="str">
        <f t="shared" si="9"/>
        <v>RINGNECK</v>
      </c>
      <c r="C45" s="60">
        <f t="shared" si="8"/>
        <v>0</v>
      </c>
      <c r="D45" s="60">
        <f t="shared" si="8"/>
        <v>0</v>
      </c>
      <c r="E45" s="60">
        <f t="shared" si="8"/>
        <v>0</v>
      </c>
      <c r="F45" s="60">
        <f t="shared" si="8"/>
        <v>0</v>
      </c>
      <c r="G45" s="60">
        <f t="shared" si="8"/>
        <v>0</v>
      </c>
      <c r="H45" s="60">
        <f t="shared" si="8"/>
        <v>0</v>
      </c>
      <c r="I45" s="60">
        <f t="shared" si="8"/>
        <v>0</v>
      </c>
      <c r="J45" s="60">
        <f t="shared" si="8"/>
        <v>0</v>
      </c>
      <c r="K45" s="60">
        <f t="shared" si="8"/>
        <v>0</v>
      </c>
      <c r="L45" s="60">
        <f t="shared" si="8"/>
        <v>0</v>
      </c>
      <c r="M45" s="60">
        <f t="shared" si="8"/>
        <v>0</v>
      </c>
      <c r="N45" s="60">
        <f t="shared" si="8"/>
        <v>0</v>
      </c>
      <c r="O45" s="60">
        <f t="shared" si="8"/>
        <v>0</v>
      </c>
      <c r="P45" s="60">
        <f t="shared" si="8"/>
        <v>0</v>
      </c>
      <c r="Q45" s="60">
        <f t="shared" si="8"/>
        <v>0</v>
      </c>
      <c r="R45" s="60">
        <f t="shared" si="8"/>
        <v>0</v>
      </c>
      <c r="S45" s="60">
        <f t="shared" si="8"/>
        <v>0</v>
      </c>
      <c r="T45" s="60">
        <f t="shared" si="8"/>
        <v>0</v>
      </c>
      <c r="U45" s="60">
        <f t="shared" si="8"/>
        <v>0</v>
      </c>
      <c r="V45" s="60">
        <f t="shared" si="8"/>
        <v>0</v>
      </c>
      <c r="W45" s="60">
        <f t="shared" si="8"/>
        <v>1</v>
      </c>
      <c r="Z45" s="78">
        <f t="shared" si="10"/>
        <v>1</v>
      </c>
      <c r="AA45" s="66">
        <f t="shared" si="11"/>
        <v>1.6920473773265651E-3</v>
      </c>
      <c r="AB45" s="67">
        <v>0</v>
      </c>
    </row>
    <row r="46" spans="1:28" x14ac:dyDescent="0.4">
      <c r="A46" s="30" t="str">
        <f t="shared" si="9"/>
        <v>B'HEAD</v>
      </c>
      <c r="C46" s="60">
        <f t="shared" si="8"/>
        <v>0</v>
      </c>
      <c r="D46" s="60">
        <f t="shared" si="8"/>
        <v>0</v>
      </c>
      <c r="E46" s="60">
        <f t="shared" si="8"/>
        <v>0</v>
      </c>
      <c r="F46" s="60">
        <f t="shared" si="8"/>
        <v>0</v>
      </c>
      <c r="G46" s="60">
        <f t="shared" si="8"/>
        <v>0</v>
      </c>
      <c r="H46" s="60">
        <f t="shared" si="8"/>
        <v>0</v>
      </c>
      <c r="I46" s="60">
        <f t="shared" si="8"/>
        <v>0</v>
      </c>
      <c r="J46" s="60">
        <f t="shared" si="8"/>
        <v>0</v>
      </c>
      <c r="K46" s="60">
        <f t="shared" si="8"/>
        <v>0</v>
      </c>
      <c r="L46" s="60">
        <f t="shared" si="8"/>
        <v>0</v>
      </c>
      <c r="M46" s="60">
        <f t="shared" si="8"/>
        <v>0</v>
      </c>
      <c r="N46" s="60">
        <f t="shared" si="8"/>
        <v>0</v>
      </c>
      <c r="O46" s="60">
        <f t="shared" si="8"/>
        <v>0</v>
      </c>
      <c r="P46" s="60">
        <f t="shared" si="8"/>
        <v>0</v>
      </c>
      <c r="Q46" s="60">
        <f t="shared" si="8"/>
        <v>0</v>
      </c>
      <c r="R46" s="60">
        <f t="shared" si="8"/>
        <v>0</v>
      </c>
      <c r="S46" s="60">
        <f t="shared" si="8"/>
        <v>0</v>
      </c>
      <c r="T46" s="60">
        <f t="shared" si="8"/>
        <v>0</v>
      </c>
      <c r="U46" s="60">
        <f t="shared" si="8"/>
        <v>0</v>
      </c>
      <c r="V46" s="60">
        <f t="shared" si="8"/>
        <v>0</v>
      </c>
      <c r="W46" s="60">
        <f t="shared" si="8"/>
        <v>0</v>
      </c>
      <c r="Y46" s="60">
        <v>1</v>
      </c>
      <c r="Z46" s="78">
        <f t="shared" si="10"/>
        <v>1</v>
      </c>
      <c r="AA46" s="66">
        <f t="shared" si="11"/>
        <v>1.6920473773265651E-3</v>
      </c>
      <c r="AB46" s="67">
        <v>0</v>
      </c>
    </row>
    <row r="47" spans="1:28" x14ac:dyDescent="0.4">
      <c r="A47" s="30" t="str">
        <f t="shared" si="9"/>
        <v>SPOONY</v>
      </c>
      <c r="C47" s="60">
        <f t="shared" si="8"/>
        <v>14</v>
      </c>
      <c r="D47" s="60">
        <f t="shared" si="8"/>
        <v>17</v>
      </c>
      <c r="E47" s="60">
        <f t="shared" si="8"/>
        <v>1</v>
      </c>
      <c r="F47" s="60">
        <f t="shared" si="8"/>
        <v>20</v>
      </c>
      <c r="G47" s="60">
        <f t="shared" si="8"/>
        <v>1</v>
      </c>
      <c r="H47" s="60">
        <f t="shared" si="8"/>
        <v>3</v>
      </c>
      <c r="I47" s="60">
        <f t="shared" si="8"/>
        <v>23</v>
      </c>
      <c r="J47" s="60">
        <f t="shared" si="8"/>
        <v>0</v>
      </c>
      <c r="K47" s="60">
        <f t="shared" si="8"/>
        <v>0</v>
      </c>
      <c r="L47" s="60">
        <f t="shared" si="8"/>
        <v>3</v>
      </c>
      <c r="M47" s="60">
        <f t="shared" si="8"/>
        <v>2</v>
      </c>
      <c r="N47" s="60">
        <f t="shared" si="8"/>
        <v>7</v>
      </c>
      <c r="O47" s="60">
        <f t="shared" si="8"/>
        <v>1</v>
      </c>
      <c r="P47" s="60">
        <f t="shared" si="8"/>
        <v>0</v>
      </c>
      <c r="Q47" s="60">
        <f t="shared" si="8"/>
        <v>0</v>
      </c>
      <c r="R47" s="60">
        <f t="shared" si="8"/>
        <v>11</v>
      </c>
      <c r="S47" s="60">
        <f t="shared" si="8"/>
        <v>0</v>
      </c>
      <c r="T47" s="60">
        <f t="shared" si="8"/>
        <v>0</v>
      </c>
      <c r="U47" s="60">
        <f t="shared" si="8"/>
        <v>6</v>
      </c>
      <c r="V47" s="60">
        <f t="shared" si="8"/>
        <v>10</v>
      </c>
      <c r="W47" s="60">
        <f t="shared" si="8"/>
        <v>19</v>
      </c>
      <c r="Y47" s="60">
        <v>1</v>
      </c>
      <c r="Z47" s="78">
        <f t="shared" si="10"/>
        <v>139</v>
      </c>
      <c r="AA47" s="66">
        <f t="shared" si="11"/>
        <v>0.23519458544839256</v>
      </c>
      <c r="AB47" s="67">
        <v>0</v>
      </c>
    </row>
    <row r="48" spans="1:28" x14ac:dyDescent="0.4">
      <c r="A48" s="30" t="str">
        <f t="shared" si="9"/>
        <v>TEAL</v>
      </c>
      <c r="C48" s="60">
        <f t="shared" si="8"/>
        <v>14</v>
      </c>
      <c r="D48" s="60">
        <f t="shared" si="8"/>
        <v>17</v>
      </c>
      <c r="E48" s="60">
        <f t="shared" si="8"/>
        <v>0</v>
      </c>
      <c r="F48" s="60">
        <f t="shared" si="8"/>
        <v>27</v>
      </c>
      <c r="G48" s="60">
        <f t="shared" si="8"/>
        <v>4</v>
      </c>
      <c r="H48" s="60">
        <f t="shared" si="8"/>
        <v>29</v>
      </c>
      <c r="I48" s="60">
        <f t="shared" si="8"/>
        <v>37</v>
      </c>
      <c r="J48" s="60">
        <f t="shared" si="8"/>
        <v>0</v>
      </c>
      <c r="K48" s="60">
        <f t="shared" si="8"/>
        <v>5</v>
      </c>
      <c r="L48" s="60">
        <f t="shared" si="8"/>
        <v>21</v>
      </c>
      <c r="M48" s="60">
        <f t="shared" si="8"/>
        <v>3</v>
      </c>
      <c r="N48" s="60">
        <f t="shared" si="8"/>
        <v>1</v>
      </c>
      <c r="O48" s="60">
        <f t="shared" si="8"/>
        <v>7</v>
      </c>
      <c r="P48" s="60">
        <f t="shared" si="8"/>
        <v>0</v>
      </c>
      <c r="Q48" s="60">
        <f t="shared" si="8"/>
        <v>0</v>
      </c>
      <c r="R48" s="60">
        <f t="shared" si="8"/>
        <v>13</v>
      </c>
      <c r="S48" s="60">
        <f t="shared" si="8"/>
        <v>2</v>
      </c>
      <c r="T48" s="60">
        <f t="shared" si="8"/>
        <v>0</v>
      </c>
      <c r="U48" s="60">
        <f t="shared" si="8"/>
        <v>1</v>
      </c>
      <c r="V48" s="60">
        <f t="shared" si="8"/>
        <v>32</v>
      </c>
      <c r="W48" s="60">
        <f t="shared" si="8"/>
        <v>23</v>
      </c>
      <c r="Y48" s="60">
        <v>7</v>
      </c>
      <c r="Z48" s="78">
        <f t="shared" si="10"/>
        <v>243</v>
      </c>
      <c r="AA48" s="66">
        <f t="shared" si="11"/>
        <v>0.41116751269035534</v>
      </c>
      <c r="AB48" s="67">
        <v>0</v>
      </c>
    </row>
    <row r="49" spans="1:28" x14ac:dyDescent="0.4">
      <c r="A49" s="30" t="str">
        <f t="shared" si="9"/>
        <v>WIDGEON</v>
      </c>
      <c r="C49" s="60">
        <f t="shared" si="8"/>
        <v>1</v>
      </c>
      <c r="D49" s="60">
        <f t="shared" si="8"/>
        <v>3</v>
      </c>
      <c r="E49" s="60">
        <f t="shared" si="8"/>
        <v>0</v>
      </c>
      <c r="F49" s="60">
        <f t="shared" si="8"/>
        <v>8</v>
      </c>
      <c r="G49" s="60">
        <f t="shared" si="8"/>
        <v>0</v>
      </c>
      <c r="H49" s="60">
        <f t="shared" si="8"/>
        <v>3</v>
      </c>
      <c r="I49" s="60">
        <f t="shared" si="8"/>
        <v>8</v>
      </c>
      <c r="J49" s="60">
        <f t="shared" si="8"/>
        <v>0</v>
      </c>
      <c r="K49" s="60">
        <f t="shared" si="8"/>
        <v>0</v>
      </c>
      <c r="L49" s="60">
        <f t="shared" si="8"/>
        <v>4</v>
      </c>
      <c r="M49" s="60">
        <f t="shared" si="8"/>
        <v>0</v>
      </c>
      <c r="N49" s="60">
        <f t="shared" si="8"/>
        <v>2</v>
      </c>
      <c r="O49" s="60">
        <f t="shared" si="8"/>
        <v>0</v>
      </c>
      <c r="P49" s="60">
        <f t="shared" si="8"/>
        <v>0</v>
      </c>
      <c r="Q49" s="60">
        <f t="shared" si="8"/>
        <v>0</v>
      </c>
      <c r="R49" s="60">
        <f t="shared" si="8"/>
        <v>9</v>
      </c>
      <c r="S49" s="60">
        <f t="shared" si="8"/>
        <v>0</v>
      </c>
      <c r="T49" s="60">
        <f t="shared" si="8"/>
        <v>0</v>
      </c>
      <c r="U49" s="60">
        <f t="shared" si="8"/>
        <v>3</v>
      </c>
      <c r="V49" s="60">
        <f t="shared" si="8"/>
        <v>17</v>
      </c>
      <c r="W49" s="60">
        <f t="shared" si="8"/>
        <v>3</v>
      </c>
      <c r="Y49" s="60">
        <v>2</v>
      </c>
      <c r="Z49" s="78">
        <f t="shared" si="10"/>
        <v>63</v>
      </c>
      <c r="AA49" s="66">
        <f t="shared" si="11"/>
        <v>0.1065989847715736</v>
      </c>
      <c r="AB49" s="67">
        <v>0</v>
      </c>
    </row>
    <row r="50" spans="1:28" x14ac:dyDescent="0.4">
      <c r="A50" s="30" t="str">
        <f t="shared" si="9"/>
        <v>SCAUP</v>
      </c>
      <c r="C50" s="60">
        <f t="shared" si="8"/>
        <v>0</v>
      </c>
      <c r="D50" s="60">
        <f t="shared" si="8"/>
        <v>0</v>
      </c>
      <c r="E50" s="60">
        <f t="shared" si="8"/>
        <v>0</v>
      </c>
      <c r="F50" s="60">
        <f t="shared" ref="C50:W51" si="12">F15+F32</f>
        <v>0</v>
      </c>
      <c r="G50" s="60">
        <f t="shared" si="12"/>
        <v>0</v>
      </c>
      <c r="H50" s="60">
        <f t="shared" si="12"/>
        <v>0</v>
      </c>
      <c r="I50" s="60">
        <f t="shared" si="12"/>
        <v>1</v>
      </c>
      <c r="J50" s="60">
        <f t="shared" si="12"/>
        <v>0</v>
      </c>
      <c r="K50" s="60">
        <f t="shared" si="12"/>
        <v>0</v>
      </c>
      <c r="L50" s="60">
        <f t="shared" si="12"/>
        <v>0</v>
      </c>
      <c r="M50" s="60">
        <f t="shared" si="12"/>
        <v>0</v>
      </c>
      <c r="N50" s="60">
        <f t="shared" si="12"/>
        <v>0</v>
      </c>
      <c r="O50" s="60">
        <f t="shared" si="12"/>
        <v>0</v>
      </c>
      <c r="P50" s="60">
        <f t="shared" si="12"/>
        <v>0</v>
      </c>
      <c r="Q50" s="60">
        <f t="shared" si="12"/>
        <v>0</v>
      </c>
      <c r="R50" s="60">
        <f t="shared" si="12"/>
        <v>0</v>
      </c>
      <c r="S50" s="60">
        <f t="shared" si="12"/>
        <v>0</v>
      </c>
      <c r="T50" s="60">
        <f t="shared" si="12"/>
        <v>0</v>
      </c>
      <c r="U50" s="60">
        <f t="shared" si="12"/>
        <v>0</v>
      </c>
      <c r="V50" s="60">
        <f t="shared" si="12"/>
        <v>1</v>
      </c>
      <c r="W50" s="60">
        <f t="shared" si="12"/>
        <v>3</v>
      </c>
      <c r="Z50" s="78">
        <f t="shared" si="10"/>
        <v>5</v>
      </c>
      <c r="AA50" s="66">
        <f t="shared" si="11"/>
        <v>8.4602368866328256E-3</v>
      </c>
      <c r="AB50" s="67">
        <v>0</v>
      </c>
    </row>
    <row r="51" spans="1:28" ht="13" thickBot="1" x14ac:dyDescent="0.45">
      <c r="A51" s="30" t="s">
        <v>58</v>
      </c>
      <c r="C51" s="62">
        <f t="shared" si="12"/>
        <v>0</v>
      </c>
      <c r="D51" s="62">
        <f t="shared" si="12"/>
        <v>0</v>
      </c>
      <c r="E51" s="62">
        <f t="shared" si="12"/>
        <v>0</v>
      </c>
      <c r="F51" s="62">
        <f t="shared" si="12"/>
        <v>0</v>
      </c>
      <c r="G51" s="62">
        <f t="shared" si="12"/>
        <v>0</v>
      </c>
      <c r="H51" s="62">
        <f t="shared" si="12"/>
        <v>0</v>
      </c>
      <c r="I51" s="62">
        <f t="shared" si="12"/>
        <v>0</v>
      </c>
      <c r="J51" s="62">
        <f t="shared" si="12"/>
        <v>0</v>
      </c>
      <c r="K51" s="62">
        <f t="shared" si="12"/>
        <v>0</v>
      </c>
      <c r="L51" s="62">
        <f t="shared" si="12"/>
        <v>0</v>
      </c>
      <c r="M51" s="62">
        <f t="shared" si="12"/>
        <v>0</v>
      </c>
      <c r="N51" s="62">
        <f t="shared" si="12"/>
        <v>0</v>
      </c>
      <c r="O51" s="62">
        <f t="shared" si="12"/>
        <v>0</v>
      </c>
      <c r="P51" s="62">
        <f t="shared" si="12"/>
        <v>0</v>
      </c>
      <c r="Q51" s="62">
        <f t="shared" si="12"/>
        <v>0</v>
      </c>
      <c r="R51" s="62">
        <f t="shared" si="12"/>
        <v>0</v>
      </c>
      <c r="S51" s="62">
        <f t="shared" si="12"/>
        <v>0</v>
      </c>
      <c r="T51" s="62">
        <f t="shared" si="12"/>
        <v>0</v>
      </c>
      <c r="U51" s="62">
        <f t="shared" si="12"/>
        <v>0</v>
      </c>
      <c r="V51" s="62">
        <f>V16+V33</f>
        <v>0</v>
      </c>
      <c r="W51" s="62">
        <f>W16+W33</f>
        <v>0</v>
      </c>
      <c r="X51" s="62"/>
      <c r="Y51" s="62"/>
      <c r="Z51" s="68">
        <f t="shared" si="10"/>
        <v>0</v>
      </c>
      <c r="AA51" s="69">
        <f t="shared" si="11"/>
        <v>0</v>
      </c>
      <c r="AB51" s="70">
        <v>0</v>
      </c>
    </row>
    <row r="52" spans="1:28" x14ac:dyDescent="0.4">
      <c r="A52" s="30" t="s">
        <v>25</v>
      </c>
      <c r="C52" s="60">
        <f>0+SUM(C38:C51)</f>
        <v>34</v>
      </c>
      <c r="D52" s="60">
        <f t="shared" ref="D52:U52" si="13">0+SUM(D38:D51)</f>
        <v>42</v>
      </c>
      <c r="E52" s="60">
        <f t="shared" si="13"/>
        <v>2</v>
      </c>
      <c r="F52" s="60">
        <f t="shared" si="13"/>
        <v>74</v>
      </c>
      <c r="G52" s="60">
        <f t="shared" si="13"/>
        <v>6</v>
      </c>
      <c r="H52" s="60">
        <f t="shared" si="13"/>
        <v>43</v>
      </c>
      <c r="I52" s="60">
        <f t="shared" si="13"/>
        <v>85</v>
      </c>
      <c r="J52" s="60">
        <f t="shared" si="13"/>
        <v>0</v>
      </c>
      <c r="K52" s="60">
        <f t="shared" si="13"/>
        <v>7</v>
      </c>
      <c r="L52" s="60">
        <f t="shared" si="13"/>
        <v>33</v>
      </c>
      <c r="M52" s="60">
        <f t="shared" si="13"/>
        <v>9</v>
      </c>
      <c r="N52" s="60">
        <f t="shared" si="13"/>
        <v>12</v>
      </c>
      <c r="O52" s="60">
        <f t="shared" si="13"/>
        <v>9</v>
      </c>
      <c r="P52" s="60">
        <f t="shared" si="13"/>
        <v>0</v>
      </c>
      <c r="Q52" s="60">
        <f t="shared" si="13"/>
        <v>0</v>
      </c>
      <c r="R52" s="60">
        <f t="shared" si="13"/>
        <v>40</v>
      </c>
      <c r="S52" s="60">
        <f t="shared" si="13"/>
        <v>3</v>
      </c>
      <c r="T52" s="60">
        <f t="shared" si="13"/>
        <v>0</v>
      </c>
      <c r="U52" s="60">
        <f t="shared" si="13"/>
        <v>13</v>
      </c>
      <c r="V52" s="60">
        <f>0+SUM(V38:V51)</f>
        <v>78</v>
      </c>
      <c r="W52" s="60">
        <f>0+SUM(W38:W51)</f>
        <v>83</v>
      </c>
      <c r="X52" s="60">
        <f>SUM(X17,X34)</f>
        <v>0</v>
      </c>
      <c r="Y52" s="60">
        <f>0+SUM(Y38:Y51)</f>
        <v>18</v>
      </c>
      <c r="Z52" s="30">
        <f>SUM(Z38:Z51)</f>
        <v>591</v>
      </c>
      <c r="AB52" s="71"/>
    </row>
    <row r="53" spans="1:28" x14ac:dyDescent="0.4">
      <c r="A53" s="30" t="s">
        <v>48</v>
      </c>
      <c r="C53" s="72">
        <f t="shared" ref="C53:U53" si="14">C52/$Z$52</f>
        <v>5.7529610829103212E-2</v>
      </c>
      <c r="D53" s="72">
        <f t="shared" si="14"/>
        <v>7.1065989847715741E-2</v>
      </c>
      <c r="E53" s="72">
        <f t="shared" si="14"/>
        <v>3.3840947546531302E-3</v>
      </c>
      <c r="F53" s="72">
        <f t="shared" si="14"/>
        <v>0.12521150592216582</v>
      </c>
      <c r="G53" s="72">
        <f t="shared" si="14"/>
        <v>1.015228426395939E-2</v>
      </c>
      <c r="H53" s="72">
        <f t="shared" si="14"/>
        <v>7.2758037225042302E-2</v>
      </c>
      <c r="I53" s="72">
        <f t="shared" si="14"/>
        <v>0.14382402707275804</v>
      </c>
      <c r="J53" s="72">
        <f t="shared" si="14"/>
        <v>0</v>
      </c>
      <c r="K53" s="72">
        <f t="shared" si="14"/>
        <v>1.1844331641285956E-2</v>
      </c>
      <c r="L53" s="72">
        <f t="shared" si="14"/>
        <v>5.5837563451776651E-2</v>
      </c>
      <c r="M53" s="72">
        <f t="shared" si="14"/>
        <v>1.5228426395939087E-2</v>
      </c>
      <c r="N53" s="72">
        <f t="shared" si="14"/>
        <v>2.030456852791878E-2</v>
      </c>
      <c r="O53" s="72">
        <f t="shared" si="14"/>
        <v>1.5228426395939087E-2</v>
      </c>
      <c r="P53" s="72">
        <f t="shared" si="14"/>
        <v>0</v>
      </c>
      <c r="Q53" s="72">
        <f t="shared" si="14"/>
        <v>0</v>
      </c>
      <c r="R53" s="72">
        <f t="shared" si="14"/>
        <v>6.7681895093062605E-2</v>
      </c>
      <c r="S53" s="72">
        <f t="shared" si="14"/>
        <v>5.076142131979695E-3</v>
      </c>
      <c r="T53" s="72">
        <f t="shared" si="14"/>
        <v>0</v>
      </c>
      <c r="U53" s="72">
        <f t="shared" si="14"/>
        <v>2.1996615905245348E-2</v>
      </c>
      <c r="V53" s="72">
        <f>V52/$Z$52</f>
        <v>0.13197969543147209</v>
      </c>
      <c r="W53" s="72">
        <f>W52/$Z$52</f>
        <v>0.14043993231810489</v>
      </c>
      <c r="X53" s="72">
        <f>X52/$Z$52</f>
        <v>0</v>
      </c>
      <c r="Y53" s="72">
        <f>Y52/$Z$52</f>
        <v>3.0456852791878174E-2</v>
      </c>
    </row>
    <row r="54" spans="1:28" x14ac:dyDescent="0.4">
      <c r="A54" s="5" t="s">
        <v>47</v>
      </c>
    </row>
    <row r="55" spans="1:28" x14ac:dyDescent="0.4">
      <c r="A55" s="30" t="s">
        <v>40</v>
      </c>
      <c r="C55" s="60">
        <v>94</v>
      </c>
      <c r="D55" s="73"/>
      <c r="N55" s="60">
        <f>SUM(O52:Y52)</f>
        <v>244</v>
      </c>
    </row>
    <row r="56" spans="1:28" x14ac:dyDescent="0.4">
      <c r="A56" s="30" t="s">
        <v>41</v>
      </c>
      <c r="C56" s="60">
        <v>1.36</v>
      </c>
      <c r="D56" s="74"/>
    </row>
    <row r="57" spans="1:28" x14ac:dyDescent="0.4">
      <c r="A57" s="30" t="s">
        <v>42</v>
      </c>
      <c r="C57" s="60">
        <v>212</v>
      </c>
      <c r="D57" s="73"/>
    </row>
    <row r="58" spans="1:28" x14ac:dyDescent="0.4">
      <c r="A58" s="30" t="s">
        <v>43</v>
      </c>
      <c r="C58" s="60">
        <v>2.1800000000000002</v>
      </c>
      <c r="D58" s="74"/>
      <c r="F58" s="29" t="s">
        <v>62</v>
      </c>
    </row>
    <row r="59" spans="1:28" x14ac:dyDescent="0.4">
      <c r="A59" s="30" t="s">
        <v>44</v>
      </c>
      <c r="C59" s="60">
        <v>306</v>
      </c>
      <c r="D59" s="73"/>
      <c r="F59" s="74"/>
      <c r="J59" s="76" t="s">
        <v>86</v>
      </c>
      <c r="L59" s="60">
        <v>0</v>
      </c>
    </row>
    <row r="60" spans="1:28" x14ac:dyDescent="0.4">
      <c r="A60" s="30" t="s">
        <v>45</v>
      </c>
      <c r="C60" s="60">
        <v>1.93</v>
      </c>
      <c r="D60" s="74"/>
      <c r="F60" s="74"/>
      <c r="G60" s="64" t="s">
        <v>77</v>
      </c>
      <c r="J60" s="76" t="s">
        <v>82</v>
      </c>
      <c r="L60" s="74" t="e">
        <f>SUM(N52:W52)/L59</f>
        <v>#DIV/0!</v>
      </c>
    </row>
    <row r="61" spans="1:28" x14ac:dyDescent="0.4">
      <c r="A61" s="30" t="s">
        <v>46</v>
      </c>
      <c r="D61" s="75"/>
      <c r="F61" s="74"/>
      <c r="G61" s="64" t="s">
        <v>64</v>
      </c>
    </row>
    <row r="62" spans="1:28" x14ac:dyDescent="0.4">
      <c r="A62" s="5" t="s">
        <v>49</v>
      </c>
      <c r="D62" s="7"/>
    </row>
    <row r="66" spans="1:4" x14ac:dyDescent="0.4">
      <c r="A66" s="30" t="s">
        <v>112</v>
      </c>
    </row>
    <row r="67" spans="1:4" x14ac:dyDescent="0.4">
      <c r="A67" s="5" t="s">
        <v>56</v>
      </c>
      <c r="D67" s="7"/>
    </row>
    <row r="68" spans="1:4" x14ac:dyDescent="0.4">
      <c r="A68" s="30" t="s">
        <v>110</v>
      </c>
    </row>
  </sheetData>
  <phoneticPr fontId="0" type="noConversion"/>
  <printOptions gridLines="1" gridLinesSet="0"/>
  <pageMargins left="0.25" right="0.25" top="0.75" bottom="0.5" header="0.5" footer="0.5"/>
  <pageSetup scale="60" orientation="landscape" r:id="rId1"/>
  <headerFooter alignWithMargins="0">
    <oddHeader>&amp;CBurbank Land Club &amp;A Season</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68"/>
  <sheetViews>
    <sheetView topLeftCell="A21" zoomScale="80" zoomScaleNormal="80" workbookViewId="0">
      <selection activeCell="K21" sqref="K21"/>
    </sheetView>
  </sheetViews>
  <sheetFormatPr defaultColWidth="7.703125" defaultRowHeight="12.7" x14ac:dyDescent="0.4"/>
  <cols>
    <col min="1" max="1" width="20.1171875" style="30" customWidth="1"/>
    <col min="2" max="2" width="4.41015625" style="30" customWidth="1"/>
    <col min="3" max="5" width="6.703125" style="60" customWidth="1"/>
    <col min="6" max="6" width="8.703125" style="60" customWidth="1"/>
    <col min="7" max="7" width="6.703125" style="60" customWidth="1"/>
    <col min="8" max="8" width="8.41015625" style="60" customWidth="1"/>
    <col min="9" max="9" width="7.703125" style="60" customWidth="1"/>
    <col min="10" max="10" width="6.703125" style="60" customWidth="1"/>
    <col min="11" max="11" width="8.87890625" style="60" customWidth="1"/>
    <col min="12" max="12" width="7.29296875" style="60" customWidth="1"/>
    <col min="13" max="17" width="6.703125" style="60" customWidth="1"/>
    <col min="18" max="18" width="7.41015625" style="60" customWidth="1"/>
    <col min="19" max="21" width="6.703125" style="60" customWidth="1"/>
    <col min="22" max="22" width="7.41015625" style="60" customWidth="1"/>
    <col min="23" max="23" width="7.703125" style="60" customWidth="1"/>
    <col min="24" max="25" width="6.703125" style="60" customWidth="1"/>
    <col min="26" max="26" width="8.703125" style="30" customWidth="1"/>
    <col min="27" max="27" width="9.29296875" style="30" customWidth="1"/>
    <col min="28" max="28" width="9.87890625" style="30" customWidth="1"/>
    <col min="29" max="16384" width="7.703125" style="30"/>
  </cols>
  <sheetData>
    <row r="1" spans="1:26" ht="13" thickBot="1" x14ac:dyDescent="0.45">
      <c r="A1" s="5" t="s">
        <v>106</v>
      </c>
      <c r="C1" s="81" t="s">
        <v>114</v>
      </c>
    </row>
    <row r="2" spans="1:26"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3" t="s">
        <v>2</v>
      </c>
    </row>
    <row r="3" spans="1:26" x14ac:dyDescent="0.4">
      <c r="A3" s="30" t="s">
        <v>34</v>
      </c>
      <c r="Z3" s="77">
        <f t="shared" ref="Z3:Z8" si="0">SUM(C3:Y3)</f>
        <v>0</v>
      </c>
    </row>
    <row r="4" spans="1:26" x14ac:dyDescent="0.4">
      <c r="A4" s="30" t="s">
        <v>35</v>
      </c>
      <c r="Z4" s="78">
        <f t="shared" si="0"/>
        <v>0</v>
      </c>
    </row>
    <row r="5" spans="1:26" x14ac:dyDescent="0.4">
      <c r="A5" s="30" t="s">
        <v>16</v>
      </c>
      <c r="D5" s="60">
        <v>1</v>
      </c>
      <c r="F5" s="60">
        <v>1</v>
      </c>
      <c r="L5" s="60">
        <v>1</v>
      </c>
      <c r="M5" s="60">
        <v>1</v>
      </c>
      <c r="R5" s="60">
        <v>4</v>
      </c>
      <c r="S5" s="60">
        <v>1</v>
      </c>
      <c r="V5" s="60">
        <v>2</v>
      </c>
      <c r="W5" s="60">
        <v>2</v>
      </c>
      <c r="Z5" s="78">
        <f t="shared" si="0"/>
        <v>13</v>
      </c>
    </row>
    <row r="6" spans="1:26" x14ac:dyDescent="0.4">
      <c r="A6" s="30" t="s">
        <v>29</v>
      </c>
      <c r="Z6" s="78">
        <f t="shared" si="0"/>
        <v>0</v>
      </c>
    </row>
    <row r="7" spans="1:26" x14ac:dyDescent="0.4">
      <c r="A7" s="30" t="s">
        <v>18</v>
      </c>
      <c r="D7" s="60">
        <v>3</v>
      </c>
      <c r="F7" s="60">
        <v>7</v>
      </c>
      <c r="L7" s="60">
        <v>1</v>
      </c>
      <c r="R7" s="60">
        <v>5</v>
      </c>
      <c r="V7" s="60">
        <v>2</v>
      </c>
      <c r="W7" s="60">
        <v>3</v>
      </c>
      <c r="Z7" s="78">
        <f t="shared" si="0"/>
        <v>21</v>
      </c>
    </row>
    <row r="8" spans="1:26" x14ac:dyDescent="0.4">
      <c r="A8" s="30" t="s">
        <v>19</v>
      </c>
      <c r="D8" s="60">
        <v>1</v>
      </c>
      <c r="F8" s="60">
        <v>1</v>
      </c>
      <c r="I8" s="60">
        <v>2</v>
      </c>
      <c r="K8" s="60">
        <v>1</v>
      </c>
      <c r="L8" s="60">
        <v>3</v>
      </c>
      <c r="M8" s="60">
        <v>2</v>
      </c>
      <c r="N8" s="60">
        <v>2</v>
      </c>
      <c r="V8" s="60">
        <v>2</v>
      </c>
      <c r="Z8" s="78">
        <f t="shared" si="0"/>
        <v>14</v>
      </c>
    </row>
    <row r="9" spans="1:26" x14ac:dyDescent="0.4">
      <c r="A9" s="30" t="s">
        <v>20</v>
      </c>
      <c r="I9" s="60">
        <v>1</v>
      </c>
      <c r="Z9" s="78">
        <f t="shared" ref="Z9:Z16" si="1">SUM(C9:Y9)</f>
        <v>1</v>
      </c>
    </row>
    <row r="10" spans="1:26" x14ac:dyDescent="0.4">
      <c r="A10" s="30" t="s">
        <v>21</v>
      </c>
      <c r="Z10" s="78">
        <f t="shared" si="1"/>
        <v>0</v>
      </c>
    </row>
    <row r="11" spans="1:26" x14ac:dyDescent="0.4">
      <c r="A11" s="30" t="s">
        <v>98</v>
      </c>
      <c r="D11" s="60">
        <v>1</v>
      </c>
      <c r="Z11" s="78">
        <f t="shared" si="1"/>
        <v>1</v>
      </c>
    </row>
    <row r="12" spans="1:26" x14ac:dyDescent="0.4">
      <c r="A12" s="30" t="s">
        <v>22</v>
      </c>
      <c r="D12" s="60">
        <v>13</v>
      </c>
      <c r="F12" s="60">
        <v>4</v>
      </c>
      <c r="H12" s="60">
        <v>2</v>
      </c>
      <c r="I12" s="60">
        <v>8</v>
      </c>
      <c r="K12" s="60">
        <v>1</v>
      </c>
      <c r="L12" s="60">
        <v>2</v>
      </c>
      <c r="N12" s="60">
        <v>2</v>
      </c>
      <c r="P12" s="60">
        <v>1</v>
      </c>
      <c r="R12" s="60">
        <v>4</v>
      </c>
      <c r="S12" s="60">
        <v>5</v>
      </c>
      <c r="U12" s="60">
        <v>1</v>
      </c>
      <c r="V12" s="60">
        <v>8</v>
      </c>
      <c r="W12" s="60">
        <v>26</v>
      </c>
      <c r="Y12" s="60">
        <v>3</v>
      </c>
      <c r="Z12" s="78">
        <f t="shared" si="1"/>
        <v>80</v>
      </c>
    </row>
    <row r="13" spans="1:26" x14ac:dyDescent="0.4">
      <c r="A13" s="30" t="s">
        <v>23</v>
      </c>
      <c r="D13" s="60">
        <v>3</v>
      </c>
      <c r="F13" s="60">
        <v>1</v>
      </c>
      <c r="I13" s="60">
        <v>4</v>
      </c>
      <c r="K13" s="60">
        <v>2</v>
      </c>
      <c r="L13" s="60">
        <v>2</v>
      </c>
      <c r="M13" s="60">
        <v>2</v>
      </c>
      <c r="P13" s="60">
        <v>1</v>
      </c>
      <c r="R13" s="60">
        <v>4</v>
      </c>
      <c r="W13" s="60">
        <v>2</v>
      </c>
      <c r="Z13" s="78">
        <f t="shared" si="1"/>
        <v>21</v>
      </c>
    </row>
    <row r="14" spans="1:26" x14ac:dyDescent="0.4">
      <c r="A14" s="30" t="s">
        <v>24</v>
      </c>
      <c r="D14" s="60">
        <v>7</v>
      </c>
      <c r="F14" s="60">
        <v>3</v>
      </c>
      <c r="L14" s="60">
        <v>1</v>
      </c>
      <c r="R14" s="60">
        <v>2</v>
      </c>
      <c r="V14" s="60">
        <v>2</v>
      </c>
      <c r="W14" s="60">
        <v>2</v>
      </c>
      <c r="Z14" s="78">
        <f t="shared" si="1"/>
        <v>17</v>
      </c>
    </row>
    <row r="15" spans="1:26" x14ac:dyDescent="0.4">
      <c r="A15" s="30" t="s">
        <v>36</v>
      </c>
      <c r="F15" s="60">
        <v>1</v>
      </c>
      <c r="W15" s="60">
        <v>1</v>
      </c>
      <c r="Z15" s="78">
        <f t="shared" si="1"/>
        <v>2</v>
      </c>
    </row>
    <row r="16" spans="1:26" ht="13" thickBot="1" x14ac:dyDescent="0.45">
      <c r="A16" s="30" t="s">
        <v>36</v>
      </c>
      <c r="C16" s="62"/>
      <c r="D16" s="62"/>
      <c r="E16" s="62"/>
      <c r="F16" s="62"/>
      <c r="G16" s="62"/>
      <c r="H16" s="62"/>
      <c r="I16" s="62"/>
      <c r="J16" s="62"/>
      <c r="K16" s="62"/>
      <c r="L16" s="62"/>
      <c r="M16" s="62"/>
      <c r="N16" s="62"/>
      <c r="O16" s="62"/>
      <c r="P16" s="62"/>
      <c r="Q16" s="62"/>
      <c r="R16" s="62"/>
      <c r="S16" s="62"/>
      <c r="T16" s="62"/>
      <c r="U16" s="62"/>
      <c r="V16" s="62"/>
      <c r="W16" s="62"/>
      <c r="X16" s="62"/>
      <c r="Y16" s="62"/>
      <c r="Z16" s="68">
        <f t="shared" si="1"/>
        <v>0</v>
      </c>
    </row>
    <row r="17" spans="1:26" x14ac:dyDescent="0.4">
      <c r="A17" s="30" t="s">
        <v>25</v>
      </c>
      <c r="C17" s="60">
        <f>SUM(C3:C16)</f>
        <v>0</v>
      </c>
      <c r="D17" s="60">
        <f t="shared" ref="D17:U17" si="2">SUM(D3:D16)</f>
        <v>29</v>
      </c>
      <c r="E17" s="60">
        <f t="shared" si="2"/>
        <v>0</v>
      </c>
      <c r="F17" s="60">
        <f t="shared" si="2"/>
        <v>18</v>
      </c>
      <c r="G17" s="60">
        <f t="shared" si="2"/>
        <v>0</v>
      </c>
      <c r="H17" s="60">
        <f t="shared" si="2"/>
        <v>2</v>
      </c>
      <c r="I17" s="60">
        <f t="shared" si="2"/>
        <v>15</v>
      </c>
      <c r="J17" s="60">
        <f t="shared" si="2"/>
        <v>0</v>
      </c>
      <c r="K17" s="60">
        <f t="shared" si="2"/>
        <v>4</v>
      </c>
      <c r="L17" s="60">
        <f t="shared" si="2"/>
        <v>10</v>
      </c>
      <c r="M17" s="60">
        <f t="shared" si="2"/>
        <v>5</v>
      </c>
      <c r="N17" s="60">
        <f t="shared" si="2"/>
        <v>4</v>
      </c>
      <c r="O17" s="60">
        <f t="shared" si="2"/>
        <v>0</v>
      </c>
      <c r="P17" s="60">
        <f t="shared" si="2"/>
        <v>2</v>
      </c>
      <c r="Q17" s="60">
        <f t="shared" si="2"/>
        <v>0</v>
      </c>
      <c r="R17" s="60">
        <f t="shared" si="2"/>
        <v>19</v>
      </c>
      <c r="S17" s="60">
        <f t="shared" si="2"/>
        <v>6</v>
      </c>
      <c r="T17" s="60">
        <f t="shared" si="2"/>
        <v>0</v>
      </c>
      <c r="U17" s="60">
        <f t="shared" si="2"/>
        <v>1</v>
      </c>
      <c r="V17" s="60">
        <f>SUM(V3:V16)</f>
        <v>16</v>
      </c>
      <c r="W17" s="60">
        <f>SUM(W3:W16)</f>
        <v>36</v>
      </c>
      <c r="X17" s="60">
        <f>SUM(X3:X16)</f>
        <v>0</v>
      </c>
      <c r="Y17" s="60">
        <f>SUM(Y3:Y16)</f>
        <v>3</v>
      </c>
      <c r="Z17" s="78">
        <f>SUM(Z3:Z16)</f>
        <v>170</v>
      </c>
    </row>
    <row r="18" spans="1:26" ht="13" thickBot="1" x14ac:dyDescent="0.45">
      <c r="A18" s="29" t="s">
        <v>107</v>
      </c>
      <c r="C18" s="81" t="s">
        <v>115</v>
      </c>
      <c r="D18" s="64"/>
      <c r="E18" s="7"/>
      <c r="F18" s="29"/>
      <c r="G18" s="29" t="s">
        <v>108</v>
      </c>
      <c r="J18" s="81" t="s">
        <v>116</v>
      </c>
    </row>
    <row r="19" spans="1:26" ht="13" thickBot="1" x14ac:dyDescent="0.45">
      <c r="A19" s="10" t="str">
        <f>A2</f>
        <v>BLIND #</v>
      </c>
      <c r="B19" s="14"/>
      <c r="C19" s="12">
        <f t="shared" ref="C19:N19" si="3">C2</f>
        <v>1</v>
      </c>
      <c r="D19" s="12">
        <f t="shared" si="3"/>
        <v>2</v>
      </c>
      <c r="E19" s="12">
        <f t="shared" si="3"/>
        <v>3</v>
      </c>
      <c r="F19" s="12">
        <f t="shared" si="3"/>
        <v>4</v>
      </c>
      <c r="G19" s="12">
        <f t="shared" si="3"/>
        <v>5</v>
      </c>
      <c r="H19" s="12">
        <f t="shared" si="3"/>
        <v>6</v>
      </c>
      <c r="I19" s="12">
        <f t="shared" si="3"/>
        <v>7</v>
      </c>
      <c r="J19" s="12">
        <f t="shared" si="3"/>
        <v>8</v>
      </c>
      <c r="K19" s="12">
        <f t="shared" si="3"/>
        <v>9</v>
      </c>
      <c r="L19" s="12">
        <f t="shared" si="3"/>
        <v>10</v>
      </c>
      <c r="M19" s="12">
        <f t="shared" si="3"/>
        <v>11</v>
      </c>
      <c r="N19" s="12">
        <f t="shared" si="3"/>
        <v>12</v>
      </c>
      <c r="O19" s="12">
        <v>13</v>
      </c>
      <c r="P19" s="12">
        <v>14</v>
      </c>
      <c r="Q19" s="12">
        <v>15</v>
      </c>
      <c r="R19" s="12">
        <v>16</v>
      </c>
      <c r="S19" s="12">
        <v>17</v>
      </c>
      <c r="T19" s="12">
        <v>18</v>
      </c>
      <c r="U19" s="12">
        <v>19</v>
      </c>
      <c r="V19" s="12">
        <v>20</v>
      </c>
      <c r="W19" s="12">
        <v>21</v>
      </c>
      <c r="X19" s="12">
        <v>22</v>
      </c>
      <c r="Y19" s="12">
        <v>23</v>
      </c>
      <c r="Z19" s="13" t="s">
        <v>2</v>
      </c>
    </row>
    <row r="20" spans="1:26" ht="13" thickBot="1" x14ac:dyDescent="0.45">
      <c r="A20" s="30" t="str">
        <f>A3</f>
        <v>RUDDY</v>
      </c>
      <c r="R20" s="60">
        <v>4</v>
      </c>
      <c r="Z20" s="77">
        <f>SUM(C20:Y20)</f>
        <v>4</v>
      </c>
    </row>
    <row r="21" spans="1:26" ht="13" thickBot="1" x14ac:dyDescent="0.45">
      <c r="A21" s="30" t="str">
        <f t="shared" ref="A21:A33" si="4">A4</f>
        <v>CANVASBACK</v>
      </c>
      <c r="D21" s="60">
        <v>1</v>
      </c>
      <c r="H21" s="60">
        <v>1</v>
      </c>
      <c r="R21" s="60">
        <v>1</v>
      </c>
      <c r="Z21" s="77">
        <f t="shared" ref="Z21:Z33" si="5">SUM(C21:Y21)</f>
        <v>3</v>
      </c>
    </row>
    <row r="22" spans="1:26" ht="13" thickBot="1" x14ac:dyDescent="0.45">
      <c r="A22" s="30" t="str">
        <f t="shared" si="4"/>
        <v>GADWALL</v>
      </c>
      <c r="C22" s="60">
        <v>3</v>
      </c>
      <c r="F22" s="60">
        <v>2</v>
      </c>
      <c r="L22" s="60">
        <v>1</v>
      </c>
      <c r="M22" s="60">
        <v>8</v>
      </c>
      <c r="O22" s="60">
        <v>1</v>
      </c>
      <c r="R22" s="60">
        <v>1</v>
      </c>
      <c r="W22" s="60">
        <v>4</v>
      </c>
      <c r="Z22" s="77">
        <f t="shared" si="5"/>
        <v>20</v>
      </c>
    </row>
    <row r="23" spans="1:26" ht="13" thickBot="1" x14ac:dyDescent="0.45">
      <c r="A23" s="30" t="str">
        <f t="shared" si="4"/>
        <v>GEESE</v>
      </c>
      <c r="I23" s="60">
        <v>1</v>
      </c>
      <c r="L23" s="60">
        <v>1</v>
      </c>
      <c r="V23" s="60">
        <v>1</v>
      </c>
      <c r="Z23" s="77">
        <f t="shared" si="5"/>
        <v>3</v>
      </c>
    </row>
    <row r="24" spans="1:26" ht="13" thickBot="1" x14ac:dyDescent="0.45">
      <c r="A24" s="30" t="str">
        <f t="shared" si="4"/>
        <v>MALLARD</v>
      </c>
      <c r="D24" s="60">
        <v>1</v>
      </c>
      <c r="F24" s="60">
        <v>1</v>
      </c>
      <c r="H24" s="60">
        <v>1</v>
      </c>
      <c r="I24" s="60">
        <v>1</v>
      </c>
      <c r="L24" s="60">
        <v>2</v>
      </c>
      <c r="O24" s="60">
        <v>2</v>
      </c>
      <c r="R24" s="60">
        <v>1</v>
      </c>
      <c r="W24" s="60">
        <v>2</v>
      </c>
      <c r="Z24" s="77">
        <f t="shared" si="5"/>
        <v>11</v>
      </c>
    </row>
    <row r="25" spans="1:26" ht="13" thickBot="1" x14ac:dyDescent="0.45">
      <c r="A25" s="30" t="str">
        <f t="shared" si="4"/>
        <v>PINTAIL</v>
      </c>
      <c r="C25" s="60">
        <v>1</v>
      </c>
      <c r="D25" s="60">
        <v>2</v>
      </c>
      <c r="E25" s="60">
        <v>3</v>
      </c>
      <c r="F25" s="60">
        <v>30</v>
      </c>
      <c r="G25" s="60">
        <v>6</v>
      </c>
      <c r="H25" s="60">
        <v>15</v>
      </c>
      <c r="I25" s="60">
        <v>7</v>
      </c>
      <c r="L25" s="60">
        <v>12</v>
      </c>
      <c r="M25" s="60">
        <v>8</v>
      </c>
      <c r="O25" s="60">
        <v>4</v>
      </c>
      <c r="R25" s="60">
        <v>13</v>
      </c>
      <c r="V25" s="60">
        <v>3</v>
      </c>
      <c r="W25" s="60">
        <v>9</v>
      </c>
      <c r="Z25" s="77">
        <f t="shared" si="5"/>
        <v>113</v>
      </c>
    </row>
    <row r="26" spans="1:26" ht="13" thickBot="1" x14ac:dyDescent="0.45">
      <c r="A26" s="30" t="str">
        <f t="shared" si="4"/>
        <v>REDHEAD</v>
      </c>
      <c r="C26" s="60">
        <v>1</v>
      </c>
      <c r="J26" s="60">
        <v>1</v>
      </c>
      <c r="L26" s="60">
        <v>2</v>
      </c>
      <c r="Z26" s="77">
        <f t="shared" si="5"/>
        <v>4</v>
      </c>
    </row>
    <row r="27" spans="1:26" ht="13" thickBot="1" x14ac:dyDescent="0.45">
      <c r="A27" s="30" t="str">
        <f t="shared" si="4"/>
        <v>RINGNECK</v>
      </c>
      <c r="Z27" s="77">
        <f t="shared" si="5"/>
        <v>0</v>
      </c>
    </row>
    <row r="28" spans="1:26" ht="13" thickBot="1" x14ac:dyDescent="0.45">
      <c r="A28" s="30" t="str">
        <f t="shared" si="4"/>
        <v>B'HEAD</v>
      </c>
      <c r="H28" s="60">
        <v>1</v>
      </c>
      <c r="L28" s="60">
        <v>1</v>
      </c>
      <c r="Z28" s="77">
        <f t="shared" si="5"/>
        <v>2</v>
      </c>
    </row>
    <row r="29" spans="1:26" ht="13" thickBot="1" x14ac:dyDescent="0.45">
      <c r="A29" s="30" t="str">
        <f t="shared" si="4"/>
        <v>SPOONY</v>
      </c>
      <c r="C29" s="60">
        <v>7</v>
      </c>
      <c r="D29" s="60">
        <v>5</v>
      </c>
      <c r="E29" s="60">
        <v>7</v>
      </c>
      <c r="F29" s="60">
        <v>27</v>
      </c>
      <c r="G29" s="60">
        <v>14</v>
      </c>
      <c r="H29" s="60">
        <v>18</v>
      </c>
      <c r="I29" s="60">
        <v>5</v>
      </c>
      <c r="J29" s="60">
        <v>1</v>
      </c>
      <c r="K29" s="60">
        <v>2</v>
      </c>
      <c r="L29" s="60">
        <v>10</v>
      </c>
      <c r="M29" s="60">
        <v>6</v>
      </c>
      <c r="N29" s="60">
        <v>1</v>
      </c>
      <c r="O29" s="60">
        <v>8</v>
      </c>
      <c r="R29" s="60">
        <v>22</v>
      </c>
      <c r="V29" s="60">
        <v>1</v>
      </c>
      <c r="W29" s="60">
        <v>15</v>
      </c>
      <c r="Z29" s="77">
        <f t="shared" si="5"/>
        <v>149</v>
      </c>
    </row>
    <row r="30" spans="1:26" ht="13" thickBot="1" x14ac:dyDescent="0.45">
      <c r="A30" s="30" t="str">
        <f t="shared" si="4"/>
        <v>TEAL</v>
      </c>
      <c r="C30" s="60">
        <v>19</v>
      </c>
      <c r="D30" s="60">
        <v>3</v>
      </c>
      <c r="E30" s="60">
        <v>10</v>
      </c>
      <c r="F30" s="60">
        <v>52</v>
      </c>
      <c r="G30" s="60">
        <v>33</v>
      </c>
      <c r="H30" s="60">
        <v>18</v>
      </c>
      <c r="I30" s="60">
        <v>25</v>
      </c>
      <c r="J30" s="60">
        <v>1</v>
      </c>
      <c r="L30" s="60">
        <v>34</v>
      </c>
      <c r="M30" s="60">
        <v>3</v>
      </c>
      <c r="N30" s="60">
        <v>1</v>
      </c>
      <c r="O30" s="60">
        <v>14</v>
      </c>
      <c r="R30" s="60">
        <v>18</v>
      </c>
      <c r="V30" s="60">
        <v>3</v>
      </c>
      <c r="W30" s="60">
        <v>14</v>
      </c>
      <c r="Z30" s="77">
        <f t="shared" si="5"/>
        <v>248</v>
      </c>
    </row>
    <row r="31" spans="1:26" ht="13" thickBot="1" x14ac:dyDescent="0.45">
      <c r="A31" s="30" t="str">
        <f t="shared" si="4"/>
        <v>WIDGEON</v>
      </c>
      <c r="C31" s="60">
        <v>2</v>
      </c>
      <c r="D31" s="60">
        <v>3</v>
      </c>
      <c r="E31" s="60">
        <v>2</v>
      </c>
      <c r="F31" s="60">
        <v>3</v>
      </c>
      <c r="G31" s="60">
        <v>6</v>
      </c>
      <c r="H31" s="60">
        <v>1</v>
      </c>
      <c r="I31" s="60">
        <v>3</v>
      </c>
      <c r="L31" s="60">
        <v>4</v>
      </c>
      <c r="M31" s="60">
        <v>8</v>
      </c>
      <c r="R31" s="60">
        <v>1</v>
      </c>
      <c r="V31" s="60">
        <v>1</v>
      </c>
      <c r="W31" s="60">
        <v>5</v>
      </c>
      <c r="Z31" s="77">
        <f t="shared" si="5"/>
        <v>39</v>
      </c>
    </row>
    <row r="32" spans="1:26" ht="13" thickBot="1" x14ac:dyDescent="0.45">
      <c r="A32" s="30" t="s">
        <v>111</v>
      </c>
      <c r="Z32" s="77">
        <f t="shared" si="5"/>
        <v>0</v>
      </c>
    </row>
    <row r="33" spans="1:28" ht="13" thickBot="1" x14ac:dyDescent="0.45">
      <c r="A33" s="30" t="str">
        <f t="shared" si="4"/>
        <v>MISC</v>
      </c>
      <c r="C33" s="62"/>
      <c r="D33" s="62"/>
      <c r="E33" s="62"/>
      <c r="F33" s="62"/>
      <c r="G33" s="62"/>
      <c r="H33" s="62"/>
      <c r="I33" s="62"/>
      <c r="J33" s="62"/>
      <c r="K33" s="62"/>
      <c r="L33" s="62"/>
      <c r="M33" s="62"/>
      <c r="N33" s="62"/>
      <c r="O33" s="62"/>
      <c r="P33" s="62"/>
      <c r="Q33" s="62"/>
      <c r="R33" s="62"/>
      <c r="S33" s="62"/>
      <c r="T33" s="62"/>
      <c r="U33" s="62"/>
      <c r="V33" s="62"/>
      <c r="W33" s="62"/>
      <c r="X33" s="62"/>
      <c r="Y33" s="62"/>
      <c r="Z33" s="79">
        <f t="shared" si="5"/>
        <v>0</v>
      </c>
    </row>
    <row r="34" spans="1:28" x14ac:dyDescent="0.4">
      <c r="A34" s="30" t="s">
        <v>25</v>
      </c>
      <c r="C34" s="60">
        <f>0+SUM(C20:C33)</f>
        <v>33</v>
      </c>
      <c r="D34" s="60">
        <f t="shared" ref="D34:U34" si="6">0+SUM(D20:D33)</f>
        <v>15</v>
      </c>
      <c r="E34" s="60">
        <f t="shared" si="6"/>
        <v>22</v>
      </c>
      <c r="F34" s="60">
        <f t="shared" si="6"/>
        <v>115</v>
      </c>
      <c r="G34" s="60">
        <f t="shared" si="6"/>
        <v>59</v>
      </c>
      <c r="H34" s="60">
        <f t="shared" si="6"/>
        <v>55</v>
      </c>
      <c r="I34" s="60">
        <f t="shared" si="6"/>
        <v>42</v>
      </c>
      <c r="J34" s="60">
        <f t="shared" si="6"/>
        <v>3</v>
      </c>
      <c r="K34" s="60">
        <f t="shared" si="6"/>
        <v>2</v>
      </c>
      <c r="L34" s="60">
        <f t="shared" si="6"/>
        <v>67</v>
      </c>
      <c r="M34" s="60">
        <f t="shared" si="6"/>
        <v>33</v>
      </c>
      <c r="N34" s="60">
        <f t="shared" si="6"/>
        <v>2</v>
      </c>
      <c r="O34" s="60">
        <f t="shared" si="6"/>
        <v>29</v>
      </c>
      <c r="P34" s="60">
        <f t="shared" si="6"/>
        <v>0</v>
      </c>
      <c r="Q34" s="60">
        <f t="shared" si="6"/>
        <v>0</v>
      </c>
      <c r="R34" s="60">
        <f t="shared" si="6"/>
        <v>61</v>
      </c>
      <c r="S34" s="60">
        <f t="shared" si="6"/>
        <v>0</v>
      </c>
      <c r="T34" s="60">
        <f t="shared" si="6"/>
        <v>0</v>
      </c>
      <c r="U34" s="60">
        <f t="shared" si="6"/>
        <v>0</v>
      </c>
      <c r="V34" s="60">
        <f>0+SUM(V20:V33)</f>
        <v>9</v>
      </c>
      <c r="W34" s="60">
        <f>0+SUM(W20:W33)</f>
        <v>49</v>
      </c>
      <c r="X34" s="60">
        <f>0+SUM(X20:X33)</f>
        <v>0</v>
      </c>
      <c r="Y34" s="60">
        <f>0+SUM(Y20:Y33)</f>
        <v>0</v>
      </c>
      <c r="Z34" s="30">
        <f>SUM(Z20:Z33)</f>
        <v>596</v>
      </c>
    </row>
    <row r="35" spans="1:28" ht="13" thickBot="1" x14ac:dyDescent="0.45"/>
    <row r="36" spans="1:28"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15"/>
      <c r="AA36" s="20" t="s">
        <v>60</v>
      </c>
      <c r="AB36" s="21" t="s">
        <v>57</v>
      </c>
    </row>
    <row r="37" spans="1:28" ht="13" thickBot="1" x14ac:dyDescent="0.45">
      <c r="A37" s="10" t="str">
        <f>A19</f>
        <v>BLIND #</v>
      </c>
      <c r="B37" s="14"/>
      <c r="C37" s="12">
        <f t="shared" ref="C37:U37" si="7">C19</f>
        <v>1</v>
      </c>
      <c r="D37" s="12">
        <f t="shared" si="7"/>
        <v>2</v>
      </c>
      <c r="E37" s="12">
        <f t="shared" si="7"/>
        <v>3</v>
      </c>
      <c r="F37" s="12">
        <f t="shared" si="7"/>
        <v>4</v>
      </c>
      <c r="G37" s="12">
        <f t="shared" si="7"/>
        <v>5</v>
      </c>
      <c r="H37" s="12">
        <f t="shared" si="7"/>
        <v>6</v>
      </c>
      <c r="I37" s="12">
        <f t="shared" si="7"/>
        <v>7</v>
      </c>
      <c r="J37" s="12">
        <f t="shared" si="7"/>
        <v>8</v>
      </c>
      <c r="K37" s="12">
        <f t="shared" si="7"/>
        <v>9</v>
      </c>
      <c r="L37" s="12">
        <f t="shared" si="7"/>
        <v>10</v>
      </c>
      <c r="M37" s="12">
        <f t="shared" si="7"/>
        <v>11</v>
      </c>
      <c r="N37" s="12">
        <f t="shared" si="7"/>
        <v>12</v>
      </c>
      <c r="O37" s="12">
        <f t="shared" si="7"/>
        <v>13</v>
      </c>
      <c r="P37" s="12">
        <f t="shared" si="7"/>
        <v>14</v>
      </c>
      <c r="Q37" s="12">
        <f t="shared" si="7"/>
        <v>15</v>
      </c>
      <c r="R37" s="12">
        <f t="shared" si="7"/>
        <v>16</v>
      </c>
      <c r="S37" s="12">
        <f t="shared" si="7"/>
        <v>17</v>
      </c>
      <c r="T37" s="12">
        <f t="shared" si="7"/>
        <v>18</v>
      </c>
      <c r="U37" s="12">
        <f t="shared" si="7"/>
        <v>19</v>
      </c>
      <c r="V37" s="65">
        <v>20</v>
      </c>
      <c r="W37" s="65">
        <v>21</v>
      </c>
      <c r="X37" s="65">
        <v>22</v>
      </c>
      <c r="Y37" s="65">
        <v>23</v>
      </c>
      <c r="Z37" s="15" t="s">
        <v>2</v>
      </c>
      <c r="AA37" s="26" t="s">
        <v>61</v>
      </c>
      <c r="AB37" s="27" t="s">
        <v>59</v>
      </c>
    </row>
    <row r="38" spans="1:28" x14ac:dyDescent="0.4">
      <c r="A38" s="30" t="str">
        <f>A20</f>
        <v>RUDDY</v>
      </c>
      <c r="C38" s="60">
        <f t="shared" ref="C38:W50" si="8">C3+C20</f>
        <v>0</v>
      </c>
      <c r="D38" s="60">
        <f t="shared" si="8"/>
        <v>0</v>
      </c>
      <c r="E38" s="60">
        <f t="shared" si="8"/>
        <v>0</v>
      </c>
      <c r="F38" s="60">
        <f t="shared" si="8"/>
        <v>0</v>
      </c>
      <c r="G38" s="60">
        <f t="shared" si="8"/>
        <v>0</v>
      </c>
      <c r="H38" s="60">
        <f t="shared" si="8"/>
        <v>0</v>
      </c>
      <c r="I38" s="60">
        <f t="shared" si="8"/>
        <v>0</v>
      </c>
      <c r="J38" s="60">
        <f t="shared" si="8"/>
        <v>0</v>
      </c>
      <c r="K38" s="60">
        <f t="shared" si="8"/>
        <v>0</v>
      </c>
      <c r="L38" s="60">
        <f t="shared" si="8"/>
        <v>0</v>
      </c>
      <c r="M38" s="60">
        <f t="shared" si="8"/>
        <v>0</v>
      </c>
      <c r="N38" s="60">
        <f t="shared" si="8"/>
        <v>0</v>
      </c>
      <c r="O38" s="60">
        <f t="shared" si="8"/>
        <v>0</v>
      </c>
      <c r="P38" s="60">
        <f t="shared" si="8"/>
        <v>0</v>
      </c>
      <c r="Q38" s="60">
        <f t="shared" si="8"/>
        <v>0</v>
      </c>
      <c r="R38" s="60">
        <f t="shared" si="8"/>
        <v>4</v>
      </c>
      <c r="S38" s="60">
        <f t="shared" si="8"/>
        <v>0</v>
      </c>
      <c r="T38" s="60">
        <f t="shared" si="8"/>
        <v>0</v>
      </c>
      <c r="U38" s="60">
        <f t="shared" si="8"/>
        <v>0</v>
      </c>
      <c r="V38" s="60">
        <f t="shared" si="8"/>
        <v>0</v>
      </c>
      <c r="W38" s="60">
        <f t="shared" si="8"/>
        <v>0</v>
      </c>
      <c r="X38" s="60">
        <f t="shared" ref="X38:Y49" si="9">X3+X20</f>
        <v>0</v>
      </c>
      <c r="Y38" s="60">
        <f t="shared" si="9"/>
        <v>0</v>
      </c>
      <c r="Z38" s="77">
        <f>SUM(C38:Y38)</f>
        <v>4</v>
      </c>
      <c r="AA38" s="66">
        <f>Z38/$Z$52</f>
        <v>5.2219321148825066E-3</v>
      </c>
      <c r="AB38" s="67">
        <f>0/10068</f>
        <v>0</v>
      </c>
    </row>
    <row r="39" spans="1:28" x14ac:dyDescent="0.4">
      <c r="A39" s="30" t="str">
        <f t="shared" ref="A39:A50" si="10">A21</f>
        <v>CANVASBACK</v>
      </c>
      <c r="C39" s="60">
        <f t="shared" si="8"/>
        <v>0</v>
      </c>
      <c r="D39" s="60">
        <f t="shared" si="8"/>
        <v>1</v>
      </c>
      <c r="E39" s="60">
        <f t="shared" si="8"/>
        <v>0</v>
      </c>
      <c r="F39" s="60">
        <f t="shared" si="8"/>
        <v>0</v>
      </c>
      <c r="G39" s="60">
        <f t="shared" si="8"/>
        <v>0</v>
      </c>
      <c r="H39" s="60">
        <f t="shared" si="8"/>
        <v>1</v>
      </c>
      <c r="I39" s="60">
        <f t="shared" si="8"/>
        <v>0</v>
      </c>
      <c r="J39" s="60">
        <f t="shared" si="8"/>
        <v>0</v>
      </c>
      <c r="K39" s="60">
        <f t="shared" si="8"/>
        <v>0</v>
      </c>
      <c r="L39" s="60">
        <f t="shared" si="8"/>
        <v>0</v>
      </c>
      <c r="M39" s="60">
        <f t="shared" si="8"/>
        <v>0</v>
      </c>
      <c r="N39" s="60">
        <f t="shared" si="8"/>
        <v>0</v>
      </c>
      <c r="O39" s="60">
        <f t="shared" si="8"/>
        <v>0</v>
      </c>
      <c r="P39" s="60">
        <f t="shared" si="8"/>
        <v>0</v>
      </c>
      <c r="Q39" s="60">
        <f t="shared" si="8"/>
        <v>0</v>
      </c>
      <c r="R39" s="60">
        <f t="shared" si="8"/>
        <v>1</v>
      </c>
      <c r="S39" s="60">
        <f t="shared" si="8"/>
        <v>0</v>
      </c>
      <c r="T39" s="60">
        <f t="shared" si="8"/>
        <v>0</v>
      </c>
      <c r="U39" s="60">
        <f t="shared" si="8"/>
        <v>0</v>
      </c>
      <c r="V39" s="60">
        <f t="shared" si="8"/>
        <v>0</v>
      </c>
      <c r="W39" s="60">
        <f t="shared" si="8"/>
        <v>0</v>
      </c>
      <c r="X39" s="60">
        <f t="shared" si="9"/>
        <v>0</v>
      </c>
      <c r="Y39" s="60">
        <f t="shared" si="9"/>
        <v>0</v>
      </c>
      <c r="Z39" s="78">
        <f t="shared" ref="Z39:Z51" si="11">SUM(C39:Y39)</f>
        <v>3</v>
      </c>
      <c r="AA39" s="66">
        <f t="shared" ref="AA39:AA51" si="12">Z39/$Z$52</f>
        <v>3.9164490861618795E-3</v>
      </c>
      <c r="AB39" s="67">
        <v>0</v>
      </c>
    </row>
    <row r="40" spans="1:28" x14ac:dyDescent="0.4">
      <c r="A40" s="30" t="str">
        <f t="shared" si="10"/>
        <v>GADWALL</v>
      </c>
      <c r="C40" s="60">
        <f t="shared" si="8"/>
        <v>3</v>
      </c>
      <c r="D40" s="60">
        <f t="shared" si="8"/>
        <v>1</v>
      </c>
      <c r="E40" s="60">
        <f t="shared" si="8"/>
        <v>0</v>
      </c>
      <c r="F40" s="60">
        <f t="shared" si="8"/>
        <v>3</v>
      </c>
      <c r="G40" s="60">
        <f t="shared" si="8"/>
        <v>0</v>
      </c>
      <c r="H40" s="60">
        <f t="shared" si="8"/>
        <v>0</v>
      </c>
      <c r="I40" s="60">
        <f t="shared" si="8"/>
        <v>0</v>
      </c>
      <c r="J40" s="60">
        <f t="shared" si="8"/>
        <v>0</v>
      </c>
      <c r="K40" s="60">
        <f t="shared" si="8"/>
        <v>0</v>
      </c>
      <c r="L40" s="60">
        <f t="shared" si="8"/>
        <v>2</v>
      </c>
      <c r="M40" s="60">
        <f t="shared" si="8"/>
        <v>9</v>
      </c>
      <c r="N40" s="60">
        <f t="shared" si="8"/>
        <v>0</v>
      </c>
      <c r="O40" s="60">
        <f t="shared" si="8"/>
        <v>1</v>
      </c>
      <c r="P40" s="60">
        <f t="shared" si="8"/>
        <v>0</v>
      </c>
      <c r="Q40" s="60">
        <f t="shared" si="8"/>
        <v>0</v>
      </c>
      <c r="R40" s="60">
        <f t="shared" si="8"/>
        <v>5</v>
      </c>
      <c r="S40" s="60">
        <f t="shared" si="8"/>
        <v>1</v>
      </c>
      <c r="T40" s="60">
        <f t="shared" si="8"/>
        <v>0</v>
      </c>
      <c r="U40" s="60">
        <f t="shared" si="8"/>
        <v>0</v>
      </c>
      <c r="V40" s="60">
        <f t="shared" si="8"/>
        <v>2</v>
      </c>
      <c r="W40" s="60">
        <f t="shared" si="8"/>
        <v>6</v>
      </c>
      <c r="X40" s="60">
        <f t="shared" si="9"/>
        <v>0</v>
      </c>
      <c r="Y40" s="60">
        <f t="shared" si="9"/>
        <v>0</v>
      </c>
      <c r="Z40" s="78">
        <f t="shared" si="11"/>
        <v>33</v>
      </c>
      <c r="AA40" s="66">
        <f t="shared" si="12"/>
        <v>4.3080939947780679E-2</v>
      </c>
      <c r="AB40" s="67">
        <v>0</v>
      </c>
    </row>
    <row r="41" spans="1:28" x14ac:dyDescent="0.4">
      <c r="A41" s="30" t="str">
        <f t="shared" si="10"/>
        <v>GEESE</v>
      </c>
      <c r="C41" s="60">
        <f t="shared" si="8"/>
        <v>0</v>
      </c>
      <c r="D41" s="60">
        <f t="shared" si="8"/>
        <v>0</v>
      </c>
      <c r="E41" s="60">
        <f t="shared" si="8"/>
        <v>0</v>
      </c>
      <c r="F41" s="60">
        <f t="shared" si="8"/>
        <v>0</v>
      </c>
      <c r="G41" s="60">
        <f t="shared" si="8"/>
        <v>0</v>
      </c>
      <c r="H41" s="60">
        <f t="shared" si="8"/>
        <v>0</v>
      </c>
      <c r="I41" s="60">
        <f t="shared" si="8"/>
        <v>1</v>
      </c>
      <c r="J41" s="60">
        <f t="shared" si="8"/>
        <v>0</v>
      </c>
      <c r="K41" s="60">
        <f t="shared" si="8"/>
        <v>0</v>
      </c>
      <c r="L41" s="60">
        <f t="shared" si="8"/>
        <v>1</v>
      </c>
      <c r="M41" s="60">
        <f t="shared" si="8"/>
        <v>0</v>
      </c>
      <c r="N41" s="60">
        <f t="shared" si="8"/>
        <v>0</v>
      </c>
      <c r="O41" s="60">
        <f t="shared" si="8"/>
        <v>0</v>
      </c>
      <c r="P41" s="60">
        <f t="shared" si="8"/>
        <v>0</v>
      </c>
      <c r="Q41" s="60">
        <f t="shared" si="8"/>
        <v>0</v>
      </c>
      <c r="R41" s="60">
        <f t="shared" si="8"/>
        <v>0</v>
      </c>
      <c r="S41" s="60">
        <f t="shared" si="8"/>
        <v>0</v>
      </c>
      <c r="T41" s="60">
        <f t="shared" si="8"/>
        <v>0</v>
      </c>
      <c r="U41" s="60">
        <f t="shared" si="8"/>
        <v>0</v>
      </c>
      <c r="V41" s="60">
        <f t="shared" si="8"/>
        <v>1</v>
      </c>
      <c r="W41" s="60">
        <f t="shared" si="8"/>
        <v>0</v>
      </c>
      <c r="X41" s="60">
        <f t="shared" si="9"/>
        <v>0</v>
      </c>
      <c r="Y41" s="60">
        <f t="shared" si="9"/>
        <v>0</v>
      </c>
      <c r="Z41" s="78">
        <f t="shared" si="11"/>
        <v>3</v>
      </c>
      <c r="AA41" s="66">
        <f t="shared" si="12"/>
        <v>3.9164490861618795E-3</v>
      </c>
      <c r="AB41" s="67">
        <v>0</v>
      </c>
    </row>
    <row r="42" spans="1:28" x14ac:dyDescent="0.4">
      <c r="A42" s="30" t="str">
        <f t="shared" si="10"/>
        <v>MALLARD</v>
      </c>
      <c r="C42" s="60">
        <f t="shared" si="8"/>
        <v>0</v>
      </c>
      <c r="D42" s="60">
        <f t="shared" si="8"/>
        <v>4</v>
      </c>
      <c r="E42" s="60">
        <f t="shared" si="8"/>
        <v>0</v>
      </c>
      <c r="F42" s="60">
        <f t="shared" si="8"/>
        <v>8</v>
      </c>
      <c r="G42" s="60">
        <f t="shared" si="8"/>
        <v>0</v>
      </c>
      <c r="H42" s="60">
        <f t="shared" si="8"/>
        <v>1</v>
      </c>
      <c r="I42" s="60">
        <f t="shared" si="8"/>
        <v>1</v>
      </c>
      <c r="J42" s="60">
        <f t="shared" si="8"/>
        <v>0</v>
      </c>
      <c r="K42" s="60">
        <f t="shared" si="8"/>
        <v>0</v>
      </c>
      <c r="L42" s="60">
        <f t="shared" si="8"/>
        <v>3</v>
      </c>
      <c r="M42" s="60">
        <f t="shared" si="8"/>
        <v>0</v>
      </c>
      <c r="N42" s="60">
        <f t="shared" si="8"/>
        <v>0</v>
      </c>
      <c r="O42" s="60">
        <f t="shared" si="8"/>
        <v>2</v>
      </c>
      <c r="P42" s="60">
        <f t="shared" si="8"/>
        <v>0</v>
      </c>
      <c r="Q42" s="60">
        <f t="shared" si="8"/>
        <v>0</v>
      </c>
      <c r="R42" s="60">
        <f t="shared" si="8"/>
        <v>6</v>
      </c>
      <c r="S42" s="60">
        <f t="shared" si="8"/>
        <v>0</v>
      </c>
      <c r="T42" s="60">
        <f t="shared" si="8"/>
        <v>0</v>
      </c>
      <c r="U42" s="60">
        <f t="shared" si="8"/>
        <v>0</v>
      </c>
      <c r="V42" s="60">
        <f t="shared" si="8"/>
        <v>2</v>
      </c>
      <c r="W42" s="60">
        <f t="shared" si="8"/>
        <v>5</v>
      </c>
      <c r="X42" s="60">
        <f t="shared" si="9"/>
        <v>0</v>
      </c>
      <c r="Y42" s="60">
        <f t="shared" si="9"/>
        <v>0</v>
      </c>
      <c r="Z42" s="78">
        <f t="shared" si="11"/>
        <v>32</v>
      </c>
      <c r="AA42" s="66">
        <f t="shared" si="12"/>
        <v>4.1775456919060053E-2</v>
      </c>
      <c r="AB42" s="67">
        <v>0</v>
      </c>
    </row>
    <row r="43" spans="1:28" x14ac:dyDescent="0.4">
      <c r="A43" s="30" t="str">
        <f t="shared" si="10"/>
        <v>PINTAIL</v>
      </c>
      <c r="C43" s="60">
        <f t="shared" si="8"/>
        <v>1</v>
      </c>
      <c r="D43" s="60">
        <f t="shared" si="8"/>
        <v>3</v>
      </c>
      <c r="E43" s="60">
        <f t="shared" si="8"/>
        <v>3</v>
      </c>
      <c r="F43" s="60">
        <f t="shared" si="8"/>
        <v>31</v>
      </c>
      <c r="G43" s="60">
        <f t="shared" si="8"/>
        <v>6</v>
      </c>
      <c r="H43" s="60">
        <f t="shared" si="8"/>
        <v>15</v>
      </c>
      <c r="I43" s="60">
        <f t="shared" si="8"/>
        <v>9</v>
      </c>
      <c r="J43" s="60">
        <f t="shared" si="8"/>
        <v>0</v>
      </c>
      <c r="K43" s="60">
        <f t="shared" si="8"/>
        <v>1</v>
      </c>
      <c r="L43" s="60">
        <f t="shared" si="8"/>
        <v>15</v>
      </c>
      <c r="M43" s="60">
        <f t="shared" si="8"/>
        <v>10</v>
      </c>
      <c r="N43" s="60">
        <f t="shared" si="8"/>
        <v>2</v>
      </c>
      <c r="O43" s="60">
        <f t="shared" si="8"/>
        <v>4</v>
      </c>
      <c r="P43" s="60">
        <f t="shared" si="8"/>
        <v>0</v>
      </c>
      <c r="Q43" s="60">
        <f t="shared" si="8"/>
        <v>0</v>
      </c>
      <c r="R43" s="60">
        <f t="shared" si="8"/>
        <v>13</v>
      </c>
      <c r="S43" s="60">
        <f t="shared" si="8"/>
        <v>0</v>
      </c>
      <c r="T43" s="60">
        <f t="shared" si="8"/>
        <v>0</v>
      </c>
      <c r="U43" s="60">
        <f t="shared" si="8"/>
        <v>0</v>
      </c>
      <c r="V43" s="60">
        <f t="shared" si="8"/>
        <v>5</v>
      </c>
      <c r="W43" s="60">
        <f t="shared" si="8"/>
        <v>9</v>
      </c>
      <c r="X43" s="60">
        <f t="shared" si="9"/>
        <v>0</v>
      </c>
      <c r="Y43" s="60">
        <f t="shared" si="9"/>
        <v>0</v>
      </c>
      <c r="Z43" s="78">
        <f t="shared" si="11"/>
        <v>127</v>
      </c>
      <c r="AA43" s="66">
        <f t="shared" si="12"/>
        <v>0.16579634464751958</v>
      </c>
      <c r="AB43" s="67">
        <v>0</v>
      </c>
    </row>
    <row r="44" spans="1:28" x14ac:dyDescent="0.4">
      <c r="A44" s="30" t="str">
        <f t="shared" si="10"/>
        <v>REDHEAD</v>
      </c>
      <c r="C44" s="60">
        <f t="shared" si="8"/>
        <v>1</v>
      </c>
      <c r="D44" s="60">
        <f t="shared" si="8"/>
        <v>0</v>
      </c>
      <c r="E44" s="60">
        <f t="shared" si="8"/>
        <v>0</v>
      </c>
      <c r="F44" s="60">
        <f t="shared" si="8"/>
        <v>0</v>
      </c>
      <c r="G44" s="60">
        <f t="shared" si="8"/>
        <v>0</v>
      </c>
      <c r="H44" s="60">
        <f t="shared" si="8"/>
        <v>0</v>
      </c>
      <c r="I44" s="60">
        <f t="shared" si="8"/>
        <v>1</v>
      </c>
      <c r="J44" s="60">
        <f t="shared" si="8"/>
        <v>1</v>
      </c>
      <c r="K44" s="60">
        <f t="shared" si="8"/>
        <v>0</v>
      </c>
      <c r="L44" s="60">
        <f t="shared" si="8"/>
        <v>2</v>
      </c>
      <c r="M44" s="60">
        <f t="shared" si="8"/>
        <v>0</v>
      </c>
      <c r="N44" s="60">
        <f t="shared" si="8"/>
        <v>0</v>
      </c>
      <c r="O44" s="60">
        <f t="shared" si="8"/>
        <v>0</v>
      </c>
      <c r="P44" s="60">
        <f t="shared" si="8"/>
        <v>0</v>
      </c>
      <c r="Q44" s="60">
        <f t="shared" si="8"/>
        <v>0</v>
      </c>
      <c r="R44" s="60">
        <f t="shared" si="8"/>
        <v>0</v>
      </c>
      <c r="S44" s="60">
        <f t="shared" si="8"/>
        <v>0</v>
      </c>
      <c r="T44" s="60">
        <f t="shared" si="8"/>
        <v>0</v>
      </c>
      <c r="U44" s="60">
        <f t="shared" si="8"/>
        <v>0</v>
      </c>
      <c r="V44" s="60">
        <f t="shared" si="8"/>
        <v>0</v>
      </c>
      <c r="W44" s="60">
        <f t="shared" si="8"/>
        <v>0</v>
      </c>
      <c r="X44" s="60">
        <f t="shared" si="9"/>
        <v>0</v>
      </c>
      <c r="Y44" s="60">
        <f t="shared" si="9"/>
        <v>0</v>
      </c>
      <c r="Z44" s="78">
        <f t="shared" si="11"/>
        <v>5</v>
      </c>
      <c r="AA44" s="66">
        <f t="shared" si="12"/>
        <v>6.5274151436031328E-3</v>
      </c>
      <c r="AB44" s="67">
        <v>0</v>
      </c>
    </row>
    <row r="45" spans="1:28" x14ac:dyDescent="0.4">
      <c r="A45" s="30" t="str">
        <f t="shared" si="10"/>
        <v>RINGNECK</v>
      </c>
      <c r="C45" s="60">
        <f t="shared" si="8"/>
        <v>0</v>
      </c>
      <c r="D45" s="60">
        <f t="shared" si="8"/>
        <v>0</v>
      </c>
      <c r="E45" s="60">
        <f t="shared" si="8"/>
        <v>0</v>
      </c>
      <c r="F45" s="60">
        <f t="shared" si="8"/>
        <v>0</v>
      </c>
      <c r="G45" s="60">
        <f t="shared" si="8"/>
        <v>0</v>
      </c>
      <c r="H45" s="60">
        <f t="shared" si="8"/>
        <v>0</v>
      </c>
      <c r="I45" s="60">
        <f t="shared" si="8"/>
        <v>0</v>
      </c>
      <c r="J45" s="60">
        <f t="shared" si="8"/>
        <v>0</v>
      </c>
      <c r="K45" s="60">
        <f t="shared" si="8"/>
        <v>0</v>
      </c>
      <c r="L45" s="60">
        <f t="shared" si="8"/>
        <v>0</v>
      </c>
      <c r="M45" s="60">
        <f t="shared" si="8"/>
        <v>0</v>
      </c>
      <c r="N45" s="60">
        <f t="shared" si="8"/>
        <v>0</v>
      </c>
      <c r="O45" s="60">
        <f t="shared" si="8"/>
        <v>0</v>
      </c>
      <c r="P45" s="60">
        <f t="shared" si="8"/>
        <v>0</v>
      </c>
      <c r="Q45" s="60">
        <f t="shared" si="8"/>
        <v>0</v>
      </c>
      <c r="R45" s="60">
        <f t="shared" si="8"/>
        <v>0</v>
      </c>
      <c r="S45" s="60">
        <f t="shared" si="8"/>
        <v>0</v>
      </c>
      <c r="T45" s="60">
        <f t="shared" si="8"/>
        <v>0</v>
      </c>
      <c r="U45" s="60">
        <f t="shared" si="8"/>
        <v>0</v>
      </c>
      <c r="V45" s="60">
        <f t="shared" si="8"/>
        <v>0</v>
      </c>
      <c r="W45" s="60">
        <f t="shared" si="8"/>
        <v>0</v>
      </c>
      <c r="X45" s="60">
        <f t="shared" si="9"/>
        <v>0</v>
      </c>
      <c r="Y45" s="60">
        <f t="shared" si="9"/>
        <v>0</v>
      </c>
      <c r="Z45" s="78">
        <f t="shared" si="11"/>
        <v>0</v>
      </c>
      <c r="AA45" s="66">
        <f t="shared" si="12"/>
        <v>0</v>
      </c>
      <c r="AB45" s="67">
        <v>0</v>
      </c>
    </row>
    <row r="46" spans="1:28" x14ac:dyDescent="0.4">
      <c r="A46" s="30" t="str">
        <f t="shared" si="10"/>
        <v>B'HEAD</v>
      </c>
      <c r="C46" s="60">
        <f t="shared" si="8"/>
        <v>0</v>
      </c>
      <c r="D46" s="60">
        <f t="shared" si="8"/>
        <v>1</v>
      </c>
      <c r="E46" s="60">
        <f t="shared" si="8"/>
        <v>0</v>
      </c>
      <c r="F46" s="60">
        <f t="shared" si="8"/>
        <v>0</v>
      </c>
      <c r="G46" s="60">
        <f t="shared" si="8"/>
        <v>0</v>
      </c>
      <c r="H46" s="60">
        <f t="shared" si="8"/>
        <v>1</v>
      </c>
      <c r="I46" s="60">
        <f t="shared" si="8"/>
        <v>0</v>
      </c>
      <c r="J46" s="60">
        <f t="shared" si="8"/>
        <v>0</v>
      </c>
      <c r="K46" s="60">
        <f t="shared" si="8"/>
        <v>0</v>
      </c>
      <c r="L46" s="60">
        <f t="shared" si="8"/>
        <v>1</v>
      </c>
      <c r="M46" s="60">
        <f t="shared" si="8"/>
        <v>0</v>
      </c>
      <c r="N46" s="60">
        <f t="shared" si="8"/>
        <v>0</v>
      </c>
      <c r="O46" s="60">
        <f t="shared" si="8"/>
        <v>0</v>
      </c>
      <c r="P46" s="60">
        <f t="shared" si="8"/>
        <v>0</v>
      </c>
      <c r="Q46" s="60">
        <f t="shared" si="8"/>
        <v>0</v>
      </c>
      <c r="R46" s="60">
        <f t="shared" si="8"/>
        <v>0</v>
      </c>
      <c r="S46" s="60">
        <f t="shared" si="8"/>
        <v>0</v>
      </c>
      <c r="T46" s="60">
        <f t="shared" si="8"/>
        <v>0</v>
      </c>
      <c r="U46" s="60">
        <f t="shared" si="8"/>
        <v>0</v>
      </c>
      <c r="V46" s="60">
        <f t="shared" si="8"/>
        <v>0</v>
      </c>
      <c r="W46" s="60">
        <f t="shared" si="8"/>
        <v>0</v>
      </c>
      <c r="X46" s="60">
        <f t="shared" si="9"/>
        <v>0</v>
      </c>
      <c r="Y46" s="60">
        <f t="shared" si="9"/>
        <v>0</v>
      </c>
      <c r="Z46" s="78">
        <f t="shared" si="11"/>
        <v>3</v>
      </c>
      <c r="AA46" s="66">
        <f t="shared" si="12"/>
        <v>3.9164490861618795E-3</v>
      </c>
      <c r="AB46" s="67">
        <v>0</v>
      </c>
    </row>
    <row r="47" spans="1:28" x14ac:dyDescent="0.4">
      <c r="A47" s="30" t="str">
        <f t="shared" si="10"/>
        <v>SPOONY</v>
      </c>
      <c r="C47" s="60">
        <f t="shared" si="8"/>
        <v>7</v>
      </c>
      <c r="D47" s="60">
        <f t="shared" si="8"/>
        <v>18</v>
      </c>
      <c r="E47" s="60">
        <f t="shared" si="8"/>
        <v>7</v>
      </c>
      <c r="F47" s="60">
        <f t="shared" si="8"/>
        <v>31</v>
      </c>
      <c r="G47" s="60">
        <f t="shared" si="8"/>
        <v>14</v>
      </c>
      <c r="H47" s="60">
        <f t="shared" si="8"/>
        <v>20</v>
      </c>
      <c r="I47" s="60">
        <f t="shared" si="8"/>
        <v>13</v>
      </c>
      <c r="J47" s="60">
        <f t="shared" si="8"/>
        <v>1</v>
      </c>
      <c r="K47" s="60">
        <f t="shared" si="8"/>
        <v>3</v>
      </c>
      <c r="L47" s="60">
        <f t="shared" si="8"/>
        <v>12</v>
      </c>
      <c r="M47" s="60">
        <f t="shared" si="8"/>
        <v>6</v>
      </c>
      <c r="N47" s="60">
        <f t="shared" si="8"/>
        <v>3</v>
      </c>
      <c r="O47" s="60">
        <f t="shared" si="8"/>
        <v>8</v>
      </c>
      <c r="P47" s="60">
        <f t="shared" si="8"/>
        <v>1</v>
      </c>
      <c r="Q47" s="60">
        <f t="shared" si="8"/>
        <v>0</v>
      </c>
      <c r="R47" s="60">
        <f t="shared" si="8"/>
        <v>26</v>
      </c>
      <c r="S47" s="60">
        <f t="shared" si="8"/>
        <v>5</v>
      </c>
      <c r="T47" s="60">
        <f t="shared" si="8"/>
        <v>0</v>
      </c>
      <c r="U47" s="60">
        <f t="shared" si="8"/>
        <v>1</v>
      </c>
      <c r="V47" s="60">
        <f t="shared" si="8"/>
        <v>9</v>
      </c>
      <c r="W47" s="60">
        <f t="shared" si="8"/>
        <v>41</v>
      </c>
      <c r="X47" s="60">
        <f t="shared" si="9"/>
        <v>0</v>
      </c>
      <c r="Y47" s="60">
        <f t="shared" si="9"/>
        <v>3</v>
      </c>
      <c r="Z47" s="78">
        <f t="shared" si="11"/>
        <v>229</v>
      </c>
      <c r="AA47" s="66">
        <f t="shared" si="12"/>
        <v>0.29895561357702349</v>
      </c>
      <c r="AB47" s="67">
        <v>0</v>
      </c>
    </row>
    <row r="48" spans="1:28" x14ac:dyDescent="0.4">
      <c r="A48" s="30" t="str">
        <f t="shared" si="10"/>
        <v>TEAL</v>
      </c>
      <c r="C48" s="60">
        <f t="shared" si="8"/>
        <v>19</v>
      </c>
      <c r="D48" s="60">
        <f t="shared" si="8"/>
        <v>6</v>
      </c>
      <c r="E48" s="60">
        <f t="shared" si="8"/>
        <v>10</v>
      </c>
      <c r="F48" s="60">
        <f t="shared" si="8"/>
        <v>53</v>
      </c>
      <c r="G48" s="60">
        <f t="shared" si="8"/>
        <v>33</v>
      </c>
      <c r="H48" s="60">
        <f t="shared" si="8"/>
        <v>18</v>
      </c>
      <c r="I48" s="60">
        <f t="shared" si="8"/>
        <v>29</v>
      </c>
      <c r="J48" s="60">
        <f t="shared" si="8"/>
        <v>1</v>
      </c>
      <c r="K48" s="60">
        <f t="shared" si="8"/>
        <v>2</v>
      </c>
      <c r="L48" s="60">
        <f t="shared" si="8"/>
        <v>36</v>
      </c>
      <c r="M48" s="60">
        <f t="shared" si="8"/>
        <v>5</v>
      </c>
      <c r="N48" s="60">
        <f t="shared" si="8"/>
        <v>1</v>
      </c>
      <c r="O48" s="60">
        <f t="shared" si="8"/>
        <v>14</v>
      </c>
      <c r="P48" s="60">
        <f t="shared" si="8"/>
        <v>1</v>
      </c>
      <c r="Q48" s="60">
        <f t="shared" si="8"/>
        <v>0</v>
      </c>
      <c r="R48" s="60">
        <f t="shared" si="8"/>
        <v>22</v>
      </c>
      <c r="S48" s="60">
        <f t="shared" si="8"/>
        <v>0</v>
      </c>
      <c r="T48" s="60">
        <f t="shared" si="8"/>
        <v>0</v>
      </c>
      <c r="U48" s="60">
        <f t="shared" si="8"/>
        <v>0</v>
      </c>
      <c r="V48" s="60">
        <f t="shared" si="8"/>
        <v>3</v>
      </c>
      <c r="W48" s="60">
        <f t="shared" si="8"/>
        <v>16</v>
      </c>
      <c r="X48" s="60">
        <f t="shared" si="9"/>
        <v>0</v>
      </c>
      <c r="Y48" s="60">
        <f t="shared" si="9"/>
        <v>0</v>
      </c>
      <c r="Z48" s="78">
        <f t="shared" si="11"/>
        <v>269</v>
      </c>
      <c r="AA48" s="66">
        <f t="shared" si="12"/>
        <v>0.35117493472584854</v>
      </c>
      <c r="AB48" s="67">
        <v>0</v>
      </c>
    </row>
    <row r="49" spans="1:28" x14ac:dyDescent="0.4">
      <c r="A49" s="30" t="str">
        <f t="shared" si="10"/>
        <v>WIDGEON</v>
      </c>
      <c r="C49" s="60">
        <f t="shared" si="8"/>
        <v>2</v>
      </c>
      <c r="D49" s="60">
        <f t="shared" si="8"/>
        <v>10</v>
      </c>
      <c r="E49" s="60">
        <f t="shared" si="8"/>
        <v>2</v>
      </c>
      <c r="F49" s="60">
        <f t="shared" si="8"/>
        <v>6</v>
      </c>
      <c r="G49" s="60">
        <f t="shared" si="8"/>
        <v>6</v>
      </c>
      <c r="H49" s="60">
        <f t="shared" si="8"/>
        <v>1</v>
      </c>
      <c r="I49" s="60">
        <f t="shared" si="8"/>
        <v>3</v>
      </c>
      <c r="J49" s="60">
        <f t="shared" si="8"/>
        <v>0</v>
      </c>
      <c r="K49" s="60">
        <f t="shared" si="8"/>
        <v>0</v>
      </c>
      <c r="L49" s="60">
        <f t="shared" si="8"/>
        <v>5</v>
      </c>
      <c r="M49" s="60">
        <f t="shared" si="8"/>
        <v>8</v>
      </c>
      <c r="N49" s="60">
        <f t="shared" si="8"/>
        <v>0</v>
      </c>
      <c r="O49" s="60">
        <f t="shared" si="8"/>
        <v>0</v>
      </c>
      <c r="P49" s="60">
        <f t="shared" si="8"/>
        <v>0</v>
      </c>
      <c r="Q49" s="60">
        <f t="shared" si="8"/>
        <v>0</v>
      </c>
      <c r="R49" s="60">
        <f t="shared" si="8"/>
        <v>3</v>
      </c>
      <c r="S49" s="60">
        <f t="shared" si="8"/>
        <v>0</v>
      </c>
      <c r="T49" s="60">
        <f t="shared" si="8"/>
        <v>0</v>
      </c>
      <c r="U49" s="60">
        <f t="shared" si="8"/>
        <v>0</v>
      </c>
      <c r="V49" s="60">
        <f t="shared" si="8"/>
        <v>3</v>
      </c>
      <c r="W49" s="60">
        <f t="shared" si="8"/>
        <v>7</v>
      </c>
      <c r="X49" s="60">
        <f t="shared" si="9"/>
        <v>0</v>
      </c>
      <c r="Y49" s="60">
        <f t="shared" si="9"/>
        <v>0</v>
      </c>
      <c r="Z49" s="78">
        <f t="shared" si="11"/>
        <v>56</v>
      </c>
      <c r="AA49" s="66">
        <f t="shared" si="12"/>
        <v>7.3107049608355096E-2</v>
      </c>
      <c r="AB49" s="67">
        <v>0</v>
      </c>
    </row>
    <row r="50" spans="1:28" x14ac:dyDescent="0.4">
      <c r="A50" s="30" t="str">
        <f t="shared" si="10"/>
        <v>SCAUP</v>
      </c>
      <c r="C50" s="60">
        <f t="shared" si="8"/>
        <v>0</v>
      </c>
      <c r="D50" s="60">
        <f t="shared" si="8"/>
        <v>0</v>
      </c>
      <c r="E50" s="60">
        <f t="shared" si="8"/>
        <v>0</v>
      </c>
      <c r="F50" s="60">
        <f t="shared" ref="C50:W51" si="13">F15+F32</f>
        <v>1</v>
      </c>
      <c r="G50" s="60">
        <f t="shared" si="13"/>
        <v>0</v>
      </c>
      <c r="H50" s="60">
        <f t="shared" si="13"/>
        <v>0</v>
      </c>
      <c r="I50" s="60">
        <f t="shared" si="13"/>
        <v>0</v>
      </c>
      <c r="J50" s="60">
        <f t="shared" si="13"/>
        <v>0</v>
      </c>
      <c r="K50" s="60">
        <f t="shared" si="13"/>
        <v>0</v>
      </c>
      <c r="L50" s="60">
        <f t="shared" si="13"/>
        <v>0</v>
      </c>
      <c r="M50" s="60">
        <f t="shared" si="13"/>
        <v>0</v>
      </c>
      <c r="N50" s="60">
        <f t="shared" si="13"/>
        <v>0</v>
      </c>
      <c r="O50" s="60">
        <f t="shared" si="13"/>
        <v>0</v>
      </c>
      <c r="P50" s="60">
        <f t="shared" si="13"/>
        <v>0</v>
      </c>
      <c r="Q50" s="60">
        <f t="shared" si="13"/>
        <v>0</v>
      </c>
      <c r="R50" s="60">
        <f t="shared" si="13"/>
        <v>0</v>
      </c>
      <c r="S50" s="60">
        <f t="shared" si="13"/>
        <v>0</v>
      </c>
      <c r="T50" s="60">
        <f t="shared" si="13"/>
        <v>0</v>
      </c>
      <c r="U50" s="60">
        <f t="shared" si="13"/>
        <v>0</v>
      </c>
      <c r="V50" s="60">
        <f t="shared" si="13"/>
        <v>0</v>
      </c>
      <c r="W50" s="60">
        <f t="shared" si="13"/>
        <v>1</v>
      </c>
      <c r="X50" s="60">
        <f>X15+X32</f>
        <v>0</v>
      </c>
      <c r="Y50" s="60">
        <f>Y15+Y32</f>
        <v>0</v>
      </c>
      <c r="Z50" s="78">
        <f t="shared" si="11"/>
        <v>2</v>
      </c>
      <c r="AA50" s="66">
        <f t="shared" si="12"/>
        <v>2.6109660574412533E-3</v>
      </c>
      <c r="AB50" s="67">
        <v>0</v>
      </c>
    </row>
    <row r="51" spans="1:28" ht="13" thickBot="1" x14ac:dyDescent="0.45">
      <c r="A51" s="30" t="s">
        <v>58</v>
      </c>
      <c r="C51" s="62">
        <f t="shared" si="13"/>
        <v>0</v>
      </c>
      <c r="D51" s="62">
        <f t="shared" si="13"/>
        <v>0</v>
      </c>
      <c r="E51" s="62">
        <f t="shared" si="13"/>
        <v>0</v>
      </c>
      <c r="F51" s="62">
        <f t="shared" si="13"/>
        <v>0</v>
      </c>
      <c r="G51" s="62">
        <f t="shared" si="13"/>
        <v>0</v>
      </c>
      <c r="H51" s="62">
        <f t="shared" si="13"/>
        <v>0</v>
      </c>
      <c r="I51" s="62">
        <f t="shared" si="13"/>
        <v>0</v>
      </c>
      <c r="J51" s="62">
        <f t="shared" si="13"/>
        <v>0</v>
      </c>
      <c r="K51" s="62">
        <f t="shared" si="13"/>
        <v>0</v>
      </c>
      <c r="L51" s="62">
        <f t="shared" si="13"/>
        <v>0</v>
      </c>
      <c r="M51" s="62">
        <f t="shared" si="13"/>
        <v>0</v>
      </c>
      <c r="N51" s="62">
        <f t="shared" si="13"/>
        <v>0</v>
      </c>
      <c r="O51" s="62">
        <f t="shared" si="13"/>
        <v>0</v>
      </c>
      <c r="P51" s="62">
        <f t="shared" si="13"/>
        <v>0</v>
      </c>
      <c r="Q51" s="62">
        <f t="shared" si="13"/>
        <v>0</v>
      </c>
      <c r="R51" s="62">
        <f t="shared" si="13"/>
        <v>0</v>
      </c>
      <c r="S51" s="62">
        <f t="shared" si="13"/>
        <v>0</v>
      </c>
      <c r="T51" s="62">
        <f t="shared" si="13"/>
        <v>0</v>
      </c>
      <c r="U51" s="62">
        <f t="shared" si="13"/>
        <v>0</v>
      </c>
      <c r="V51" s="62">
        <f>V16+V33</f>
        <v>0</v>
      </c>
      <c r="W51" s="62">
        <f>W16+W33</f>
        <v>0</v>
      </c>
      <c r="X51" s="62">
        <f>X16+X33</f>
        <v>0</v>
      </c>
      <c r="Y51" s="62">
        <f>Y16+Y33</f>
        <v>0</v>
      </c>
      <c r="Z51" s="68">
        <f t="shared" si="11"/>
        <v>0</v>
      </c>
      <c r="AA51" s="69">
        <f t="shared" si="12"/>
        <v>0</v>
      </c>
      <c r="AB51" s="70">
        <v>0</v>
      </c>
    </row>
    <row r="52" spans="1:28" x14ac:dyDescent="0.4">
      <c r="A52" s="30" t="s">
        <v>25</v>
      </c>
      <c r="C52" s="60">
        <f>0+SUM(C38:C51)</f>
        <v>33</v>
      </c>
      <c r="D52" s="60">
        <f t="shared" ref="D52:U52" si="14">0+SUM(D38:D51)</f>
        <v>44</v>
      </c>
      <c r="E52" s="60">
        <f t="shared" si="14"/>
        <v>22</v>
      </c>
      <c r="F52" s="60">
        <f t="shared" si="14"/>
        <v>133</v>
      </c>
      <c r="G52" s="60">
        <f t="shared" si="14"/>
        <v>59</v>
      </c>
      <c r="H52" s="60">
        <f t="shared" si="14"/>
        <v>57</v>
      </c>
      <c r="I52" s="60">
        <f t="shared" si="14"/>
        <v>57</v>
      </c>
      <c r="J52" s="60">
        <f t="shared" si="14"/>
        <v>3</v>
      </c>
      <c r="K52" s="60">
        <f t="shared" si="14"/>
        <v>6</v>
      </c>
      <c r="L52" s="60">
        <f t="shared" si="14"/>
        <v>77</v>
      </c>
      <c r="M52" s="60">
        <f t="shared" si="14"/>
        <v>38</v>
      </c>
      <c r="N52" s="60">
        <f t="shared" si="14"/>
        <v>6</v>
      </c>
      <c r="O52" s="60">
        <f t="shared" si="14"/>
        <v>29</v>
      </c>
      <c r="P52" s="60">
        <f t="shared" si="14"/>
        <v>2</v>
      </c>
      <c r="Q52" s="60">
        <f t="shared" si="14"/>
        <v>0</v>
      </c>
      <c r="R52" s="60">
        <f t="shared" si="14"/>
        <v>80</v>
      </c>
      <c r="S52" s="60">
        <f t="shared" si="14"/>
        <v>6</v>
      </c>
      <c r="T52" s="60">
        <f t="shared" si="14"/>
        <v>0</v>
      </c>
      <c r="U52" s="60">
        <f t="shared" si="14"/>
        <v>1</v>
      </c>
      <c r="V52" s="60">
        <f>0+SUM(V38:V51)</f>
        <v>25</v>
      </c>
      <c r="W52" s="60">
        <f>0+SUM(W38:W51)</f>
        <v>85</v>
      </c>
      <c r="X52" s="60">
        <f>SUM(X17,X34)</f>
        <v>0</v>
      </c>
      <c r="Y52" s="60">
        <f>0+SUM(Y38:Y51)</f>
        <v>3</v>
      </c>
      <c r="Z52" s="30">
        <f>SUM(Z38:Z51)</f>
        <v>766</v>
      </c>
      <c r="AB52" s="71"/>
    </row>
    <row r="53" spans="1:28" x14ac:dyDescent="0.4">
      <c r="A53" s="30" t="s">
        <v>48</v>
      </c>
      <c r="C53" s="72">
        <f t="shared" ref="C53:U53" si="15">C52/$Z$52</f>
        <v>4.3080939947780679E-2</v>
      </c>
      <c r="D53" s="72">
        <f t="shared" si="15"/>
        <v>5.7441253263707574E-2</v>
      </c>
      <c r="E53" s="72">
        <f t="shared" si="15"/>
        <v>2.8720626631853787E-2</v>
      </c>
      <c r="F53" s="72">
        <f t="shared" si="15"/>
        <v>0.17362924281984335</v>
      </c>
      <c r="G53" s="72">
        <f t="shared" si="15"/>
        <v>7.7023498694516968E-2</v>
      </c>
      <c r="H53" s="72">
        <f t="shared" si="15"/>
        <v>7.4412532637075715E-2</v>
      </c>
      <c r="I53" s="72">
        <f t="shared" si="15"/>
        <v>7.4412532637075715E-2</v>
      </c>
      <c r="J53" s="72">
        <f t="shared" si="15"/>
        <v>3.9164490861618795E-3</v>
      </c>
      <c r="K53" s="72">
        <f t="shared" si="15"/>
        <v>7.832898172323759E-3</v>
      </c>
      <c r="L53" s="72">
        <f t="shared" si="15"/>
        <v>0.10052219321148825</v>
      </c>
      <c r="M53" s="72">
        <f t="shared" si="15"/>
        <v>4.960835509138381E-2</v>
      </c>
      <c r="N53" s="72">
        <f t="shared" si="15"/>
        <v>7.832898172323759E-3</v>
      </c>
      <c r="O53" s="72">
        <f t="shared" si="15"/>
        <v>3.7859007832898174E-2</v>
      </c>
      <c r="P53" s="72">
        <f t="shared" si="15"/>
        <v>2.6109660574412533E-3</v>
      </c>
      <c r="Q53" s="72">
        <f t="shared" si="15"/>
        <v>0</v>
      </c>
      <c r="R53" s="72">
        <f t="shared" si="15"/>
        <v>0.10443864229765012</v>
      </c>
      <c r="S53" s="72">
        <f t="shared" si="15"/>
        <v>7.832898172323759E-3</v>
      </c>
      <c r="T53" s="72">
        <f t="shared" si="15"/>
        <v>0</v>
      </c>
      <c r="U53" s="72">
        <f t="shared" si="15"/>
        <v>1.3054830287206266E-3</v>
      </c>
      <c r="V53" s="72">
        <f>V52/$Z$52</f>
        <v>3.2637075718015669E-2</v>
      </c>
      <c r="W53" s="72">
        <f>W52/$Z$52</f>
        <v>0.11096605744125326</v>
      </c>
      <c r="X53" s="72">
        <f>X52/$Z$52</f>
        <v>0</v>
      </c>
      <c r="Y53" s="72">
        <f>Y52/$Z$52</f>
        <v>3.9164490861618795E-3</v>
      </c>
    </row>
    <row r="54" spans="1:28" x14ac:dyDescent="0.4">
      <c r="A54" s="5" t="s">
        <v>47</v>
      </c>
    </row>
    <row r="55" spans="1:28" x14ac:dyDescent="0.4">
      <c r="A55" s="30" t="s">
        <v>40</v>
      </c>
      <c r="C55" s="80">
        <v>115</v>
      </c>
      <c r="D55" s="73"/>
      <c r="N55" s="60">
        <f>SUM(O52:Y52)</f>
        <v>231</v>
      </c>
    </row>
    <row r="56" spans="1:28" x14ac:dyDescent="0.4">
      <c r="A56" s="30" t="s">
        <v>41</v>
      </c>
      <c r="C56" s="60">
        <v>1.48</v>
      </c>
      <c r="D56" s="74"/>
    </row>
    <row r="57" spans="1:28" x14ac:dyDescent="0.4">
      <c r="A57" s="30" t="s">
        <v>42</v>
      </c>
      <c r="C57" s="80">
        <v>210</v>
      </c>
      <c r="D57" s="73"/>
    </row>
    <row r="58" spans="1:28" x14ac:dyDescent="0.4">
      <c r="A58" s="30" t="s">
        <v>43</v>
      </c>
      <c r="C58" s="60">
        <v>2.84</v>
      </c>
      <c r="D58" s="74"/>
      <c r="F58" s="29" t="s">
        <v>62</v>
      </c>
    </row>
    <row r="59" spans="1:28" x14ac:dyDescent="0.4">
      <c r="A59" s="30" t="s">
        <v>44</v>
      </c>
      <c r="C59" s="80">
        <v>325</v>
      </c>
      <c r="D59" s="73"/>
      <c r="F59" s="74"/>
      <c r="J59" s="76" t="s">
        <v>86</v>
      </c>
      <c r="L59" s="80">
        <v>122</v>
      </c>
    </row>
    <row r="60" spans="1:28" x14ac:dyDescent="0.4">
      <c r="A60" s="30" t="s">
        <v>45</v>
      </c>
      <c r="C60" s="60">
        <v>2.36</v>
      </c>
      <c r="D60" s="74"/>
      <c r="F60" s="74"/>
      <c r="G60" s="64" t="s">
        <v>77</v>
      </c>
      <c r="J60" s="76" t="s">
        <v>82</v>
      </c>
      <c r="L60" s="74">
        <f>SUM(N52:W52)/L59</f>
        <v>1.9180327868852458</v>
      </c>
    </row>
    <row r="61" spans="1:28" x14ac:dyDescent="0.4">
      <c r="A61" s="30" t="s">
        <v>46</v>
      </c>
      <c r="D61" s="75"/>
      <c r="F61" s="74"/>
      <c r="G61" s="64" t="s">
        <v>64</v>
      </c>
    </row>
    <row r="62" spans="1:28" x14ac:dyDescent="0.4">
      <c r="A62" s="5" t="s">
        <v>49</v>
      </c>
      <c r="D62" s="7"/>
    </row>
    <row r="67" spans="1:4" x14ac:dyDescent="0.4">
      <c r="A67" s="5" t="s">
        <v>56</v>
      </c>
      <c r="D67" s="7"/>
    </row>
    <row r="68" spans="1:4" x14ac:dyDescent="0.4">
      <c r="A68" s="30" t="s">
        <v>113</v>
      </c>
    </row>
  </sheetData>
  <phoneticPr fontId="0" type="noConversion"/>
  <printOptions horizontalCentered="1" gridLines="1" gridLinesSet="0"/>
  <pageMargins left="0.25" right="0.25" top="0.75" bottom="0.5" header="0.5" footer="0.5"/>
  <pageSetup scale="60" orientation="landscape"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68"/>
  <sheetViews>
    <sheetView topLeftCell="A37" workbookViewId="0">
      <selection activeCell="M37" sqref="M37"/>
    </sheetView>
  </sheetViews>
  <sheetFormatPr defaultColWidth="7.703125" defaultRowHeight="12.7" x14ac:dyDescent="0.4"/>
  <cols>
    <col min="1" max="1" width="20.1171875" style="30" customWidth="1"/>
    <col min="2" max="2" width="4.41015625" style="30" customWidth="1"/>
    <col min="3" max="5" width="6.703125" style="60" customWidth="1"/>
    <col min="6" max="6" width="8.703125" style="60" customWidth="1"/>
    <col min="7" max="7" width="6.703125" style="60" customWidth="1"/>
    <col min="8" max="8" width="8.41015625" style="60" customWidth="1"/>
    <col min="9" max="9" width="7.703125" style="60" customWidth="1"/>
    <col min="10" max="10" width="6.703125" style="60" customWidth="1"/>
    <col min="11" max="11" width="8.87890625" style="60" customWidth="1"/>
    <col min="12" max="12" width="7.29296875" style="60" customWidth="1"/>
    <col min="13" max="17" width="6.703125" style="60" customWidth="1"/>
    <col min="18" max="18" width="7.41015625" style="60" customWidth="1"/>
    <col min="19" max="21" width="6.703125" style="60" customWidth="1"/>
    <col min="22" max="22" width="7.41015625" style="60" customWidth="1"/>
    <col min="23" max="23" width="7.703125" style="60" customWidth="1"/>
    <col min="24" max="25" width="6.703125" style="60" customWidth="1"/>
    <col min="26" max="26" width="8.703125" style="30" customWidth="1"/>
    <col min="27" max="27" width="9.29296875" style="30" customWidth="1"/>
    <col min="28" max="28" width="9.87890625" style="30" customWidth="1"/>
    <col min="29" max="16384" width="7.703125" style="30"/>
  </cols>
  <sheetData>
    <row r="1" spans="1:26" ht="13" thickBot="1" x14ac:dyDescent="0.45">
      <c r="A1" s="5" t="s">
        <v>106</v>
      </c>
      <c r="C1" s="81" t="s">
        <v>117</v>
      </c>
    </row>
    <row r="2" spans="1:26"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3" t="s">
        <v>2</v>
      </c>
    </row>
    <row r="3" spans="1:26" x14ac:dyDescent="0.4">
      <c r="A3" s="30" t="s">
        <v>34</v>
      </c>
      <c r="Z3" s="77">
        <f t="shared" ref="Z3:Z8" si="0">SUM(C3:Y3)</f>
        <v>0</v>
      </c>
    </row>
    <row r="4" spans="1:26" x14ac:dyDescent="0.4">
      <c r="A4" s="30" t="s">
        <v>35</v>
      </c>
      <c r="H4" s="60">
        <v>3</v>
      </c>
      <c r="I4" s="60">
        <v>1</v>
      </c>
      <c r="K4" s="60">
        <v>1</v>
      </c>
      <c r="R4" s="60">
        <v>2</v>
      </c>
      <c r="W4" s="60">
        <v>2</v>
      </c>
      <c r="Z4" s="78">
        <f t="shared" si="0"/>
        <v>9</v>
      </c>
    </row>
    <row r="5" spans="1:26" x14ac:dyDescent="0.4">
      <c r="A5" s="30" t="s">
        <v>16</v>
      </c>
      <c r="F5" s="60">
        <v>2</v>
      </c>
      <c r="H5" s="60">
        <v>4</v>
      </c>
      <c r="I5" s="60">
        <v>2</v>
      </c>
      <c r="L5" s="60">
        <v>2</v>
      </c>
      <c r="R5" s="60">
        <v>1</v>
      </c>
      <c r="Z5" s="78">
        <f t="shared" si="0"/>
        <v>11</v>
      </c>
    </row>
    <row r="6" spans="1:26" x14ac:dyDescent="0.4">
      <c r="A6" s="30" t="s">
        <v>29</v>
      </c>
      <c r="H6" s="60">
        <v>1</v>
      </c>
      <c r="Z6" s="78">
        <f t="shared" si="0"/>
        <v>1</v>
      </c>
    </row>
    <row r="7" spans="1:26" x14ac:dyDescent="0.4">
      <c r="A7" s="30" t="s">
        <v>18</v>
      </c>
      <c r="F7" s="60">
        <v>3</v>
      </c>
      <c r="G7" s="60">
        <v>2</v>
      </c>
      <c r="H7" s="60">
        <v>3</v>
      </c>
      <c r="R7" s="60">
        <v>1</v>
      </c>
      <c r="Z7" s="78">
        <f t="shared" si="0"/>
        <v>9</v>
      </c>
    </row>
    <row r="8" spans="1:26" x14ac:dyDescent="0.4">
      <c r="A8" s="30" t="s">
        <v>19</v>
      </c>
      <c r="F8" s="60">
        <v>1</v>
      </c>
      <c r="G8" s="60">
        <v>1</v>
      </c>
      <c r="H8" s="60">
        <v>6</v>
      </c>
      <c r="K8" s="60">
        <v>1</v>
      </c>
      <c r="L8" s="60">
        <v>1</v>
      </c>
      <c r="Z8" s="78">
        <f t="shared" si="0"/>
        <v>10</v>
      </c>
    </row>
    <row r="9" spans="1:26" x14ac:dyDescent="0.4">
      <c r="A9" s="30" t="s">
        <v>20</v>
      </c>
      <c r="F9" s="60">
        <v>1</v>
      </c>
      <c r="G9" s="60">
        <v>1</v>
      </c>
      <c r="I9" s="60">
        <v>2</v>
      </c>
      <c r="L9" s="60">
        <v>1</v>
      </c>
      <c r="Z9" s="78">
        <f t="shared" ref="Z9:Z16" si="1">SUM(C9:Y9)</f>
        <v>5</v>
      </c>
    </row>
    <row r="10" spans="1:26" x14ac:dyDescent="0.4">
      <c r="A10" s="30" t="s">
        <v>21</v>
      </c>
      <c r="K10" s="60">
        <v>1</v>
      </c>
      <c r="R10" s="60">
        <v>1</v>
      </c>
      <c r="Z10" s="78">
        <f t="shared" si="1"/>
        <v>2</v>
      </c>
    </row>
    <row r="11" spans="1:26" x14ac:dyDescent="0.4">
      <c r="A11" s="30" t="s">
        <v>98</v>
      </c>
      <c r="I11" s="60">
        <v>2</v>
      </c>
      <c r="Z11" s="78">
        <f t="shared" si="1"/>
        <v>2</v>
      </c>
    </row>
    <row r="12" spans="1:26" x14ac:dyDescent="0.4">
      <c r="A12" s="30" t="s">
        <v>22</v>
      </c>
      <c r="C12" s="60">
        <v>1</v>
      </c>
      <c r="D12" s="60">
        <v>1</v>
      </c>
      <c r="E12" s="60">
        <v>1</v>
      </c>
      <c r="F12" s="60">
        <v>24</v>
      </c>
      <c r="G12" s="60">
        <v>11</v>
      </c>
      <c r="H12" s="60">
        <v>33</v>
      </c>
      <c r="I12" s="60">
        <v>15</v>
      </c>
      <c r="K12" s="60">
        <v>2</v>
      </c>
      <c r="L12" s="60">
        <v>3</v>
      </c>
      <c r="R12" s="60">
        <v>3</v>
      </c>
      <c r="W12" s="60">
        <v>16</v>
      </c>
      <c r="Y12" s="60">
        <v>2</v>
      </c>
      <c r="Z12" s="78">
        <f t="shared" si="1"/>
        <v>112</v>
      </c>
    </row>
    <row r="13" spans="1:26" x14ac:dyDescent="0.4">
      <c r="A13" s="30" t="s">
        <v>23</v>
      </c>
      <c r="D13" s="60">
        <v>3</v>
      </c>
      <c r="E13" s="60">
        <v>1</v>
      </c>
      <c r="F13" s="60">
        <v>16</v>
      </c>
      <c r="G13" s="60">
        <v>9</v>
      </c>
      <c r="H13" s="60">
        <v>16</v>
      </c>
      <c r="I13" s="60">
        <v>6</v>
      </c>
      <c r="K13" s="60">
        <v>2</v>
      </c>
      <c r="L13" s="60">
        <v>8</v>
      </c>
      <c r="N13" s="60">
        <v>1</v>
      </c>
      <c r="R13" s="60">
        <v>2</v>
      </c>
      <c r="Z13" s="78">
        <f t="shared" si="1"/>
        <v>64</v>
      </c>
    </row>
    <row r="14" spans="1:26" x14ac:dyDescent="0.4">
      <c r="A14" s="30" t="s">
        <v>24</v>
      </c>
      <c r="F14" s="60">
        <v>2</v>
      </c>
      <c r="G14" s="60">
        <v>1</v>
      </c>
      <c r="H14" s="60">
        <v>4</v>
      </c>
      <c r="I14" s="60">
        <v>5</v>
      </c>
      <c r="L14" s="60">
        <v>2</v>
      </c>
      <c r="W14" s="60">
        <v>1</v>
      </c>
      <c r="Z14" s="78">
        <f t="shared" si="1"/>
        <v>15</v>
      </c>
    </row>
    <row r="15" spans="1:26" x14ac:dyDescent="0.4">
      <c r="A15" s="30" t="s">
        <v>36</v>
      </c>
      <c r="Z15" s="78">
        <f t="shared" si="1"/>
        <v>0</v>
      </c>
    </row>
    <row r="16" spans="1:26" ht="13" thickBot="1" x14ac:dyDescent="0.45">
      <c r="A16" s="30" t="s">
        <v>36</v>
      </c>
      <c r="C16" s="62"/>
      <c r="D16" s="62"/>
      <c r="E16" s="62"/>
      <c r="F16" s="62"/>
      <c r="G16" s="62"/>
      <c r="H16" s="62"/>
      <c r="I16" s="62"/>
      <c r="J16" s="62"/>
      <c r="K16" s="62"/>
      <c r="L16" s="62"/>
      <c r="M16" s="62"/>
      <c r="N16" s="62"/>
      <c r="O16" s="62"/>
      <c r="P16" s="62"/>
      <c r="Q16" s="62"/>
      <c r="R16" s="62"/>
      <c r="S16" s="62"/>
      <c r="T16" s="62"/>
      <c r="U16" s="62"/>
      <c r="V16" s="62"/>
      <c r="W16" s="62"/>
      <c r="X16" s="62"/>
      <c r="Y16" s="62"/>
      <c r="Z16" s="68">
        <f t="shared" si="1"/>
        <v>0</v>
      </c>
    </row>
    <row r="17" spans="1:26" x14ac:dyDescent="0.4">
      <c r="A17" s="30" t="s">
        <v>25</v>
      </c>
      <c r="C17" s="60">
        <f>SUM(C3:C16)</f>
        <v>1</v>
      </c>
      <c r="D17" s="60">
        <f t="shared" ref="D17:U17" si="2">SUM(D3:D16)</f>
        <v>4</v>
      </c>
      <c r="E17" s="60">
        <f t="shared" si="2"/>
        <v>2</v>
      </c>
      <c r="F17" s="60">
        <f t="shared" si="2"/>
        <v>49</v>
      </c>
      <c r="G17" s="60">
        <f t="shared" si="2"/>
        <v>25</v>
      </c>
      <c r="H17" s="60">
        <f t="shared" si="2"/>
        <v>70</v>
      </c>
      <c r="I17" s="60">
        <f t="shared" si="2"/>
        <v>33</v>
      </c>
      <c r="J17" s="60">
        <f t="shared" si="2"/>
        <v>0</v>
      </c>
      <c r="K17" s="60">
        <f t="shared" si="2"/>
        <v>7</v>
      </c>
      <c r="L17" s="60">
        <f t="shared" si="2"/>
        <v>17</v>
      </c>
      <c r="M17" s="60">
        <f t="shared" si="2"/>
        <v>0</v>
      </c>
      <c r="N17" s="60">
        <f t="shared" si="2"/>
        <v>1</v>
      </c>
      <c r="O17" s="60">
        <f t="shared" si="2"/>
        <v>0</v>
      </c>
      <c r="P17" s="60">
        <f t="shared" si="2"/>
        <v>0</v>
      </c>
      <c r="Q17" s="60">
        <f t="shared" si="2"/>
        <v>0</v>
      </c>
      <c r="R17" s="60">
        <f t="shared" si="2"/>
        <v>10</v>
      </c>
      <c r="S17" s="60">
        <f t="shared" si="2"/>
        <v>0</v>
      </c>
      <c r="T17" s="60">
        <f t="shared" si="2"/>
        <v>0</v>
      </c>
      <c r="U17" s="60">
        <f t="shared" si="2"/>
        <v>0</v>
      </c>
      <c r="V17" s="60">
        <f>SUM(V3:V16)</f>
        <v>0</v>
      </c>
      <c r="W17" s="60">
        <f>SUM(W3:W16)</f>
        <v>19</v>
      </c>
      <c r="X17" s="60">
        <f>SUM(X3:X16)</f>
        <v>0</v>
      </c>
      <c r="Y17" s="60">
        <f>SUM(Y3:Y16)</f>
        <v>2</v>
      </c>
      <c r="Z17" s="78">
        <f>SUM(Z3:Z16)</f>
        <v>240</v>
      </c>
    </row>
    <row r="18" spans="1:26" ht="13" thickBot="1" x14ac:dyDescent="0.45">
      <c r="A18" s="29" t="s">
        <v>107</v>
      </c>
      <c r="C18" s="81" t="s">
        <v>118</v>
      </c>
      <c r="D18" s="64"/>
      <c r="E18" s="7"/>
      <c r="F18" s="29"/>
      <c r="G18" s="29" t="s">
        <v>108</v>
      </c>
      <c r="J18" s="81" t="s">
        <v>119</v>
      </c>
    </row>
    <row r="19" spans="1:26" ht="13" thickBot="1" x14ac:dyDescent="0.45">
      <c r="A19" s="10" t="str">
        <f>A2</f>
        <v>BLIND #</v>
      </c>
      <c r="B19" s="14"/>
      <c r="C19" s="12">
        <f t="shared" ref="C19:N19" si="3">C2</f>
        <v>1</v>
      </c>
      <c r="D19" s="12">
        <f t="shared" si="3"/>
        <v>2</v>
      </c>
      <c r="E19" s="12">
        <f t="shared" si="3"/>
        <v>3</v>
      </c>
      <c r="F19" s="12">
        <f t="shared" si="3"/>
        <v>4</v>
      </c>
      <c r="G19" s="12">
        <f t="shared" si="3"/>
        <v>5</v>
      </c>
      <c r="H19" s="12">
        <f t="shared" si="3"/>
        <v>6</v>
      </c>
      <c r="I19" s="12">
        <f t="shared" si="3"/>
        <v>7</v>
      </c>
      <c r="J19" s="12">
        <f t="shared" si="3"/>
        <v>8</v>
      </c>
      <c r="K19" s="12">
        <f t="shared" si="3"/>
        <v>9</v>
      </c>
      <c r="L19" s="12">
        <f t="shared" si="3"/>
        <v>10</v>
      </c>
      <c r="M19" s="12">
        <f t="shared" si="3"/>
        <v>11</v>
      </c>
      <c r="N19" s="12">
        <f t="shared" si="3"/>
        <v>12</v>
      </c>
      <c r="O19" s="12">
        <v>13</v>
      </c>
      <c r="P19" s="12">
        <v>14</v>
      </c>
      <c r="Q19" s="12">
        <v>15</v>
      </c>
      <c r="R19" s="12">
        <v>16</v>
      </c>
      <c r="S19" s="12">
        <v>17</v>
      </c>
      <c r="T19" s="12">
        <v>18</v>
      </c>
      <c r="U19" s="12">
        <v>19</v>
      </c>
      <c r="V19" s="12">
        <v>20</v>
      </c>
      <c r="W19" s="12">
        <v>21</v>
      </c>
      <c r="X19" s="12">
        <v>22</v>
      </c>
      <c r="Y19" s="12">
        <v>23</v>
      </c>
      <c r="Z19" s="13" t="s">
        <v>2</v>
      </c>
    </row>
    <row r="20" spans="1:26" ht="13" thickBot="1" x14ac:dyDescent="0.45">
      <c r="A20" s="30" t="str">
        <f>A3</f>
        <v>RUDDY</v>
      </c>
      <c r="G20" s="60">
        <v>1</v>
      </c>
      <c r="H20" s="60">
        <v>1</v>
      </c>
      <c r="J20" s="60">
        <v>1</v>
      </c>
      <c r="L20" s="60">
        <v>1</v>
      </c>
      <c r="Z20" s="77">
        <f>SUM(C20:Y20)</f>
        <v>4</v>
      </c>
    </row>
    <row r="21" spans="1:26" ht="13" thickBot="1" x14ac:dyDescent="0.45">
      <c r="A21" s="30" t="str">
        <f t="shared" ref="A21:A33" si="4">A4</f>
        <v>CANVASBACK</v>
      </c>
      <c r="F21" s="60">
        <v>2</v>
      </c>
      <c r="I21" s="60">
        <v>1</v>
      </c>
      <c r="V21" s="60">
        <v>1</v>
      </c>
      <c r="W21" s="60">
        <v>2</v>
      </c>
      <c r="Z21" s="77">
        <f t="shared" ref="Z21:Z33" si="5">SUM(C21:Y21)</f>
        <v>6</v>
      </c>
    </row>
    <row r="22" spans="1:26" ht="13" thickBot="1" x14ac:dyDescent="0.45">
      <c r="A22" s="30" t="str">
        <f t="shared" si="4"/>
        <v>GADWALL</v>
      </c>
      <c r="C22" s="60">
        <v>3</v>
      </c>
      <c r="D22" s="60">
        <v>2</v>
      </c>
      <c r="F22" s="60">
        <v>4</v>
      </c>
      <c r="H22" s="60">
        <v>3</v>
      </c>
      <c r="I22" s="60">
        <v>4</v>
      </c>
      <c r="V22" s="60">
        <v>5</v>
      </c>
      <c r="W22" s="60">
        <v>2</v>
      </c>
      <c r="Z22" s="77">
        <f t="shared" si="5"/>
        <v>23</v>
      </c>
    </row>
    <row r="23" spans="1:26" ht="13" thickBot="1" x14ac:dyDescent="0.45">
      <c r="A23" s="30" t="str">
        <f t="shared" si="4"/>
        <v>GEESE</v>
      </c>
      <c r="H23" s="60">
        <v>1</v>
      </c>
      <c r="I23" s="60">
        <v>1</v>
      </c>
      <c r="L23" s="60">
        <v>1</v>
      </c>
      <c r="V23" s="60">
        <v>1</v>
      </c>
      <c r="W23" s="60">
        <v>3</v>
      </c>
      <c r="Z23" s="77">
        <f t="shared" si="5"/>
        <v>7</v>
      </c>
    </row>
    <row r="24" spans="1:26" ht="13" thickBot="1" x14ac:dyDescent="0.45">
      <c r="A24" s="30" t="str">
        <f t="shared" si="4"/>
        <v>MALLARD</v>
      </c>
      <c r="F24" s="60">
        <v>1</v>
      </c>
      <c r="G24" s="60">
        <v>2</v>
      </c>
      <c r="H24" s="60">
        <v>1</v>
      </c>
      <c r="V24" s="60">
        <v>3</v>
      </c>
      <c r="Z24" s="77">
        <f t="shared" si="5"/>
        <v>7</v>
      </c>
    </row>
    <row r="25" spans="1:26" ht="13" thickBot="1" x14ac:dyDescent="0.45">
      <c r="A25" s="30" t="str">
        <f t="shared" si="4"/>
        <v>PINTAIL</v>
      </c>
      <c r="C25" s="60">
        <v>1</v>
      </c>
      <c r="D25" s="60">
        <v>1</v>
      </c>
      <c r="E25" s="60">
        <v>1</v>
      </c>
      <c r="F25" s="60">
        <v>14</v>
      </c>
      <c r="G25" s="60">
        <v>1</v>
      </c>
      <c r="H25" s="60">
        <v>10</v>
      </c>
      <c r="I25" s="60">
        <v>2</v>
      </c>
      <c r="K25" s="60">
        <v>2</v>
      </c>
      <c r="M25" s="60">
        <v>1</v>
      </c>
      <c r="N25" s="60">
        <v>2</v>
      </c>
      <c r="V25" s="60">
        <v>1</v>
      </c>
      <c r="W25" s="60">
        <v>4</v>
      </c>
      <c r="Z25" s="77">
        <f t="shared" si="5"/>
        <v>40</v>
      </c>
    </row>
    <row r="26" spans="1:26" ht="13" thickBot="1" x14ac:dyDescent="0.45">
      <c r="A26" s="30" t="str">
        <f t="shared" si="4"/>
        <v>REDHEAD</v>
      </c>
      <c r="Z26" s="77">
        <f t="shared" si="5"/>
        <v>0</v>
      </c>
    </row>
    <row r="27" spans="1:26" ht="13" thickBot="1" x14ac:dyDescent="0.45">
      <c r="A27" s="30" t="str">
        <f t="shared" si="4"/>
        <v>RINGNECK</v>
      </c>
      <c r="Z27" s="77">
        <f t="shared" si="5"/>
        <v>0</v>
      </c>
    </row>
    <row r="28" spans="1:26" ht="13" thickBot="1" x14ac:dyDescent="0.45">
      <c r="A28" s="30" t="str">
        <f t="shared" si="4"/>
        <v>B'HEAD</v>
      </c>
      <c r="G28" s="60">
        <v>1</v>
      </c>
      <c r="H28" s="60">
        <v>1</v>
      </c>
      <c r="W28" s="60">
        <v>1</v>
      </c>
      <c r="Z28" s="77">
        <f t="shared" si="5"/>
        <v>3</v>
      </c>
    </row>
    <row r="29" spans="1:26" ht="13" thickBot="1" x14ac:dyDescent="0.45">
      <c r="A29" s="30" t="str">
        <f t="shared" si="4"/>
        <v>SPOONY</v>
      </c>
      <c r="C29" s="60">
        <v>14</v>
      </c>
      <c r="D29" s="60">
        <v>1</v>
      </c>
      <c r="E29" s="60">
        <v>1</v>
      </c>
      <c r="F29" s="60">
        <v>11</v>
      </c>
      <c r="G29" s="60">
        <v>12</v>
      </c>
      <c r="H29" s="60">
        <v>32</v>
      </c>
      <c r="I29" s="60">
        <v>26</v>
      </c>
      <c r="J29" s="60">
        <v>1</v>
      </c>
      <c r="K29" s="60">
        <v>1</v>
      </c>
      <c r="L29" s="60">
        <v>6</v>
      </c>
      <c r="M29" s="60">
        <v>3</v>
      </c>
      <c r="O29" s="60">
        <v>1</v>
      </c>
      <c r="R29" s="60">
        <v>6</v>
      </c>
      <c r="V29" s="60">
        <v>11</v>
      </c>
      <c r="W29" s="60">
        <v>37</v>
      </c>
      <c r="Y29" s="60">
        <v>2</v>
      </c>
      <c r="Z29" s="77">
        <f t="shared" si="5"/>
        <v>165</v>
      </c>
    </row>
    <row r="30" spans="1:26" ht="13" thickBot="1" x14ac:dyDescent="0.45">
      <c r="A30" s="30" t="str">
        <f t="shared" si="4"/>
        <v>TEAL</v>
      </c>
      <c r="C30" s="60">
        <v>26</v>
      </c>
      <c r="D30" s="60">
        <v>5</v>
      </c>
      <c r="E30" s="60">
        <v>9</v>
      </c>
      <c r="F30" s="60">
        <v>46</v>
      </c>
      <c r="G30" s="60">
        <v>24</v>
      </c>
      <c r="H30" s="60">
        <v>55</v>
      </c>
      <c r="I30" s="60">
        <v>61</v>
      </c>
      <c r="K30" s="60">
        <v>4</v>
      </c>
      <c r="L30" s="60">
        <v>4</v>
      </c>
      <c r="M30" s="60">
        <v>17</v>
      </c>
      <c r="N30" s="60">
        <v>4</v>
      </c>
      <c r="R30" s="60">
        <v>4</v>
      </c>
      <c r="V30" s="60">
        <v>5</v>
      </c>
      <c r="W30" s="60">
        <v>20</v>
      </c>
      <c r="Z30" s="77">
        <f t="shared" si="5"/>
        <v>284</v>
      </c>
    </row>
    <row r="31" spans="1:26" ht="13" thickBot="1" x14ac:dyDescent="0.45">
      <c r="A31" s="30" t="str">
        <f t="shared" si="4"/>
        <v>WIDGEON</v>
      </c>
      <c r="C31" s="60">
        <v>2</v>
      </c>
      <c r="D31" s="60">
        <v>2</v>
      </c>
      <c r="E31" s="60">
        <v>2</v>
      </c>
      <c r="F31" s="60">
        <v>2</v>
      </c>
      <c r="H31" s="60">
        <v>4</v>
      </c>
      <c r="I31" s="60">
        <v>6</v>
      </c>
      <c r="K31" s="60">
        <v>3</v>
      </c>
      <c r="L31" s="60">
        <v>2</v>
      </c>
      <c r="N31" s="60">
        <v>3</v>
      </c>
      <c r="O31" s="60">
        <v>1</v>
      </c>
      <c r="R31" s="60">
        <v>2</v>
      </c>
      <c r="V31" s="60">
        <v>10</v>
      </c>
      <c r="W31" s="60">
        <v>6</v>
      </c>
      <c r="Z31" s="77">
        <f t="shared" si="5"/>
        <v>45</v>
      </c>
    </row>
    <row r="32" spans="1:26" ht="13" thickBot="1" x14ac:dyDescent="0.45">
      <c r="A32" s="30" t="s">
        <v>111</v>
      </c>
      <c r="Z32" s="77">
        <f t="shared" si="5"/>
        <v>0</v>
      </c>
    </row>
    <row r="33" spans="1:28" ht="13" thickBot="1" x14ac:dyDescent="0.45">
      <c r="A33" s="30" t="str">
        <f t="shared" si="4"/>
        <v>MISC</v>
      </c>
      <c r="C33" s="62"/>
      <c r="D33" s="62"/>
      <c r="E33" s="62"/>
      <c r="F33" s="62"/>
      <c r="G33" s="62"/>
      <c r="H33" s="62"/>
      <c r="I33" s="62"/>
      <c r="J33" s="62"/>
      <c r="K33" s="62"/>
      <c r="L33" s="62">
        <v>1</v>
      </c>
      <c r="M33" s="62"/>
      <c r="N33" s="62"/>
      <c r="O33" s="62"/>
      <c r="P33" s="62"/>
      <c r="Q33" s="62"/>
      <c r="R33" s="62"/>
      <c r="S33" s="62"/>
      <c r="T33" s="62"/>
      <c r="U33" s="62"/>
      <c r="V33" s="62"/>
      <c r="W33" s="62"/>
      <c r="X33" s="62"/>
      <c r="Y33" s="62"/>
      <c r="Z33" s="79">
        <f t="shared" si="5"/>
        <v>1</v>
      </c>
    </row>
    <row r="34" spans="1:28" x14ac:dyDescent="0.4">
      <c r="A34" s="30" t="s">
        <v>25</v>
      </c>
      <c r="C34" s="60">
        <f>0+SUM(C20:C33)</f>
        <v>46</v>
      </c>
      <c r="D34" s="60">
        <f t="shared" ref="D34:U34" si="6">0+SUM(D20:D33)</f>
        <v>11</v>
      </c>
      <c r="E34" s="60">
        <f t="shared" si="6"/>
        <v>13</v>
      </c>
      <c r="F34" s="60">
        <f t="shared" si="6"/>
        <v>80</v>
      </c>
      <c r="G34" s="60">
        <f t="shared" si="6"/>
        <v>41</v>
      </c>
      <c r="H34" s="60">
        <f t="shared" si="6"/>
        <v>108</v>
      </c>
      <c r="I34" s="60">
        <f t="shared" si="6"/>
        <v>101</v>
      </c>
      <c r="J34" s="60">
        <f t="shared" si="6"/>
        <v>2</v>
      </c>
      <c r="K34" s="60">
        <f t="shared" si="6"/>
        <v>10</v>
      </c>
      <c r="L34" s="60">
        <f t="shared" si="6"/>
        <v>15</v>
      </c>
      <c r="M34" s="60">
        <f t="shared" si="6"/>
        <v>21</v>
      </c>
      <c r="N34" s="60">
        <f t="shared" si="6"/>
        <v>9</v>
      </c>
      <c r="O34" s="60">
        <f t="shared" si="6"/>
        <v>2</v>
      </c>
      <c r="P34" s="60">
        <f t="shared" si="6"/>
        <v>0</v>
      </c>
      <c r="Q34" s="60">
        <f t="shared" si="6"/>
        <v>0</v>
      </c>
      <c r="R34" s="60">
        <f t="shared" si="6"/>
        <v>12</v>
      </c>
      <c r="S34" s="60">
        <f t="shared" si="6"/>
        <v>0</v>
      </c>
      <c r="T34" s="60">
        <f t="shared" si="6"/>
        <v>0</v>
      </c>
      <c r="U34" s="60">
        <f t="shared" si="6"/>
        <v>0</v>
      </c>
      <c r="V34" s="60">
        <f>0+SUM(V20:V33)</f>
        <v>37</v>
      </c>
      <c r="W34" s="60">
        <f>0+SUM(W20:W33)</f>
        <v>75</v>
      </c>
      <c r="X34" s="60">
        <f>0+SUM(X20:X33)</f>
        <v>0</v>
      </c>
      <c r="Y34" s="60">
        <f>0+SUM(Y20:Y33)</f>
        <v>2</v>
      </c>
      <c r="Z34" s="30">
        <f>SUM(Z20:Z33)</f>
        <v>585</v>
      </c>
    </row>
    <row r="35" spans="1:28" ht="13" thickBot="1" x14ac:dyDescent="0.45"/>
    <row r="36" spans="1:28"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15"/>
      <c r="AA36" s="20" t="s">
        <v>60</v>
      </c>
      <c r="AB36" s="21" t="s">
        <v>57</v>
      </c>
    </row>
    <row r="37" spans="1:28" ht="13" thickBot="1" x14ac:dyDescent="0.45">
      <c r="A37" s="10" t="str">
        <f>A19</f>
        <v>BLIND #</v>
      </c>
      <c r="B37" s="14"/>
      <c r="C37" s="12">
        <f t="shared" ref="C37:U37" si="7">C19</f>
        <v>1</v>
      </c>
      <c r="D37" s="12">
        <f t="shared" si="7"/>
        <v>2</v>
      </c>
      <c r="E37" s="12">
        <f t="shared" si="7"/>
        <v>3</v>
      </c>
      <c r="F37" s="12">
        <f t="shared" si="7"/>
        <v>4</v>
      </c>
      <c r="G37" s="12">
        <f t="shared" si="7"/>
        <v>5</v>
      </c>
      <c r="H37" s="12">
        <f t="shared" si="7"/>
        <v>6</v>
      </c>
      <c r="I37" s="12">
        <f t="shared" si="7"/>
        <v>7</v>
      </c>
      <c r="J37" s="12">
        <f t="shared" si="7"/>
        <v>8</v>
      </c>
      <c r="K37" s="12">
        <f t="shared" si="7"/>
        <v>9</v>
      </c>
      <c r="L37" s="12">
        <f t="shared" si="7"/>
        <v>10</v>
      </c>
      <c r="M37" s="12">
        <f t="shared" si="7"/>
        <v>11</v>
      </c>
      <c r="N37" s="12">
        <f t="shared" si="7"/>
        <v>12</v>
      </c>
      <c r="O37" s="12">
        <f t="shared" si="7"/>
        <v>13</v>
      </c>
      <c r="P37" s="12">
        <f t="shared" si="7"/>
        <v>14</v>
      </c>
      <c r="Q37" s="12">
        <f t="shared" si="7"/>
        <v>15</v>
      </c>
      <c r="R37" s="12">
        <f t="shared" si="7"/>
        <v>16</v>
      </c>
      <c r="S37" s="12">
        <f t="shared" si="7"/>
        <v>17</v>
      </c>
      <c r="T37" s="12">
        <f t="shared" si="7"/>
        <v>18</v>
      </c>
      <c r="U37" s="12">
        <f t="shared" si="7"/>
        <v>19</v>
      </c>
      <c r="V37" s="65">
        <v>20</v>
      </c>
      <c r="W37" s="65">
        <v>21</v>
      </c>
      <c r="X37" s="65">
        <v>22</v>
      </c>
      <c r="Y37" s="65">
        <v>23</v>
      </c>
      <c r="Z37" s="15" t="s">
        <v>2</v>
      </c>
      <c r="AA37" s="26" t="s">
        <v>61</v>
      </c>
      <c r="AB37" s="27" t="s">
        <v>59</v>
      </c>
    </row>
    <row r="38" spans="1:28" x14ac:dyDescent="0.4">
      <c r="A38" s="30" t="str">
        <f>A20</f>
        <v>RUDDY</v>
      </c>
      <c r="C38" s="60">
        <f t="shared" ref="C38:Y49" si="8">C3+C20</f>
        <v>0</v>
      </c>
      <c r="D38" s="60">
        <f t="shared" si="8"/>
        <v>0</v>
      </c>
      <c r="E38" s="60">
        <f t="shared" si="8"/>
        <v>0</v>
      </c>
      <c r="F38" s="60">
        <f t="shared" si="8"/>
        <v>0</v>
      </c>
      <c r="G38" s="60">
        <f t="shared" si="8"/>
        <v>1</v>
      </c>
      <c r="H38" s="60">
        <f t="shared" si="8"/>
        <v>1</v>
      </c>
      <c r="I38" s="60">
        <f t="shared" si="8"/>
        <v>0</v>
      </c>
      <c r="J38" s="60">
        <f t="shared" si="8"/>
        <v>1</v>
      </c>
      <c r="K38" s="60">
        <f t="shared" si="8"/>
        <v>0</v>
      </c>
      <c r="L38" s="60">
        <f t="shared" si="8"/>
        <v>1</v>
      </c>
      <c r="M38" s="60">
        <f t="shared" si="8"/>
        <v>0</v>
      </c>
      <c r="N38" s="60">
        <f t="shared" si="8"/>
        <v>0</v>
      </c>
      <c r="O38" s="60">
        <f t="shared" si="8"/>
        <v>0</v>
      </c>
      <c r="P38" s="60">
        <f t="shared" si="8"/>
        <v>0</v>
      </c>
      <c r="Q38" s="60">
        <f t="shared" si="8"/>
        <v>0</v>
      </c>
      <c r="R38" s="60">
        <f t="shared" si="8"/>
        <v>0</v>
      </c>
      <c r="S38" s="60">
        <f t="shared" si="8"/>
        <v>0</v>
      </c>
      <c r="T38" s="60">
        <f t="shared" si="8"/>
        <v>0</v>
      </c>
      <c r="U38" s="60">
        <f t="shared" si="8"/>
        <v>0</v>
      </c>
      <c r="V38" s="60">
        <f t="shared" si="8"/>
        <v>0</v>
      </c>
      <c r="W38" s="60">
        <f t="shared" si="8"/>
        <v>0</v>
      </c>
      <c r="X38" s="60">
        <f t="shared" si="8"/>
        <v>0</v>
      </c>
      <c r="Y38" s="60">
        <f t="shared" si="8"/>
        <v>0</v>
      </c>
      <c r="Z38" s="77">
        <f>SUM(C38:Y38)</f>
        <v>4</v>
      </c>
      <c r="AA38" s="66">
        <f>Z38/$Z$52</f>
        <v>4.8484848484848485E-3</v>
      </c>
      <c r="AB38" s="67">
        <f>0/10068</f>
        <v>0</v>
      </c>
    </row>
    <row r="39" spans="1:28" x14ac:dyDescent="0.4">
      <c r="A39" s="30" t="str">
        <f t="shared" ref="A39:A50" si="9">A21</f>
        <v>CANVASBACK</v>
      </c>
      <c r="C39" s="60">
        <f t="shared" si="8"/>
        <v>0</v>
      </c>
      <c r="D39" s="60">
        <f t="shared" si="8"/>
        <v>0</v>
      </c>
      <c r="E39" s="60">
        <f t="shared" si="8"/>
        <v>0</v>
      </c>
      <c r="F39" s="60">
        <f t="shared" si="8"/>
        <v>2</v>
      </c>
      <c r="G39" s="60">
        <f t="shared" si="8"/>
        <v>0</v>
      </c>
      <c r="H39" s="60">
        <f t="shared" si="8"/>
        <v>3</v>
      </c>
      <c r="I39" s="60">
        <f t="shared" si="8"/>
        <v>2</v>
      </c>
      <c r="J39" s="60">
        <f t="shared" si="8"/>
        <v>0</v>
      </c>
      <c r="K39" s="60">
        <f t="shared" si="8"/>
        <v>1</v>
      </c>
      <c r="L39" s="60">
        <f t="shared" si="8"/>
        <v>0</v>
      </c>
      <c r="M39" s="60">
        <f t="shared" si="8"/>
        <v>0</v>
      </c>
      <c r="N39" s="60">
        <f t="shared" si="8"/>
        <v>0</v>
      </c>
      <c r="O39" s="60">
        <f t="shared" si="8"/>
        <v>0</v>
      </c>
      <c r="P39" s="60">
        <f t="shared" si="8"/>
        <v>0</v>
      </c>
      <c r="Q39" s="60">
        <f t="shared" si="8"/>
        <v>0</v>
      </c>
      <c r="R39" s="60">
        <f t="shared" si="8"/>
        <v>2</v>
      </c>
      <c r="S39" s="60">
        <f t="shared" si="8"/>
        <v>0</v>
      </c>
      <c r="T39" s="60">
        <f t="shared" si="8"/>
        <v>0</v>
      </c>
      <c r="U39" s="60">
        <f t="shared" si="8"/>
        <v>0</v>
      </c>
      <c r="V39" s="60">
        <f t="shared" si="8"/>
        <v>1</v>
      </c>
      <c r="W39" s="60">
        <f t="shared" si="8"/>
        <v>4</v>
      </c>
      <c r="X39" s="60">
        <f t="shared" si="8"/>
        <v>0</v>
      </c>
      <c r="Y39" s="60">
        <f t="shared" si="8"/>
        <v>0</v>
      </c>
      <c r="Z39" s="78">
        <f t="shared" ref="Z39:Z51" si="10">SUM(C39:Y39)</f>
        <v>15</v>
      </c>
      <c r="AA39" s="66">
        <f t="shared" ref="AA39:AA51" si="11">Z39/$Z$52</f>
        <v>1.8181818181818181E-2</v>
      </c>
      <c r="AB39" s="67">
        <v>0</v>
      </c>
    </row>
    <row r="40" spans="1:28" x14ac:dyDescent="0.4">
      <c r="A40" s="30" t="str">
        <f t="shared" si="9"/>
        <v>GADWALL</v>
      </c>
      <c r="C40" s="60">
        <f t="shared" si="8"/>
        <v>3</v>
      </c>
      <c r="D40" s="60">
        <f t="shared" si="8"/>
        <v>2</v>
      </c>
      <c r="E40" s="60">
        <f t="shared" si="8"/>
        <v>0</v>
      </c>
      <c r="F40" s="60">
        <f t="shared" si="8"/>
        <v>6</v>
      </c>
      <c r="G40" s="60">
        <f t="shared" si="8"/>
        <v>0</v>
      </c>
      <c r="H40" s="60">
        <f t="shared" si="8"/>
        <v>7</v>
      </c>
      <c r="I40" s="60">
        <f t="shared" si="8"/>
        <v>6</v>
      </c>
      <c r="J40" s="60">
        <f t="shared" si="8"/>
        <v>0</v>
      </c>
      <c r="K40" s="60">
        <f t="shared" si="8"/>
        <v>0</v>
      </c>
      <c r="L40" s="60">
        <f t="shared" si="8"/>
        <v>2</v>
      </c>
      <c r="M40" s="60">
        <f t="shared" si="8"/>
        <v>0</v>
      </c>
      <c r="N40" s="60">
        <f t="shared" si="8"/>
        <v>0</v>
      </c>
      <c r="O40" s="60">
        <f t="shared" si="8"/>
        <v>0</v>
      </c>
      <c r="P40" s="60">
        <f t="shared" si="8"/>
        <v>0</v>
      </c>
      <c r="Q40" s="60">
        <f t="shared" si="8"/>
        <v>0</v>
      </c>
      <c r="R40" s="60">
        <f t="shared" si="8"/>
        <v>1</v>
      </c>
      <c r="S40" s="60">
        <f t="shared" si="8"/>
        <v>0</v>
      </c>
      <c r="T40" s="60">
        <f t="shared" si="8"/>
        <v>0</v>
      </c>
      <c r="U40" s="60">
        <f t="shared" si="8"/>
        <v>0</v>
      </c>
      <c r="V40" s="60">
        <f t="shared" si="8"/>
        <v>5</v>
      </c>
      <c r="W40" s="60">
        <f t="shared" si="8"/>
        <v>2</v>
      </c>
      <c r="X40" s="60">
        <f t="shared" si="8"/>
        <v>0</v>
      </c>
      <c r="Y40" s="60">
        <f t="shared" si="8"/>
        <v>0</v>
      </c>
      <c r="Z40" s="78">
        <f t="shared" si="10"/>
        <v>34</v>
      </c>
      <c r="AA40" s="66">
        <f t="shared" si="11"/>
        <v>4.1212121212121214E-2</v>
      </c>
      <c r="AB40" s="67">
        <v>0</v>
      </c>
    </row>
    <row r="41" spans="1:28" x14ac:dyDescent="0.4">
      <c r="A41" s="30" t="str">
        <f t="shared" si="9"/>
        <v>GEESE</v>
      </c>
      <c r="C41" s="60">
        <f t="shared" si="8"/>
        <v>0</v>
      </c>
      <c r="D41" s="60">
        <f t="shared" si="8"/>
        <v>0</v>
      </c>
      <c r="E41" s="60">
        <f t="shared" si="8"/>
        <v>0</v>
      </c>
      <c r="F41" s="60">
        <f t="shared" si="8"/>
        <v>0</v>
      </c>
      <c r="G41" s="60">
        <f t="shared" si="8"/>
        <v>0</v>
      </c>
      <c r="H41" s="60">
        <f t="shared" si="8"/>
        <v>2</v>
      </c>
      <c r="I41" s="60">
        <f t="shared" si="8"/>
        <v>1</v>
      </c>
      <c r="J41" s="60">
        <f t="shared" si="8"/>
        <v>0</v>
      </c>
      <c r="K41" s="60">
        <f t="shared" si="8"/>
        <v>0</v>
      </c>
      <c r="L41" s="60">
        <f t="shared" si="8"/>
        <v>1</v>
      </c>
      <c r="M41" s="60">
        <f t="shared" si="8"/>
        <v>0</v>
      </c>
      <c r="N41" s="60">
        <f t="shared" si="8"/>
        <v>0</v>
      </c>
      <c r="O41" s="60">
        <f t="shared" si="8"/>
        <v>0</v>
      </c>
      <c r="P41" s="60">
        <f t="shared" si="8"/>
        <v>0</v>
      </c>
      <c r="Q41" s="60">
        <f t="shared" si="8"/>
        <v>0</v>
      </c>
      <c r="R41" s="60">
        <f t="shared" si="8"/>
        <v>0</v>
      </c>
      <c r="S41" s="60">
        <f t="shared" si="8"/>
        <v>0</v>
      </c>
      <c r="T41" s="60">
        <f t="shared" si="8"/>
        <v>0</v>
      </c>
      <c r="U41" s="60">
        <f t="shared" si="8"/>
        <v>0</v>
      </c>
      <c r="V41" s="60">
        <f t="shared" si="8"/>
        <v>1</v>
      </c>
      <c r="W41" s="60">
        <f t="shared" si="8"/>
        <v>3</v>
      </c>
      <c r="X41" s="60">
        <f t="shared" si="8"/>
        <v>0</v>
      </c>
      <c r="Y41" s="60">
        <f t="shared" si="8"/>
        <v>0</v>
      </c>
      <c r="Z41" s="78">
        <f t="shared" si="10"/>
        <v>8</v>
      </c>
      <c r="AA41" s="66">
        <f t="shared" si="11"/>
        <v>9.696969696969697E-3</v>
      </c>
      <c r="AB41" s="67">
        <v>0</v>
      </c>
    </row>
    <row r="42" spans="1:28" x14ac:dyDescent="0.4">
      <c r="A42" s="30" t="str">
        <f t="shared" si="9"/>
        <v>MALLARD</v>
      </c>
      <c r="C42" s="60">
        <f t="shared" si="8"/>
        <v>0</v>
      </c>
      <c r="D42" s="60">
        <f t="shared" si="8"/>
        <v>0</v>
      </c>
      <c r="E42" s="60">
        <f t="shared" si="8"/>
        <v>0</v>
      </c>
      <c r="F42" s="60">
        <f t="shared" si="8"/>
        <v>4</v>
      </c>
      <c r="G42" s="60">
        <f t="shared" si="8"/>
        <v>4</v>
      </c>
      <c r="H42" s="60">
        <f t="shared" si="8"/>
        <v>4</v>
      </c>
      <c r="I42" s="60">
        <f t="shared" si="8"/>
        <v>0</v>
      </c>
      <c r="J42" s="60">
        <f t="shared" si="8"/>
        <v>0</v>
      </c>
      <c r="K42" s="60">
        <f t="shared" si="8"/>
        <v>0</v>
      </c>
      <c r="L42" s="60">
        <f t="shared" si="8"/>
        <v>0</v>
      </c>
      <c r="M42" s="60">
        <f t="shared" si="8"/>
        <v>0</v>
      </c>
      <c r="N42" s="60">
        <f t="shared" si="8"/>
        <v>0</v>
      </c>
      <c r="O42" s="60">
        <f t="shared" si="8"/>
        <v>0</v>
      </c>
      <c r="P42" s="60">
        <f t="shared" si="8"/>
        <v>0</v>
      </c>
      <c r="Q42" s="60">
        <f t="shared" si="8"/>
        <v>0</v>
      </c>
      <c r="R42" s="60">
        <f t="shared" si="8"/>
        <v>1</v>
      </c>
      <c r="S42" s="60">
        <f t="shared" si="8"/>
        <v>0</v>
      </c>
      <c r="T42" s="60">
        <f t="shared" si="8"/>
        <v>0</v>
      </c>
      <c r="U42" s="60">
        <f t="shared" si="8"/>
        <v>0</v>
      </c>
      <c r="V42" s="60">
        <f t="shared" si="8"/>
        <v>3</v>
      </c>
      <c r="W42" s="60">
        <f t="shared" si="8"/>
        <v>0</v>
      </c>
      <c r="X42" s="60">
        <f t="shared" si="8"/>
        <v>0</v>
      </c>
      <c r="Y42" s="60">
        <f t="shared" si="8"/>
        <v>0</v>
      </c>
      <c r="Z42" s="78">
        <f t="shared" si="10"/>
        <v>16</v>
      </c>
      <c r="AA42" s="66">
        <f t="shared" si="11"/>
        <v>1.9393939393939394E-2</v>
      </c>
      <c r="AB42" s="67">
        <v>0</v>
      </c>
    </row>
    <row r="43" spans="1:28" x14ac:dyDescent="0.4">
      <c r="A43" s="30" t="str">
        <f t="shared" si="9"/>
        <v>PINTAIL</v>
      </c>
      <c r="C43" s="60">
        <f t="shared" si="8"/>
        <v>1</v>
      </c>
      <c r="D43" s="60">
        <f t="shared" si="8"/>
        <v>1</v>
      </c>
      <c r="E43" s="60">
        <f t="shared" si="8"/>
        <v>1</v>
      </c>
      <c r="F43" s="60">
        <f t="shared" si="8"/>
        <v>15</v>
      </c>
      <c r="G43" s="60">
        <f t="shared" si="8"/>
        <v>2</v>
      </c>
      <c r="H43" s="60">
        <f t="shared" si="8"/>
        <v>16</v>
      </c>
      <c r="I43" s="60">
        <f t="shared" si="8"/>
        <v>2</v>
      </c>
      <c r="J43" s="60">
        <f t="shared" si="8"/>
        <v>0</v>
      </c>
      <c r="K43" s="60">
        <f t="shared" si="8"/>
        <v>3</v>
      </c>
      <c r="L43" s="60">
        <f t="shared" si="8"/>
        <v>1</v>
      </c>
      <c r="M43" s="60">
        <f t="shared" si="8"/>
        <v>1</v>
      </c>
      <c r="N43" s="60">
        <f t="shared" si="8"/>
        <v>2</v>
      </c>
      <c r="O43" s="60">
        <f t="shared" si="8"/>
        <v>0</v>
      </c>
      <c r="P43" s="60">
        <f t="shared" si="8"/>
        <v>0</v>
      </c>
      <c r="Q43" s="60">
        <f t="shared" si="8"/>
        <v>0</v>
      </c>
      <c r="R43" s="60">
        <f t="shared" si="8"/>
        <v>0</v>
      </c>
      <c r="S43" s="60">
        <f t="shared" si="8"/>
        <v>0</v>
      </c>
      <c r="T43" s="60">
        <f t="shared" si="8"/>
        <v>0</v>
      </c>
      <c r="U43" s="60">
        <f t="shared" si="8"/>
        <v>0</v>
      </c>
      <c r="V43" s="60">
        <f t="shared" si="8"/>
        <v>1</v>
      </c>
      <c r="W43" s="60">
        <f t="shared" si="8"/>
        <v>4</v>
      </c>
      <c r="X43" s="60">
        <f t="shared" si="8"/>
        <v>0</v>
      </c>
      <c r="Y43" s="60">
        <f t="shared" si="8"/>
        <v>0</v>
      </c>
      <c r="Z43" s="78">
        <f t="shared" si="10"/>
        <v>50</v>
      </c>
      <c r="AA43" s="66">
        <f t="shared" si="11"/>
        <v>6.0606060606060608E-2</v>
      </c>
      <c r="AB43" s="67">
        <v>0</v>
      </c>
    </row>
    <row r="44" spans="1:28" x14ac:dyDescent="0.4">
      <c r="A44" s="30" t="str">
        <f t="shared" si="9"/>
        <v>REDHEAD</v>
      </c>
      <c r="C44" s="60">
        <f t="shared" si="8"/>
        <v>0</v>
      </c>
      <c r="D44" s="60">
        <f t="shared" si="8"/>
        <v>0</v>
      </c>
      <c r="E44" s="60">
        <f t="shared" si="8"/>
        <v>0</v>
      </c>
      <c r="F44" s="60">
        <f t="shared" si="8"/>
        <v>1</v>
      </c>
      <c r="G44" s="60">
        <f t="shared" si="8"/>
        <v>1</v>
      </c>
      <c r="H44" s="60">
        <f t="shared" si="8"/>
        <v>0</v>
      </c>
      <c r="I44" s="60">
        <f t="shared" si="8"/>
        <v>2</v>
      </c>
      <c r="J44" s="60">
        <f t="shared" si="8"/>
        <v>0</v>
      </c>
      <c r="K44" s="60">
        <f t="shared" si="8"/>
        <v>0</v>
      </c>
      <c r="L44" s="60">
        <f t="shared" si="8"/>
        <v>1</v>
      </c>
      <c r="M44" s="60">
        <f t="shared" si="8"/>
        <v>0</v>
      </c>
      <c r="N44" s="60">
        <f t="shared" si="8"/>
        <v>0</v>
      </c>
      <c r="O44" s="60">
        <f t="shared" si="8"/>
        <v>0</v>
      </c>
      <c r="P44" s="60">
        <f t="shared" si="8"/>
        <v>0</v>
      </c>
      <c r="Q44" s="60">
        <f t="shared" si="8"/>
        <v>0</v>
      </c>
      <c r="R44" s="60">
        <f t="shared" si="8"/>
        <v>0</v>
      </c>
      <c r="S44" s="60">
        <f t="shared" si="8"/>
        <v>0</v>
      </c>
      <c r="T44" s="60">
        <f t="shared" si="8"/>
        <v>0</v>
      </c>
      <c r="U44" s="60">
        <f t="shared" si="8"/>
        <v>0</v>
      </c>
      <c r="V44" s="60">
        <f t="shared" si="8"/>
        <v>0</v>
      </c>
      <c r="W44" s="60">
        <f t="shared" si="8"/>
        <v>0</v>
      </c>
      <c r="X44" s="60">
        <f t="shared" si="8"/>
        <v>0</v>
      </c>
      <c r="Y44" s="60">
        <f t="shared" si="8"/>
        <v>0</v>
      </c>
      <c r="Z44" s="78">
        <f t="shared" si="10"/>
        <v>5</v>
      </c>
      <c r="AA44" s="66">
        <f t="shared" si="11"/>
        <v>6.0606060606060606E-3</v>
      </c>
      <c r="AB44" s="67">
        <v>0</v>
      </c>
    </row>
    <row r="45" spans="1:28" x14ac:dyDescent="0.4">
      <c r="A45" s="30" t="str">
        <f t="shared" si="9"/>
        <v>RINGNECK</v>
      </c>
      <c r="C45" s="60">
        <f t="shared" si="8"/>
        <v>0</v>
      </c>
      <c r="D45" s="60">
        <f t="shared" si="8"/>
        <v>0</v>
      </c>
      <c r="E45" s="60">
        <f t="shared" si="8"/>
        <v>0</v>
      </c>
      <c r="F45" s="60">
        <f t="shared" si="8"/>
        <v>0</v>
      </c>
      <c r="G45" s="60">
        <f t="shared" si="8"/>
        <v>0</v>
      </c>
      <c r="H45" s="60">
        <f t="shared" si="8"/>
        <v>0</v>
      </c>
      <c r="I45" s="60">
        <f t="shared" si="8"/>
        <v>0</v>
      </c>
      <c r="J45" s="60">
        <f t="shared" si="8"/>
        <v>0</v>
      </c>
      <c r="K45" s="60">
        <f t="shared" si="8"/>
        <v>1</v>
      </c>
      <c r="L45" s="60">
        <f t="shared" si="8"/>
        <v>0</v>
      </c>
      <c r="M45" s="60">
        <f t="shared" si="8"/>
        <v>0</v>
      </c>
      <c r="N45" s="60">
        <f t="shared" si="8"/>
        <v>0</v>
      </c>
      <c r="O45" s="60">
        <f t="shared" si="8"/>
        <v>0</v>
      </c>
      <c r="P45" s="60">
        <f t="shared" si="8"/>
        <v>0</v>
      </c>
      <c r="Q45" s="60">
        <f t="shared" si="8"/>
        <v>0</v>
      </c>
      <c r="R45" s="60">
        <f t="shared" si="8"/>
        <v>1</v>
      </c>
      <c r="S45" s="60">
        <f t="shared" si="8"/>
        <v>0</v>
      </c>
      <c r="T45" s="60">
        <f t="shared" si="8"/>
        <v>0</v>
      </c>
      <c r="U45" s="60">
        <f t="shared" si="8"/>
        <v>0</v>
      </c>
      <c r="V45" s="60">
        <f t="shared" si="8"/>
        <v>0</v>
      </c>
      <c r="W45" s="60">
        <f t="shared" si="8"/>
        <v>0</v>
      </c>
      <c r="X45" s="60">
        <f t="shared" si="8"/>
        <v>0</v>
      </c>
      <c r="Y45" s="60">
        <f t="shared" si="8"/>
        <v>0</v>
      </c>
      <c r="Z45" s="78">
        <f t="shared" si="10"/>
        <v>2</v>
      </c>
      <c r="AA45" s="66">
        <f t="shared" si="11"/>
        <v>2.4242424242424242E-3</v>
      </c>
      <c r="AB45" s="67">
        <v>0</v>
      </c>
    </row>
    <row r="46" spans="1:28" x14ac:dyDescent="0.4">
      <c r="A46" s="30" t="str">
        <f t="shared" si="9"/>
        <v>B'HEAD</v>
      </c>
      <c r="C46" s="60">
        <f t="shared" si="8"/>
        <v>0</v>
      </c>
      <c r="D46" s="60">
        <f t="shared" si="8"/>
        <v>0</v>
      </c>
      <c r="E46" s="60">
        <f t="shared" si="8"/>
        <v>0</v>
      </c>
      <c r="F46" s="60">
        <f t="shared" si="8"/>
        <v>0</v>
      </c>
      <c r="G46" s="60">
        <f t="shared" si="8"/>
        <v>1</v>
      </c>
      <c r="H46" s="60">
        <f t="shared" si="8"/>
        <v>1</v>
      </c>
      <c r="I46" s="60">
        <f t="shared" si="8"/>
        <v>2</v>
      </c>
      <c r="J46" s="60">
        <f t="shared" si="8"/>
        <v>0</v>
      </c>
      <c r="K46" s="60">
        <f t="shared" si="8"/>
        <v>0</v>
      </c>
      <c r="L46" s="60">
        <f t="shared" si="8"/>
        <v>0</v>
      </c>
      <c r="M46" s="60">
        <f t="shared" si="8"/>
        <v>0</v>
      </c>
      <c r="N46" s="60">
        <f t="shared" si="8"/>
        <v>0</v>
      </c>
      <c r="O46" s="60">
        <f t="shared" si="8"/>
        <v>0</v>
      </c>
      <c r="P46" s="60">
        <f t="shared" si="8"/>
        <v>0</v>
      </c>
      <c r="Q46" s="60">
        <f t="shared" si="8"/>
        <v>0</v>
      </c>
      <c r="R46" s="60">
        <f t="shared" si="8"/>
        <v>0</v>
      </c>
      <c r="S46" s="60">
        <f t="shared" si="8"/>
        <v>0</v>
      </c>
      <c r="T46" s="60">
        <f t="shared" si="8"/>
        <v>0</v>
      </c>
      <c r="U46" s="60">
        <f t="shared" si="8"/>
        <v>0</v>
      </c>
      <c r="V46" s="60">
        <f t="shared" si="8"/>
        <v>0</v>
      </c>
      <c r="W46" s="60">
        <f t="shared" si="8"/>
        <v>1</v>
      </c>
      <c r="X46" s="60">
        <f t="shared" si="8"/>
        <v>0</v>
      </c>
      <c r="Y46" s="60">
        <f t="shared" si="8"/>
        <v>0</v>
      </c>
      <c r="Z46" s="78">
        <f t="shared" si="10"/>
        <v>5</v>
      </c>
      <c r="AA46" s="66">
        <f t="shared" si="11"/>
        <v>6.0606060606060606E-3</v>
      </c>
      <c r="AB46" s="67">
        <v>0</v>
      </c>
    </row>
    <row r="47" spans="1:28" x14ac:dyDescent="0.4">
      <c r="A47" s="30" t="str">
        <f t="shared" si="9"/>
        <v>SPOONY</v>
      </c>
      <c r="C47" s="60">
        <f t="shared" si="8"/>
        <v>15</v>
      </c>
      <c r="D47" s="60">
        <f t="shared" si="8"/>
        <v>2</v>
      </c>
      <c r="E47" s="60">
        <f t="shared" si="8"/>
        <v>2</v>
      </c>
      <c r="F47" s="60">
        <f t="shared" si="8"/>
        <v>35</v>
      </c>
      <c r="G47" s="60">
        <f t="shared" si="8"/>
        <v>23</v>
      </c>
      <c r="H47" s="60">
        <f t="shared" si="8"/>
        <v>65</v>
      </c>
      <c r="I47" s="60">
        <f t="shared" si="8"/>
        <v>41</v>
      </c>
      <c r="J47" s="60">
        <f t="shared" si="8"/>
        <v>1</v>
      </c>
      <c r="K47" s="60">
        <f t="shared" si="8"/>
        <v>3</v>
      </c>
      <c r="L47" s="60">
        <f t="shared" si="8"/>
        <v>9</v>
      </c>
      <c r="M47" s="60">
        <f t="shared" si="8"/>
        <v>3</v>
      </c>
      <c r="N47" s="60">
        <f t="shared" si="8"/>
        <v>0</v>
      </c>
      <c r="O47" s="60">
        <f t="shared" si="8"/>
        <v>1</v>
      </c>
      <c r="P47" s="60">
        <f t="shared" si="8"/>
        <v>0</v>
      </c>
      <c r="Q47" s="60">
        <f t="shared" si="8"/>
        <v>0</v>
      </c>
      <c r="R47" s="60">
        <f t="shared" si="8"/>
        <v>9</v>
      </c>
      <c r="S47" s="60">
        <f t="shared" si="8"/>
        <v>0</v>
      </c>
      <c r="T47" s="60">
        <f t="shared" si="8"/>
        <v>0</v>
      </c>
      <c r="U47" s="60">
        <f t="shared" si="8"/>
        <v>0</v>
      </c>
      <c r="V47" s="60">
        <f t="shared" si="8"/>
        <v>11</v>
      </c>
      <c r="W47" s="60">
        <f t="shared" si="8"/>
        <v>53</v>
      </c>
      <c r="X47" s="60">
        <f t="shared" si="8"/>
        <v>0</v>
      </c>
      <c r="Y47" s="60">
        <f t="shared" si="8"/>
        <v>4</v>
      </c>
      <c r="Z47" s="78">
        <f t="shared" si="10"/>
        <v>277</v>
      </c>
      <c r="AA47" s="66">
        <f t="shared" si="11"/>
        <v>0.33575757575757575</v>
      </c>
      <c r="AB47" s="67">
        <v>0</v>
      </c>
    </row>
    <row r="48" spans="1:28" x14ac:dyDescent="0.4">
      <c r="A48" s="30" t="str">
        <f t="shared" si="9"/>
        <v>TEAL</v>
      </c>
      <c r="C48" s="60">
        <f t="shared" si="8"/>
        <v>26</v>
      </c>
      <c r="D48" s="60">
        <f t="shared" si="8"/>
        <v>8</v>
      </c>
      <c r="E48" s="60">
        <f t="shared" si="8"/>
        <v>10</v>
      </c>
      <c r="F48" s="60">
        <f t="shared" si="8"/>
        <v>62</v>
      </c>
      <c r="G48" s="60">
        <f t="shared" si="8"/>
        <v>33</v>
      </c>
      <c r="H48" s="60">
        <f t="shared" si="8"/>
        <v>71</v>
      </c>
      <c r="I48" s="60">
        <f t="shared" si="8"/>
        <v>67</v>
      </c>
      <c r="J48" s="60">
        <f t="shared" si="8"/>
        <v>0</v>
      </c>
      <c r="K48" s="60">
        <f t="shared" si="8"/>
        <v>6</v>
      </c>
      <c r="L48" s="60">
        <f t="shared" si="8"/>
        <v>12</v>
      </c>
      <c r="M48" s="60">
        <f t="shared" si="8"/>
        <v>17</v>
      </c>
      <c r="N48" s="60">
        <f t="shared" si="8"/>
        <v>5</v>
      </c>
      <c r="O48" s="60">
        <f t="shared" si="8"/>
        <v>0</v>
      </c>
      <c r="P48" s="60">
        <f t="shared" si="8"/>
        <v>0</v>
      </c>
      <c r="Q48" s="60">
        <f t="shared" si="8"/>
        <v>0</v>
      </c>
      <c r="R48" s="60">
        <f t="shared" si="8"/>
        <v>6</v>
      </c>
      <c r="S48" s="60">
        <f t="shared" si="8"/>
        <v>0</v>
      </c>
      <c r="T48" s="60">
        <f t="shared" si="8"/>
        <v>0</v>
      </c>
      <c r="U48" s="60">
        <f t="shared" si="8"/>
        <v>0</v>
      </c>
      <c r="V48" s="60">
        <f t="shared" si="8"/>
        <v>5</v>
      </c>
      <c r="W48" s="60">
        <f t="shared" si="8"/>
        <v>20</v>
      </c>
      <c r="X48" s="60">
        <f t="shared" si="8"/>
        <v>0</v>
      </c>
      <c r="Y48" s="60">
        <f t="shared" si="8"/>
        <v>0</v>
      </c>
      <c r="Z48" s="78">
        <f t="shared" si="10"/>
        <v>348</v>
      </c>
      <c r="AA48" s="66">
        <f t="shared" si="11"/>
        <v>0.42181818181818181</v>
      </c>
      <c r="AB48" s="67">
        <v>0</v>
      </c>
    </row>
    <row r="49" spans="1:28" x14ac:dyDescent="0.4">
      <c r="A49" s="30" t="str">
        <f t="shared" si="9"/>
        <v>WIDGEON</v>
      </c>
      <c r="C49" s="60">
        <f t="shared" si="8"/>
        <v>2</v>
      </c>
      <c r="D49" s="60">
        <f t="shared" si="8"/>
        <v>2</v>
      </c>
      <c r="E49" s="60">
        <f t="shared" ref="C49:Y51" si="12">E14+E31</f>
        <v>2</v>
      </c>
      <c r="F49" s="60">
        <f t="shared" si="12"/>
        <v>4</v>
      </c>
      <c r="G49" s="60">
        <f t="shared" si="12"/>
        <v>1</v>
      </c>
      <c r="H49" s="60">
        <f t="shared" si="12"/>
        <v>8</v>
      </c>
      <c r="I49" s="60">
        <f t="shared" si="12"/>
        <v>11</v>
      </c>
      <c r="J49" s="60">
        <f t="shared" si="12"/>
        <v>0</v>
      </c>
      <c r="K49" s="60">
        <f t="shared" si="12"/>
        <v>3</v>
      </c>
      <c r="L49" s="60">
        <f t="shared" si="12"/>
        <v>4</v>
      </c>
      <c r="M49" s="60">
        <f t="shared" si="12"/>
        <v>0</v>
      </c>
      <c r="N49" s="60">
        <f t="shared" si="12"/>
        <v>3</v>
      </c>
      <c r="O49" s="60">
        <f t="shared" si="12"/>
        <v>1</v>
      </c>
      <c r="P49" s="60">
        <f t="shared" si="12"/>
        <v>0</v>
      </c>
      <c r="Q49" s="60">
        <f t="shared" si="12"/>
        <v>0</v>
      </c>
      <c r="R49" s="60">
        <f t="shared" si="12"/>
        <v>2</v>
      </c>
      <c r="S49" s="60">
        <f t="shared" si="12"/>
        <v>0</v>
      </c>
      <c r="T49" s="60">
        <f t="shared" si="12"/>
        <v>0</v>
      </c>
      <c r="U49" s="60">
        <f t="shared" si="12"/>
        <v>0</v>
      </c>
      <c r="V49" s="60">
        <f t="shared" si="12"/>
        <v>10</v>
      </c>
      <c r="W49" s="60">
        <f t="shared" si="12"/>
        <v>7</v>
      </c>
      <c r="X49" s="60">
        <f t="shared" si="12"/>
        <v>0</v>
      </c>
      <c r="Y49" s="60">
        <f t="shared" si="12"/>
        <v>0</v>
      </c>
      <c r="Z49" s="78">
        <f t="shared" si="10"/>
        <v>60</v>
      </c>
      <c r="AA49" s="66">
        <f t="shared" si="11"/>
        <v>7.2727272727272724E-2</v>
      </c>
      <c r="AB49" s="67">
        <v>0</v>
      </c>
    </row>
    <row r="50" spans="1:28" x14ac:dyDescent="0.4">
      <c r="A50" s="30" t="str">
        <f t="shared" si="9"/>
        <v>SCAUP</v>
      </c>
      <c r="C50" s="60">
        <f t="shared" si="12"/>
        <v>0</v>
      </c>
      <c r="D50" s="60">
        <f t="shared" si="12"/>
        <v>0</v>
      </c>
      <c r="E50" s="60">
        <f t="shared" si="12"/>
        <v>0</v>
      </c>
      <c r="F50" s="60">
        <f t="shared" si="12"/>
        <v>0</v>
      </c>
      <c r="G50" s="60">
        <f t="shared" si="12"/>
        <v>0</v>
      </c>
      <c r="H50" s="60">
        <f t="shared" si="12"/>
        <v>0</v>
      </c>
      <c r="I50" s="60">
        <f t="shared" si="12"/>
        <v>0</v>
      </c>
      <c r="J50" s="60">
        <f t="shared" si="12"/>
        <v>0</v>
      </c>
      <c r="K50" s="60">
        <f t="shared" si="12"/>
        <v>0</v>
      </c>
      <c r="L50" s="60">
        <f t="shared" si="12"/>
        <v>0</v>
      </c>
      <c r="M50" s="60">
        <f t="shared" si="12"/>
        <v>0</v>
      </c>
      <c r="N50" s="60">
        <f t="shared" si="12"/>
        <v>0</v>
      </c>
      <c r="O50" s="60">
        <f t="shared" si="12"/>
        <v>0</v>
      </c>
      <c r="P50" s="60">
        <f t="shared" si="12"/>
        <v>0</v>
      </c>
      <c r="Q50" s="60">
        <f t="shared" si="12"/>
        <v>0</v>
      </c>
      <c r="R50" s="60">
        <f t="shared" si="12"/>
        <v>0</v>
      </c>
      <c r="S50" s="60">
        <f t="shared" si="12"/>
        <v>0</v>
      </c>
      <c r="T50" s="60">
        <f t="shared" si="12"/>
        <v>0</v>
      </c>
      <c r="U50" s="60">
        <f t="shared" si="12"/>
        <v>0</v>
      </c>
      <c r="V50" s="60">
        <f t="shared" si="12"/>
        <v>0</v>
      </c>
      <c r="W50" s="60">
        <f t="shared" si="12"/>
        <v>0</v>
      </c>
      <c r="X50" s="60">
        <f>X15+X32</f>
        <v>0</v>
      </c>
      <c r="Y50" s="60">
        <f>Y15+Y32</f>
        <v>0</v>
      </c>
      <c r="Z50" s="78">
        <f t="shared" si="10"/>
        <v>0</v>
      </c>
      <c r="AA50" s="66">
        <f t="shared" si="11"/>
        <v>0</v>
      </c>
      <c r="AB50" s="67">
        <v>0</v>
      </c>
    </row>
    <row r="51" spans="1:28" ht="13" thickBot="1" x14ac:dyDescent="0.45">
      <c r="A51" s="30" t="s">
        <v>58</v>
      </c>
      <c r="C51" s="62">
        <f t="shared" si="12"/>
        <v>0</v>
      </c>
      <c r="D51" s="62">
        <f t="shared" si="12"/>
        <v>0</v>
      </c>
      <c r="E51" s="62">
        <f t="shared" si="12"/>
        <v>0</v>
      </c>
      <c r="F51" s="62">
        <f t="shared" si="12"/>
        <v>0</v>
      </c>
      <c r="G51" s="62">
        <f t="shared" si="12"/>
        <v>0</v>
      </c>
      <c r="H51" s="62">
        <f t="shared" si="12"/>
        <v>0</v>
      </c>
      <c r="I51" s="62">
        <f t="shared" si="12"/>
        <v>0</v>
      </c>
      <c r="J51" s="62">
        <f t="shared" si="12"/>
        <v>0</v>
      </c>
      <c r="K51" s="62">
        <f t="shared" si="12"/>
        <v>0</v>
      </c>
      <c r="L51" s="62">
        <f t="shared" si="12"/>
        <v>1</v>
      </c>
      <c r="M51" s="62">
        <f t="shared" si="12"/>
        <v>0</v>
      </c>
      <c r="N51" s="62">
        <f t="shared" si="12"/>
        <v>0</v>
      </c>
      <c r="O51" s="62">
        <f t="shared" si="12"/>
        <v>0</v>
      </c>
      <c r="P51" s="62">
        <f t="shared" si="12"/>
        <v>0</v>
      </c>
      <c r="Q51" s="62">
        <f t="shared" si="12"/>
        <v>0</v>
      </c>
      <c r="R51" s="62">
        <f t="shared" si="12"/>
        <v>0</v>
      </c>
      <c r="S51" s="62">
        <f t="shared" si="12"/>
        <v>0</v>
      </c>
      <c r="T51" s="62">
        <f t="shared" si="12"/>
        <v>0</v>
      </c>
      <c r="U51" s="62">
        <f t="shared" si="12"/>
        <v>0</v>
      </c>
      <c r="V51" s="62">
        <f>V16+V33</f>
        <v>0</v>
      </c>
      <c r="W51" s="62">
        <f>W16+W33</f>
        <v>0</v>
      </c>
      <c r="X51" s="62">
        <f>X16+X33</f>
        <v>0</v>
      </c>
      <c r="Y51" s="62">
        <f>Y16+Y33</f>
        <v>0</v>
      </c>
      <c r="Z51" s="68">
        <f t="shared" si="10"/>
        <v>1</v>
      </c>
      <c r="AA51" s="69">
        <f t="shared" si="11"/>
        <v>1.2121212121212121E-3</v>
      </c>
      <c r="AB51" s="70">
        <v>0</v>
      </c>
    </row>
    <row r="52" spans="1:28" x14ac:dyDescent="0.4">
      <c r="A52" s="30" t="s">
        <v>25</v>
      </c>
      <c r="C52" s="60">
        <f>0+SUM(C38:C51)</f>
        <v>47</v>
      </c>
      <c r="D52" s="60">
        <f t="shared" ref="D52:U52" si="13">0+SUM(D38:D51)</f>
        <v>15</v>
      </c>
      <c r="E52" s="60">
        <f t="shared" si="13"/>
        <v>15</v>
      </c>
      <c r="F52" s="60">
        <f t="shared" si="13"/>
        <v>129</v>
      </c>
      <c r="G52" s="60">
        <f t="shared" si="13"/>
        <v>66</v>
      </c>
      <c r="H52" s="60">
        <f t="shared" si="13"/>
        <v>178</v>
      </c>
      <c r="I52" s="60">
        <f t="shared" si="13"/>
        <v>134</v>
      </c>
      <c r="J52" s="60">
        <f t="shared" si="13"/>
        <v>2</v>
      </c>
      <c r="K52" s="60">
        <f t="shared" si="13"/>
        <v>17</v>
      </c>
      <c r="L52" s="60">
        <f t="shared" si="13"/>
        <v>32</v>
      </c>
      <c r="M52" s="60">
        <f t="shared" si="13"/>
        <v>21</v>
      </c>
      <c r="N52" s="60">
        <f t="shared" si="13"/>
        <v>10</v>
      </c>
      <c r="O52" s="60">
        <f t="shared" si="13"/>
        <v>2</v>
      </c>
      <c r="P52" s="60">
        <f t="shared" si="13"/>
        <v>0</v>
      </c>
      <c r="Q52" s="60">
        <f t="shared" si="13"/>
        <v>0</v>
      </c>
      <c r="R52" s="60">
        <f t="shared" si="13"/>
        <v>22</v>
      </c>
      <c r="S52" s="60">
        <f t="shared" si="13"/>
        <v>0</v>
      </c>
      <c r="T52" s="60">
        <f t="shared" si="13"/>
        <v>0</v>
      </c>
      <c r="U52" s="60">
        <f t="shared" si="13"/>
        <v>0</v>
      </c>
      <c r="V52" s="60">
        <f>0+SUM(V38:V51)</f>
        <v>37</v>
      </c>
      <c r="W52" s="60">
        <f>0+SUM(W38:W51)</f>
        <v>94</v>
      </c>
      <c r="X52" s="60">
        <f>SUM(X17,X34)</f>
        <v>0</v>
      </c>
      <c r="Y52" s="60">
        <f>0+SUM(Y38:Y51)</f>
        <v>4</v>
      </c>
      <c r="Z52" s="30">
        <f>SUM(Z38:Z51)</f>
        <v>825</v>
      </c>
      <c r="AB52" s="71"/>
    </row>
    <row r="53" spans="1:28" x14ac:dyDescent="0.4">
      <c r="A53" s="30" t="s">
        <v>48</v>
      </c>
      <c r="C53" s="72">
        <f t="shared" ref="C53:U53" si="14">C52/$Z$52</f>
        <v>5.6969696969696969E-2</v>
      </c>
      <c r="D53" s="72">
        <f t="shared" si="14"/>
        <v>1.8181818181818181E-2</v>
      </c>
      <c r="E53" s="72">
        <f t="shared" si="14"/>
        <v>1.8181818181818181E-2</v>
      </c>
      <c r="F53" s="72">
        <f t="shared" si="14"/>
        <v>0.15636363636363637</v>
      </c>
      <c r="G53" s="72">
        <f t="shared" si="14"/>
        <v>0.08</v>
      </c>
      <c r="H53" s="72">
        <f t="shared" si="14"/>
        <v>0.21575757575757576</v>
      </c>
      <c r="I53" s="72">
        <f t="shared" si="14"/>
        <v>0.16242424242424242</v>
      </c>
      <c r="J53" s="72">
        <f t="shared" si="14"/>
        <v>2.4242424242424242E-3</v>
      </c>
      <c r="K53" s="72">
        <f t="shared" si="14"/>
        <v>2.0606060606060607E-2</v>
      </c>
      <c r="L53" s="72">
        <f t="shared" si="14"/>
        <v>3.8787878787878788E-2</v>
      </c>
      <c r="M53" s="72">
        <f t="shared" si="14"/>
        <v>2.5454545454545455E-2</v>
      </c>
      <c r="N53" s="72">
        <f t="shared" si="14"/>
        <v>1.2121212121212121E-2</v>
      </c>
      <c r="O53" s="72">
        <f t="shared" si="14"/>
        <v>2.4242424242424242E-3</v>
      </c>
      <c r="P53" s="72">
        <f t="shared" si="14"/>
        <v>0</v>
      </c>
      <c r="Q53" s="72">
        <f t="shared" si="14"/>
        <v>0</v>
      </c>
      <c r="R53" s="72">
        <f t="shared" si="14"/>
        <v>2.6666666666666668E-2</v>
      </c>
      <c r="S53" s="72">
        <f t="shared" si="14"/>
        <v>0</v>
      </c>
      <c r="T53" s="72">
        <f t="shared" si="14"/>
        <v>0</v>
      </c>
      <c r="U53" s="72">
        <f t="shared" si="14"/>
        <v>0</v>
      </c>
      <c r="V53" s="72">
        <f>V52/$Z$52</f>
        <v>4.4848484848484846E-2</v>
      </c>
      <c r="W53" s="72">
        <f>W52/$Z$52</f>
        <v>0.11393939393939394</v>
      </c>
      <c r="X53" s="72">
        <f>X52/$Z$52</f>
        <v>0</v>
      </c>
      <c r="Y53" s="72">
        <f>Y52/$Z$52</f>
        <v>4.8484848484848485E-3</v>
      </c>
    </row>
    <row r="54" spans="1:28" x14ac:dyDescent="0.4">
      <c r="A54" s="5" t="s">
        <v>47</v>
      </c>
    </row>
    <row r="55" spans="1:28" x14ac:dyDescent="0.4">
      <c r="A55" s="30" t="s">
        <v>40</v>
      </c>
      <c r="C55" s="80">
        <v>152</v>
      </c>
      <c r="D55" s="73"/>
      <c r="N55" s="60">
        <f>SUM(O52:Y52)</f>
        <v>159</v>
      </c>
    </row>
    <row r="56" spans="1:28" x14ac:dyDescent="0.4">
      <c r="A56" s="30" t="s">
        <v>41</v>
      </c>
      <c r="C56" s="60">
        <v>1.58</v>
      </c>
      <c r="D56" s="74"/>
    </row>
    <row r="57" spans="1:28" x14ac:dyDescent="0.4">
      <c r="A57" s="30" t="s">
        <v>42</v>
      </c>
      <c r="C57" s="80">
        <v>155</v>
      </c>
      <c r="D57" s="73"/>
    </row>
    <row r="58" spans="1:28" x14ac:dyDescent="0.4">
      <c r="A58" s="30" t="s">
        <v>43</v>
      </c>
      <c r="C58" s="60">
        <v>3.78</v>
      </c>
      <c r="D58" s="74"/>
      <c r="F58" s="29" t="s">
        <v>62</v>
      </c>
    </row>
    <row r="59" spans="1:28" x14ac:dyDescent="0.4">
      <c r="A59" s="30" t="s">
        <v>44</v>
      </c>
      <c r="C59" s="80">
        <v>307</v>
      </c>
      <c r="D59" s="73"/>
      <c r="F59" s="74"/>
      <c r="J59" s="76" t="s">
        <v>86</v>
      </c>
      <c r="L59" s="80">
        <v>0</v>
      </c>
    </row>
    <row r="60" spans="1:28" x14ac:dyDescent="0.4">
      <c r="A60" s="30" t="s">
        <v>45</v>
      </c>
      <c r="C60" s="60">
        <v>2.69</v>
      </c>
      <c r="D60" s="74"/>
      <c r="F60" s="74"/>
      <c r="G60" s="64" t="s">
        <v>77</v>
      </c>
      <c r="J60" s="76" t="s">
        <v>82</v>
      </c>
      <c r="L60" s="74">
        <v>0</v>
      </c>
    </row>
    <row r="61" spans="1:28" x14ac:dyDescent="0.4">
      <c r="A61" s="30" t="s">
        <v>46</v>
      </c>
      <c r="D61" s="75"/>
      <c r="F61" s="74"/>
      <c r="G61" s="64" t="s">
        <v>64</v>
      </c>
    </row>
    <row r="62" spans="1:28" x14ac:dyDescent="0.4">
      <c r="A62" s="5" t="s">
        <v>49</v>
      </c>
      <c r="D62" s="7"/>
    </row>
    <row r="67" spans="1:4" x14ac:dyDescent="0.4">
      <c r="A67" s="5" t="s">
        <v>56</v>
      </c>
      <c r="D67" s="7"/>
    </row>
    <row r="68" spans="1:4" x14ac:dyDescent="0.4">
      <c r="A68" s="30" t="s">
        <v>113</v>
      </c>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H71"/>
  <sheetViews>
    <sheetView zoomScale="60" zoomScaleNormal="60" workbookViewId="0"/>
  </sheetViews>
  <sheetFormatPr defaultRowHeight="12.7" x14ac:dyDescent="0.4"/>
  <cols>
    <col min="1" max="1" width="18.87890625" customWidth="1"/>
    <col min="2" max="2" width="4.29296875" customWidth="1"/>
    <col min="3" max="31" width="7.87890625" customWidth="1"/>
    <col min="32" max="32" width="8.29296875" customWidth="1"/>
    <col min="33" max="33" width="7.87890625" customWidth="1"/>
  </cols>
  <sheetData>
    <row r="1" spans="1:34" ht="13" thickBot="1" x14ac:dyDescent="0.45">
      <c r="A1" s="5" t="s">
        <v>106</v>
      </c>
      <c r="B1" s="30"/>
      <c r="C1" s="81" t="s">
        <v>120</v>
      </c>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30"/>
      <c r="AF1" s="30"/>
      <c r="AG1" s="30"/>
      <c r="AH1" s="30"/>
    </row>
    <row r="2" spans="1:34"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30"/>
      <c r="AG2" s="30"/>
      <c r="AH2" s="30"/>
    </row>
    <row r="3" spans="1:34" ht="13" thickBot="1" x14ac:dyDescent="0.45">
      <c r="A3" s="30" t="s">
        <v>34</v>
      </c>
      <c r="B3" s="30"/>
      <c r="C3" s="60"/>
      <c r="D3" s="60"/>
      <c r="E3" s="60"/>
      <c r="F3" s="60"/>
      <c r="G3" s="60"/>
      <c r="H3" s="60"/>
      <c r="I3" s="60"/>
      <c r="J3" s="60"/>
      <c r="K3" s="60"/>
      <c r="L3" s="60"/>
      <c r="M3" s="60"/>
      <c r="N3" s="60">
        <v>4</v>
      </c>
      <c r="O3" s="60"/>
      <c r="P3" s="60"/>
      <c r="Q3" s="60"/>
      <c r="R3" s="60"/>
      <c r="S3" s="60"/>
      <c r="T3" s="60"/>
      <c r="U3" s="60"/>
      <c r="V3" s="60"/>
      <c r="W3" s="60"/>
      <c r="X3" s="60"/>
      <c r="Y3" s="60"/>
      <c r="Z3" s="60"/>
      <c r="AA3" s="60"/>
      <c r="AB3" s="60"/>
      <c r="AC3" s="60"/>
      <c r="AD3" s="60"/>
      <c r="AE3" s="77">
        <f>SUM(C3:AD3)</f>
        <v>4</v>
      </c>
      <c r="AF3" s="30"/>
      <c r="AG3" s="30"/>
      <c r="AH3" s="30"/>
    </row>
    <row r="4" spans="1:34" ht="13" thickBot="1" x14ac:dyDescent="0.45">
      <c r="A4" s="30" t="s">
        <v>35</v>
      </c>
      <c r="B4" s="30"/>
      <c r="C4" s="60"/>
      <c r="D4" s="60"/>
      <c r="E4" s="60">
        <v>1</v>
      </c>
      <c r="F4" s="60">
        <v>2</v>
      </c>
      <c r="G4" s="60">
        <v>1</v>
      </c>
      <c r="H4" s="60">
        <v>2</v>
      </c>
      <c r="I4" s="60"/>
      <c r="J4" s="60"/>
      <c r="K4" s="60">
        <v>4</v>
      </c>
      <c r="L4" s="60"/>
      <c r="M4" s="60"/>
      <c r="N4" s="60">
        <v>1</v>
      </c>
      <c r="O4" s="60"/>
      <c r="P4" s="60"/>
      <c r="Q4" s="60"/>
      <c r="R4" s="60"/>
      <c r="S4" s="60"/>
      <c r="T4" s="60"/>
      <c r="U4" s="60"/>
      <c r="V4" s="60"/>
      <c r="W4" s="60">
        <v>1</v>
      </c>
      <c r="X4" s="60"/>
      <c r="Y4" s="60"/>
      <c r="Z4" s="60"/>
      <c r="AA4" s="60"/>
      <c r="AB4" s="60"/>
      <c r="AC4" s="60"/>
      <c r="AD4" s="60"/>
      <c r="AE4" s="77">
        <f t="shared" ref="AE4:AE16" si="0">SUM(C4:AD4)</f>
        <v>12</v>
      </c>
      <c r="AF4" s="30"/>
      <c r="AG4" s="30"/>
      <c r="AH4" s="30"/>
    </row>
    <row r="5" spans="1:34" ht="13" thickBot="1" x14ac:dyDescent="0.45">
      <c r="A5" s="30" t="s">
        <v>16</v>
      </c>
      <c r="B5" s="30"/>
      <c r="C5" s="60"/>
      <c r="D5" s="60">
        <v>1</v>
      </c>
      <c r="E5" s="60"/>
      <c r="F5" s="60">
        <v>3</v>
      </c>
      <c r="G5" s="60">
        <v>2</v>
      </c>
      <c r="H5" s="60">
        <v>9</v>
      </c>
      <c r="I5" s="60">
        <v>1</v>
      </c>
      <c r="J5" s="60"/>
      <c r="K5" s="60">
        <v>5</v>
      </c>
      <c r="L5" s="60">
        <v>1</v>
      </c>
      <c r="M5" s="60"/>
      <c r="N5" s="60">
        <v>5</v>
      </c>
      <c r="O5" s="60"/>
      <c r="P5" s="60"/>
      <c r="Q5" s="60"/>
      <c r="R5" s="60"/>
      <c r="S5" s="60"/>
      <c r="T5" s="60"/>
      <c r="U5" s="60"/>
      <c r="V5" s="60"/>
      <c r="W5" s="60">
        <v>1</v>
      </c>
      <c r="X5" s="60"/>
      <c r="Y5" s="60"/>
      <c r="Z5" s="60"/>
      <c r="AA5" s="60"/>
      <c r="AB5" s="60"/>
      <c r="AC5" s="60"/>
      <c r="AD5" s="60"/>
      <c r="AE5" s="77">
        <f t="shared" si="0"/>
        <v>28</v>
      </c>
      <c r="AF5" s="30"/>
      <c r="AG5" s="30"/>
      <c r="AH5" s="30"/>
    </row>
    <row r="6" spans="1:34" ht="13" thickBot="1" x14ac:dyDescent="0.45">
      <c r="A6" s="30" t="s">
        <v>29</v>
      </c>
      <c r="B6" s="30"/>
      <c r="C6" s="60"/>
      <c r="D6" s="60"/>
      <c r="E6" s="60"/>
      <c r="F6" s="60"/>
      <c r="G6" s="60">
        <v>2</v>
      </c>
      <c r="H6" s="60"/>
      <c r="I6" s="60"/>
      <c r="J6" s="60"/>
      <c r="K6" s="60">
        <v>1</v>
      </c>
      <c r="L6" s="60"/>
      <c r="M6" s="60"/>
      <c r="N6" s="60"/>
      <c r="O6" s="60"/>
      <c r="P6" s="60"/>
      <c r="Q6" s="60"/>
      <c r="R6" s="60">
        <v>2</v>
      </c>
      <c r="S6" s="60"/>
      <c r="T6" s="60"/>
      <c r="U6" s="60"/>
      <c r="V6" s="60"/>
      <c r="W6" s="60">
        <v>1</v>
      </c>
      <c r="X6" s="60"/>
      <c r="Y6" s="60"/>
      <c r="Z6" s="60"/>
      <c r="AA6" s="60"/>
      <c r="AB6" s="60"/>
      <c r="AC6" s="60"/>
      <c r="AD6" s="60"/>
      <c r="AE6" s="77">
        <f t="shared" si="0"/>
        <v>6</v>
      </c>
      <c r="AF6" s="30"/>
      <c r="AG6" s="30"/>
      <c r="AH6" s="30"/>
    </row>
    <row r="7" spans="1:34" ht="13" thickBot="1" x14ac:dyDescent="0.45">
      <c r="A7" s="30" t="s">
        <v>18</v>
      </c>
      <c r="B7" s="30"/>
      <c r="C7" s="60"/>
      <c r="D7" s="60"/>
      <c r="E7" s="60">
        <v>1</v>
      </c>
      <c r="F7" s="60">
        <v>2</v>
      </c>
      <c r="G7" s="60">
        <v>2</v>
      </c>
      <c r="H7" s="60">
        <v>1</v>
      </c>
      <c r="I7" s="60">
        <v>2</v>
      </c>
      <c r="J7" s="60"/>
      <c r="K7" s="60"/>
      <c r="L7" s="60"/>
      <c r="M7" s="60"/>
      <c r="N7" s="60"/>
      <c r="O7" s="60"/>
      <c r="P7" s="60"/>
      <c r="Q7" s="60"/>
      <c r="R7" s="60"/>
      <c r="S7" s="60"/>
      <c r="T7" s="60"/>
      <c r="U7" s="60"/>
      <c r="V7" s="60"/>
      <c r="W7" s="60"/>
      <c r="X7" s="60"/>
      <c r="Y7" s="60"/>
      <c r="Z7" s="60"/>
      <c r="AA7" s="60"/>
      <c r="AB7" s="60"/>
      <c r="AC7" s="60"/>
      <c r="AD7" s="60"/>
      <c r="AE7" s="77">
        <f t="shared" si="0"/>
        <v>8</v>
      </c>
      <c r="AF7" s="30"/>
      <c r="AG7" s="30"/>
      <c r="AH7" s="30"/>
    </row>
    <row r="8" spans="1:34" ht="13" thickBot="1" x14ac:dyDescent="0.45">
      <c r="A8" s="30" t="s">
        <v>19</v>
      </c>
      <c r="B8" s="30"/>
      <c r="C8" s="60"/>
      <c r="D8" s="60"/>
      <c r="E8" s="60">
        <v>2</v>
      </c>
      <c r="F8" s="60">
        <v>8</v>
      </c>
      <c r="G8" s="60"/>
      <c r="H8" s="60">
        <v>5</v>
      </c>
      <c r="I8" s="60">
        <v>2</v>
      </c>
      <c r="J8" s="60"/>
      <c r="K8" s="60"/>
      <c r="L8" s="60">
        <v>1</v>
      </c>
      <c r="M8" s="60">
        <v>1</v>
      </c>
      <c r="N8" s="60">
        <v>5</v>
      </c>
      <c r="O8" s="60"/>
      <c r="P8" s="60"/>
      <c r="Q8" s="60"/>
      <c r="R8" s="60"/>
      <c r="S8" s="60"/>
      <c r="T8" s="60"/>
      <c r="U8" s="60"/>
      <c r="V8" s="60"/>
      <c r="W8" s="60">
        <v>2</v>
      </c>
      <c r="X8" s="60"/>
      <c r="Y8" s="60"/>
      <c r="Z8" s="60"/>
      <c r="AA8" s="60"/>
      <c r="AB8" s="60"/>
      <c r="AC8" s="60"/>
      <c r="AD8" s="60"/>
      <c r="AE8" s="77">
        <f t="shared" si="0"/>
        <v>26</v>
      </c>
      <c r="AF8" s="30"/>
      <c r="AG8" s="30"/>
      <c r="AH8" s="30"/>
    </row>
    <row r="9" spans="1:34" ht="13" thickBot="1" x14ac:dyDescent="0.45">
      <c r="A9" s="30" t="s">
        <v>20</v>
      </c>
      <c r="B9" s="30"/>
      <c r="C9" s="60"/>
      <c r="D9" s="60"/>
      <c r="E9" s="60"/>
      <c r="F9" s="60">
        <v>1</v>
      </c>
      <c r="G9" s="60"/>
      <c r="H9" s="60"/>
      <c r="I9" s="60"/>
      <c r="J9" s="60"/>
      <c r="K9" s="60">
        <v>1</v>
      </c>
      <c r="L9" s="60"/>
      <c r="M9" s="60"/>
      <c r="N9" s="60"/>
      <c r="O9" s="60"/>
      <c r="P9" s="60"/>
      <c r="Q9" s="60"/>
      <c r="R9" s="60"/>
      <c r="S9" s="60"/>
      <c r="T9" s="60"/>
      <c r="U9" s="60"/>
      <c r="V9" s="60"/>
      <c r="W9" s="60"/>
      <c r="X9" s="60"/>
      <c r="Y9" s="60"/>
      <c r="Z9" s="60"/>
      <c r="AA9" s="60"/>
      <c r="AB9" s="60"/>
      <c r="AC9" s="60"/>
      <c r="AD9" s="60"/>
      <c r="AE9" s="77">
        <f t="shared" si="0"/>
        <v>2</v>
      </c>
      <c r="AF9" s="30"/>
      <c r="AG9" s="30"/>
      <c r="AH9" s="30"/>
    </row>
    <row r="10" spans="1:34" ht="13" thickBot="1" x14ac:dyDescent="0.45">
      <c r="A10" s="30" t="s">
        <v>21</v>
      </c>
      <c r="B10" s="30"/>
      <c r="C10" s="60"/>
      <c r="D10" s="60"/>
      <c r="E10" s="60"/>
      <c r="F10" s="60"/>
      <c r="G10" s="60"/>
      <c r="H10" s="60">
        <v>1</v>
      </c>
      <c r="I10" s="60"/>
      <c r="J10" s="60"/>
      <c r="K10" s="60"/>
      <c r="L10" s="60"/>
      <c r="M10" s="60"/>
      <c r="N10" s="60"/>
      <c r="O10" s="60"/>
      <c r="P10" s="60"/>
      <c r="Q10" s="60"/>
      <c r="R10" s="60"/>
      <c r="S10" s="60"/>
      <c r="T10" s="60"/>
      <c r="U10" s="60"/>
      <c r="V10" s="60"/>
      <c r="W10" s="60"/>
      <c r="X10" s="60"/>
      <c r="Y10" s="60"/>
      <c r="Z10" s="60"/>
      <c r="AA10" s="60"/>
      <c r="AB10" s="60"/>
      <c r="AC10" s="60"/>
      <c r="AD10" s="60"/>
      <c r="AE10" s="77">
        <f t="shared" si="0"/>
        <v>1</v>
      </c>
      <c r="AF10" s="30"/>
      <c r="AG10" s="30"/>
      <c r="AH10" s="30"/>
    </row>
    <row r="11" spans="1:34" ht="13" thickBot="1" x14ac:dyDescent="0.45">
      <c r="A11" s="30" t="s">
        <v>98</v>
      </c>
      <c r="B11" s="30"/>
      <c r="C11" s="60"/>
      <c r="D11" s="60"/>
      <c r="E11" s="60"/>
      <c r="F11" s="60"/>
      <c r="G11" s="60">
        <v>2</v>
      </c>
      <c r="H11" s="60"/>
      <c r="I11" s="60">
        <v>3</v>
      </c>
      <c r="J11" s="60"/>
      <c r="K11" s="60">
        <v>12</v>
      </c>
      <c r="L11" s="60">
        <v>3</v>
      </c>
      <c r="M11" s="60"/>
      <c r="N11" s="60">
        <v>2</v>
      </c>
      <c r="O11" s="60"/>
      <c r="P11" s="60"/>
      <c r="Q11" s="60"/>
      <c r="R11" s="60"/>
      <c r="S11" s="60"/>
      <c r="T11" s="60"/>
      <c r="U11" s="60"/>
      <c r="V11" s="60"/>
      <c r="W11" s="60">
        <v>1</v>
      </c>
      <c r="X11" s="60"/>
      <c r="Y11" s="60"/>
      <c r="Z11" s="60"/>
      <c r="AA11" s="60"/>
      <c r="AB11" s="60"/>
      <c r="AC11" s="60"/>
      <c r="AD11" s="60"/>
      <c r="AE11" s="77">
        <f t="shared" si="0"/>
        <v>23</v>
      </c>
      <c r="AF11" s="30"/>
      <c r="AG11" s="30"/>
      <c r="AH11" s="30"/>
    </row>
    <row r="12" spans="1:34" ht="13" thickBot="1" x14ac:dyDescent="0.45">
      <c r="A12" s="30" t="s">
        <v>22</v>
      </c>
      <c r="B12" s="30"/>
      <c r="C12" s="60">
        <v>4</v>
      </c>
      <c r="D12" s="60">
        <v>5</v>
      </c>
      <c r="E12" s="60">
        <v>10</v>
      </c>
      <c r="F12" s="60">
        <v>14</v>
      </c>
      <c r="G12" s="60">
        <v>33</v>
      </c>
      <c r="H12" s="60">
        <v>53</v>
      </c>
      <c r="I12" s="60">
        <v>10</v>
      </c>
      <c r="J12" s="60"/>
      <c r="K12" s="60">
        <v>21</v>
      </c>
      <c r="L12" s="60">
        <v>5</v>
      </c>
      <c r="M12" s="60">
        <v>1</v>
      </c>
      <c r="N12" s="60">
        <v>28</v>
      </c>
      <c r="O12" s="60"/>
      <c r="P12" s="60"/>
      <c r="Q12" s="60"/>
      <c r="R12" s="60">
        <v>7</v>
      </c>
      <c r="S12" s="60"/>
      <c r="T12" s="60"/>
      <c r="U12" s="60"/>
      <c r="V12" s="60"/>
      <c r="W12" s="60">
        <v>23</v>
      </c>
      <c r="X12" s="60"/>
      <c r="Y12" s="60"/>
      <c r="Z12" s="60"/>
      <c r="AA12" s="60"/>
      <c r="AB12" s="60"/>
      <c r="AC12" s="60"/>
      <c r="AD12" s="60"/>
      <c r="AE12" s="77">
        <f t="shared" si="0"/>
        <v>214</v>
      </c>
      <c r="AF12" s="30"/>
      <c r="AG12" s="30"/>
      <c r="AH12" s="30"/>
    </row>
    <row r="13" spans="1:34" ht="13" thickBot="1" x14ac:dyDescent="0.45">
      <c r="A13" s="30" t="s">
        <v>23</v>
      </c>
      <c r="B13" s="30"/>
      <c r="C13" s="60">
        <v>1</v>
      </c>
      <c r="D13" s="60">
        <v>4</v>
      </c>
      <c r="E13" s="60">
        <v>2</v>
      </c>
      <c r="F13" s="60">
        <v>21</v>
      </c>
      <c r="G13" s="60">
        <v>9</v>
      </c>
      <c r="H13" s="60">
        <v>36</v>
      </c>
      <c r="I13" s="60">
        <v>2</v>
      </c>
      <c r="J13" s="60"/>
      <c r="K13" s="60">
        <v>15</v>
      </c>
      <c r="L13" s="60">
        <v>3</v>
      </c>
      <c r="M13" s="60"/>
      <c r="N13" s="60">
        <v>4</v>
      </c>
      <c r="O13" s="60"/>
      <c r="P13" s="60"/>
      <c r="Q13" s="60"/>
      <c r="R13" s="60">
        <v>5</v>
      </c>
      <c r="S13" s="60">
        <v>1</v>
      </c>
      <c r="T13" s="60"/>
      <c r="U13" s="60"/>
      <c r="V13" s="60"/>
      <c r="W13" s="60">
        <v>6</v>
      </c>
      <c r="X13" s="60"/>
      <c r="Y13" s="60"/>
      <c r="Z13" s="60"/>
      <c r="AA13" s="60"/>
      <c r="AB13" s="60"/>
      <c r="AC13" s="60"/>
      <c r="AD13" s="60"/>
      <c r="AE13" s="77">
        <f t="shared" si="0"/>
        <v>109</v>
      </c>
      <c r="AF13" s="30"/>
      <c r="AG13" s="30"/>
      <c r="AH13" s="30"/>
    </row>
    <row r="14" spans="1:34" ht="13" thickBot="1" x14ac:dyDescent="0.45">
      <c r="A14" s="30" t="s">
        <v>24</v>
      </c>
      <c r="B14" s="30"/>
      <c r="C14" s="60"/>
      <c r="D14" s="60">
        <v>1</v>
      </c>
      <c r="E14" s="60"/>
      <c r="F14" s="60">
        <v>6</v>
      </c>
      <c r="G14" s="60">
        <v>1</v>
      </c>
      <c r="H14" s="60">
        <v>10</v>
      </c>
      <c r="I14" s="60"/>
      <c r="J14" s="60"/>
      <c r="K14" s="60">
        <v>8</v>
      </c>
      <c r="L14" s="60"/>
      <c r="M14" s="60">
        <v>1</v>
      </c>
      <c r="N14" s="60">
        <v>7</v>
      </c>
      <c r="O14" s="60"/>
      <c r="P14" s="60"/>
      <c r="Q14" s="60"/>
      <c r="R14" s="60">
        <v>3</v>
      </c>
      <c r="S14" s="60"/>
      <c r="T14" s="60"/>
      <c r="U14" s="60"/>
      <c r="V14" s="60">
        <v>1</v>
      </c>
      <c r="W14" s="60">
        <v>4</v>
      </c>
      <c r="X14" s="60"/>
      <c r="Y14" s="60"/>
      <c r="Z14" s="60"/>
      <c r="AA14" s="60"/>
      <c r="AB14" s="60"/>
      <c r="AC14" s="60"/>
      <c r="AD14" s="60"/>
      <c r="AE14" s="77">
        <f t="shared" si="0"/>
        <v>42</v>
      </c>
      <c r="AF14" s="30"/>
      <c r="AG14" s="30"/>
      <c r="AH14" s="30"/>
    </row>
    <row r="15" spans="1:34" ht="13" thickBot="1" x14ac:dyDescent="0.45">
      <c r="A15" s="30" t="s">
        <v>111</v>
      </c>
      <c r="B15" s="3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77">
        <f t="shared" si="0"/>
        <v>0</v>
      </c>
      <c r="AF15" s="30"/>
      <c r="AG15" s="30"/>
      <c r="AH15" s="30"/>
    </row>
    <row r="16" spans="1:34" ht="13" thickBot="1" x14ac:dyDescent="0.45">
      <c r="A16" s="30" t="s">
        <v>36</v>
      </c>
      <c r="B16" s="30"/>
      <c r="C16" s="62"/>
      <c r="D16" s="62"/>
      <c r="E16" s="62"/>
      <c r="F16" s="62">
        <v>1</v>
      </c>
      <c r="G16" s="62"/>
      <c r="H16" s="62"/>
      <c r="I16" s="62"/>
      <c r="J16" s="62"/>
      <c r="K16" s="62">
        <v>1</v>
      </c>
      <c r="L16" s="62"/>
      <c r="M16" s="62"/>
      <c r="N16" s="62"/>
      <c r="O16" s="62"/>
      <c r="P16" s="62"/>
      <c r="Q16" s="62"/>
      <c r="R16" s="62"/>
      <c r="S16" s="62"/>
      <c r="T16" s="62"/>
      <c r="U16" s="62"/>
      <c r="V16" s="62"/>
      <c r="W16" s="62"/>
      <c r="X16" s="62"/>
      <c r="Y16" s="62"/>
      <c r="Z16" s="62"/>
      <c r="AA16" s="62"/>
      <c r="AB16" s="62"/>
      <c r="AC16" s="62"/>
      <c r="AD16" s="62"/>
      <c r="AE16" s="77">
        <f t="shared" si="0"/>
        <v>2</v>
      </c>
      <c r="AF16" s="30"/>
      <c r="AG16" s="30"/>
      <c r="AH16" s="30"/>
    </row>
    <row r="17" spans="1:34" x14ac:dyDescent="0.4">
      <c r="A17" s="30" t="s">
        <v>25</v>
      </c>
      <c r="B17" s="30"/>
      <c r="C17" s="60">
        <f>SUM(C3:C16)</f>
        <v>5</v>
      </c>
      <c r="D17" s="60">
        <f t="shared" ref="D17:U17" si="1">SUM(D3:D16)</f>
        <v>11</v>
      </c>
      <c r="E17" s="60">
        <f t="shared" si="1"/>
        <v>16</v>
      </c>
      <c r="F17" s="60">
        <f t="shared" si="1"/>
        <v>58</v>
      </c>
      <c r="G17" s="60">
        <f t="shared" si="1"/>
        <v>52</v>
      </c>
      <c r="H17" s="60">
        <f t="shared" si="1"/>
        <v>117</v>
      </c>
      <c r="I17" s="60">
        <f t="shared" si="1"/>
        <v>20</v>
      </c>
      <c r="J17" s="60">
        <f t="shared" si="1"/>
        <v>0</v>
      </c>
      <c r="K17" s="60">
        <f t="shared" si="1"/>
        <v>68</v>
      </c>
      <c r="L17" s="60">
        <f t="shared" si="1"/>
        <v>13</v>
      </c>
      <c r="M17" s="60">
        <f t="shared" si="1"/>
        <v>3</v>
      </c>
      <c r="N17" s="60">
        <f t="shared" si="1"/>
        <v>56</v>
      </c>
      <c r="O17" s="60">
        <f t="shared" si="1"/>
        <v>0</v>
      </c>
      <c r="P17" s="60">
        <f t="shared" si="1"/>
        <v>0</v>
      </c>
      <c r="Q17" s="60">
        <f t="shared" si="1"/>
        <v>0</v>
      </c>
      <c r="R17" s="60">
        <f t="shared" si="1"/>
        <v>17</v>
      </c>
      <c r="S17" s="60">
        <f t="shared" si="1"/>
        <v>1</v>
      </c>
      <c r="T17" s="60">
        <f t="shared" si="1"/>
        <v>0</v>
      </c>
      <c r="U17" s="60">
        <f t="shared" si="1"/>
        <v>0</v>
      </c>
      <c r="V17" s="60">
        <f t="shared" ref="V17:AE17" si="2">SUM(V3:V16)</f>
        <v>1</v>
      </c>
      <c r="W17" s="60">
        <f t="shared" si="2"/>
        <v>39</v>
      </c>
      <c r="X17" s="60">
        <f t="shared" si="2"/>
        <v>0</v>
      </c>
      <c r="Y17" s="60">
        <f t="shared" si="2"/>
        <v>0</v>
      </c>
      <c r="Z17" s="60">
        <f t="shared" si="2"/>
        <v>0</v>
      </c>
      <c r="AA17" s="60">
        <f t="shared" si="2"/>
        <v>0</v>
      </c>
      <c r="AB17" s="60">
        <f t="shared" si="2"/>
        <v>0</v>
      </c>
      <c r="AC17" s="60">
        <f t="shared" si="2"/>
        <v>0</v>
      </c>
      <c r="AD17" s="60">
        <f t="shared" si="2"/>
        <v>0</v>
      </c>
      <c r="AE17" s="78">
        <f t="shared" si="2"/>
        <v>477</v>
      </c>
      <c r="AF17" s="30"/>
      <c r="AG17" s="30"/>
      <c r="AH17" s="30"/>
    </row>
    <row r="18" spans="1:34" ht="13" thickBot="1" x14ac:dyDescent="0.45">
      <c r="A18" s="29" t="s">
        <v>107</v>
      </c>
      <c r="B18" s="30"/>
      <c r="C18" s="81" t="s">
        <v>121</v>
      </c>
      <c r="D18" s="64"/>
      <c r="E18" s="7"/>
      <c r="F18" s="29"/>
      <c r="G18" s="29" t="s">
        <v>108</v>
      </c>
      <c r="H18" s="60"/>
      <c r="I18" s="60"/>
      <c r="J18" s="81" t="s">
        <v>122</v>
      </c>
      <c r="K18" s="60"/>
      <c r="L18" s="60"/>
      <c r="M18" s="60"/>
      <c r="N18" s="60"/>
      <c r="O18" s="60"/>
      <c r="P18" s="60"/>
      <c r="Q18" s="60"/>
      <c r="R18" s="60"/>
      <c r="S18" s="60"/>
      <c r="T18" s="60"/>
      <c r="U18" s="60"/>
      <c r="V18" s="60"/>
      <c r="W18" s="60"/>
      <c r="X18" s="60"/>
      <c r="Y18" s="60"/>
      <c r="Z18" s="60"/>
      <c r="AA18" s="60"/>
      <c r="AB18" s="60"/>
      <c r="AC18" s="60"/>
      <c r="AD18" s="60"/>
      <c r="AE18" s="30"/>
      <c r="AF18" s="30"/>
      <c r="AG18" s="30"/>
      <c r="AH18" s="30"/>
    </row>
    <row r="19" spans="1:34" ht="13" thickBot="1" x14ac:dyDescent="0.45">
      <c r="A19" s="10" t="str">
        <f>A2</f>
        <v>BLIND #</v>
      </c>
      <c r="B19" s="14"/>
      <c r="C19" s="12">
        <f t="shared" ref="C19:N19" si="3">C2</f>
        <v>1</v>
      </c>
      <c r="D19" s="12">
        <f t="shared" si="3"/>
        <v>2</v>
      </c>
      <c r="E19" s="12">
        <f t="shared" si="3"/>
        <v>3</v>
      </c>
      <c r="F19" s="12">
        <f t="shared" si="3"/>
        <v>4</v>
      </c>
      <c r="G19" s="12">
        <f t="shared" si="3"/>
        <v>5</v>
      </c>
      <c r="H19" s="12">
        <f t="shared" si="3"/>
        <v>6</v>
      </c>
      <c r="I19" s="12">
        <f t="shared" si="3"/>
        <v>7</v>
      </c>
      <c r="J19" s="12">
        <f t="shared" si="3"/>
        <v>8</v>
      </c>
      <c r="K19" s="12">
        <f t="shared" si="3"/>
        <v>9</v>
      </c>
      <c r="L19" s="12">
        <f t="shared" si="3"/>
        <v>10</v>
      </c>
      <c r="M19" s="12">
        <f t="shared" si="3"/>
        <v>11</v>
      </c>
      <c r="N19" s="12">
        <f t="shared" si="3"/>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30"/>
      <c r="AG19" s="30"/>
      <c r="AH19" s="30"/>
    </row>
    <row r="20" spans="1:34" ht="13" thickBot="1" x14ac:dyDescent="0.45">
      <c r="A20" s="30" t="str">
        <f>A3</f>
        <v>RUDDY</v>
      </c>
      <c r="B20" s="30"/>
      <c r="C20" s="60">
        <v>2</v>
      </c>
      <c r="D20" s="60"/>
      <c r="E20" s="60"/>
      <c r="F20" s="60"/>
      <c r="G20" s="60">
        <v>1</v>
      </c>
      <c r="H20" s="60"/>
      <c r="I20" s="60"/>
      <c r="J20" s="60"/>
      <c r="K20" s="60"/>
      <c r="L20" s="60"/>
      <c r="M20" s="60"/>
      <c r="N20" s="60"/>
      <c r="O20" s="60"/>
      <c r="P20" s="60"/>
      <c r="Q20" s="60"/>
      <c r="R20" s="60"/>
      <c r="S20" s="60"/>
      <c r="T20" s="60"/>
      <c r="U20" s="60"/>
      <c r="V20" s="60"/>
      <c r="W20" s="60"/>
      <c r="X20" s="60"/>
      <c r="Y20" s="60"/>
      <c r="Z20" s="60"/>
      <c r="AA20" s="60"/>
      <c r="AB20" s="60"/>
      <c r="AC20" s="60"/>
      <c r="AD20" s="60"/>
      <c r="AE20" s="77">
        <f>SUM(C20:AD20)</f>
        <v>3</v>
      </c>
      <c r="AF20" s="30"/>
      <c r="AG20" s="30"/>
      <c r="AH20" s="30"/>
    </row>
    <row r="21" spans="1:34" ht="13" thickBot="1" x14ac:dyDescent="0.45">
      <c r="A21" s="30" t="str">
        <f t="shared" ref="A21:A33" si="4">A4</f>
        <v>CANVASBACK</v>
      </c>
      <c r="B21" s="30"/>
      <c r="C21" s="60"/>
      <c r="D21" s="60"/>
      <c r="E21" s="60"/>
      <c r="F21" s="60">
        <v>3</v>
      </c>
      <c r="G21" s="60"/>
      <c r="H21" s="60">
        <v>1</v>
      </c>
      <c r="I21" s="60"/>
      <c r="J21" s="60"/>
      <c r="K21" s="60"/>
      <c r="L21" s="60"/>
      <c r="M21" s="60"/>
      <c r="N21" s="60"/>
      <c r="O21" s="60">
        <v>3</v>
      </c>
      <c r="P21" s="60"/>
      <c r="Q21" s="60"/>
      <c r="R21" s="60"/>
      <c r="S21" s="60"/>
      <c r="T21" s="60"/>
      <c r="U21" s="60"/>
      <c r="V21" s="60"/>
      <c r="W21" s="60">
        <v>2</v>
      </c>
      <c r="X21" s="60"/>
      <c r="Y21" s="60"/>
      <c r="Z21" s="60"/>
      <c r="AA21" s="60"/>
      <c r="AB21" s="60"/>
      <c r="AC21" s="60"/>
      <c r="AD21" s="60"/>
      <c r="AE21" s="77">
        <f t="shared" ref="AE21:AE33" si="5">SUM(C21:AD21)</f>
        <v>9</v>
      </c>
      <c r="AF21" s="30"/>
      <c r="AG21" s="30"/>
      <c r="AH21" s="30"/>
    </row>
    <row r="22" spans="1:34" ht="13" thickBot="1" x14ac:dyDescent="0.45">
      <c r="A22" s="30" t="str">
        <f t="shared" si="4"/>
        <v>GADWALL</v>
      </c>
      <c r="B22" s="30"/>
      <c r="C22" s="60"/>
      <c r="D22" s="60"/>
      <c r="E22" s="60"/>
      <c r="F22" s="60">
        <v>4</v>
      </c>
      <c r="G22" s="60">
        <v>2</v>
      </c>
      <c r="H22" s="60">
        <v>6</v>
      </c>
      <c r="I22" s="60">
        <v>1</v>
      </c>
      <c r="J22" s="60"/>
      <c r="K22" s="60">
        <v>1</v>
      </c>
      <c r="L22" s="60"/>
      <c r="M22" s="60">
        <v>2</v>
      </c>
      <c r="N22" s="60"/>
      <c r="O22" s="60">
        <v>3</v>
      </c>
      <c r="P22" s="60"/>
      <c r="Q22" s="60"/>
      <c r="R22" s="60">
        <v>4</v>
      </c>
      <c r="S22" s="60"/>
      <c r="T22" s="60"/>
      <c r="U22" s="60"/>
      <c r="V22" s="60"/>
      <c r="W22" s="60">
        <v>9</v>
      </c>
      <c r="X22" s="60">
        <v>1</v>
      </c>
      <c r="Y22" s="60">
        <v>3</v>
      </c>
      <c r="Z22" s="60"/>
      <c r="AA22" s="60"/>
      <c r="AB22" s="60"/>
      <c r="AC22" s="60"/>
      <c r="AD22" s="60"/>
      <c r="AE22" s="77">
        <f t="shared" si="5"/>
        <v>36</v>
      </c>
      <c r="AF22" s="30"/>
      <c r="AG22" s="30"/>
      <c r="AH22" s="30"/>
    </row>
    <row r="23" spans="1:34" ht="13" thickBot="1" x14ac:dyDescent="0.45">
      <c r="A23" s="30" t="str">
        <f t="shared" si="4"/>
        <v>GEESE</v>
      </c>
      <c r="B23" s="30"/>
      <c r="C23" s="60"/>
      <c r="D23" s="60"/>
      <c r="E23" s="60"/>
      <c r="F23" s="60">
        <v>1</v>
      </c>
      <c r="G23" s="60"/>
      <c r="H23" s="60"/>
      <c r="I23" s="60"/>
      <c r="J23" s="60"/>
      <c r="K23" s="60"/>
      <c r="L23" s="60"/>
      <c r="M23" s="60"/>
      <c r="N23" s="60"/>
      <c r="O23" s="60">
        <v>2</v>
      </c>
      <c r="P23" s="60"/>
      <c r="Q23" s="60"/>
      <c r="R23" s="60"/>
      <c r="S23" s="60"/>
      <c r="T23" s="60"/>
      <c r="U23" s="60"/>
      <c r="V23" s="60"/>
      <c r="W23" s="60"/>
      <c r="X23" s="60"/>
      <c r="Y23" s="60"/>
      <c r="Z23" s="60"/>
      <c r="AA23" s="60"/>
      <c r="AB23" s="60"/>
      <c r="AC23" s="60"/>
      <c r="AD23" s="60"/>
      <c r="AE23" s="77">
        <f t="shared" si="5"/>
        <v>3</v>
      </c>
      <c r="AF23" s="30"/>
      <c r="AG23" s="30"/>
      <c r="AH23" s="30"/>
    </row>
    <row r="24" spans="1:34" ht="13" thickBot="1" x14ac:dyDescent="0.45">
      <c r="A24" s="30" t="str">
        <f t="shared" si="4"/>
        <v>MALLARD</v>
      </c>
      <c r="B24" s="30"/>
      <c r="C24" s="60"/>
      <c r="D24" s="60"/>
      <c r="E24" s="60"/>
      <c r="F24" s="60"/>
      <c r="G24" s="60"/>
      <c r="H24" s="60"/>
      <c r="I24" s="60"/>
      <c r="J24" s="60"/>
      <c r="K24" s="60">
        <v>1</v>
      </c>
      <c r="L24" s="60">
        <v>1</v>
      </c>
      <c r="M24" s="60"/>
      <c r="N24" s="60"/>
      <c r="O24" s="60">
        <v>1</v>
      </c>
      <c r="P24" s="60"/>
      <c r="Q24" s="60"/>
      <c r="R24" s="60">
        <v>1</v>
      </c>
      <c r="S24" s="60"/>
      <c r="T24" s="60"/>
      <c r="U24" s="60"/>
      <c r="V24" s="60">
        <v>3</v>
      </c>
      <c r="W24" s="60">
        <v>1</v>
      </c>
      <c r="X24" s="60"/>
      <c r="Y24" s="60"/>
      <c r="Z24" s="60"/>
      <c r="AA24" s="60"/>
      <c r="AB24" s="60"/>
      <c r="AC24" s="60"/>
      <c r="AD24" s="60"/>
      <c r="AE24" s="77">
        <f t="shared" si="5"/>
        <v>8</v>
      </c>
      <c r="AF24" s="30"/>
      <c r="AG24" s="30"/>
      <c r="AH24" s="30"/>
    </row>
    <row r="25" spans="1:34" ht="13" thickBot="1" x14ac:dyDescent="0.45">
      <c r="A25" s="30" t="str">
        <f t="shared" si="4"/>
        <v>PINTAIL</v>
      </c>
      <c r="B25" s="30"/>
      <c r="C25" s="60">
        <v>1</v>
      </c>
      <c r="D25" s="60"/>
      <c r="E25" s="60">
        <v>3</v>
      </c>
      <c r="F25" s="60">
        <v>17</v>
      </c>
      <c r="G25" s="60">
        <v>5</v>
      </c>
      <c r="H25" s="60">
        <v>25</v>
      </c>
      <c r="I25" s="60"/>
      <c r="J25" s="60"/>
      <c r="K25" s="60">
        <v>5</v>
      </c>
      <c r="L25" s="60"/>
      <c r="M25" s="60">
        <v>2</v>
      </c>
      <c r="N25" s="60"/>
      <c r="O25" s="60">
        <v>1</v>
      </c>
      <c r="P25" s="60"/>
      <c r="Q25" s="60"/>
      <c r="R25" s="60">
        <v>6</v>
      </c>
      <c r="S25" s="60">
        <v>1</v>
      </c>
      <c r="T25" s="60"/>
      <c r="U25" s="60">
        <v>2</v>
      </c>
      <c r="V25" s="60">
        <v>6</v>
      </c>
      <c r="W25" s="60">
        <v>11</v>
      </c>
      <c r="X25" s="60">
        <v>1</v>
      </c>
      <c r="Y25" s="60">
        <v>1</v>
      </c>
      <c r="Z25" s="60"/>
      <c r="AA25" s="60"/>
      <c r="AB25" s="60"/>
      <c r="AC25" s="60"/>
      <c r="AD25" s="60"/>
      <c r="AE25" s="77">
        <f t="shared" si="5"/>
        <v>87</v>
      </c>
      <c r="AF25" s="30"/>
      <c r="AG25" s="30"/>
      <c r="AH25" s="30"/>
    </row>
    <row r="26" spans="1:34" ht="13" thickBot="1" x14ac:dyDescent="0.45">
      <c r="A26" s="30" t="str">
        <f t="shared" si="4"/>
        <v>REDHEAD</v>
      </c>
      <c r="B26" s="30"/>
      <c r="C26" s="60"/>
      <c r="D26" s="60"/>
      <c r="E26" s="60"/>
      <c r="F26" s="60"/>
      <c r="G26" s="60">
        <v>1</v>
      </c>
      <c r="H26" s="60"/>
      <c r="I26" s="60"/>
      <c r="J26" s="60"/>
      <c r="K26" s="60"/>
      <c r="L26" s="60"/>
      <c r="M26" s="60"/>
      <c r="N26" s="60"/>
      <c r="O26" s="60">
        <v>2</v>
      </c>
      <c r="P26" s="60"/>
      <c r="Q26" s="60"/>
      <c r="R26" s="60"/>
      <c r="S26" s="60"/>
      <c r="T26" s="60"/>
      <c r="U26" s="60"/>
      <c r="V26" s="60"/>
      <c r="W26" s="60"/>
      <c r="X26" s="60"/>
      <c r="Y26" s="60"/>
      <c r="Z26" s="60"/>
      <c r="AA26" s="60"/>
      <c r="AB26" s="60"/>
      <c r="AC26" s="60"/>
      <c r="AD26" s="60"/>
      <c r="AE26" s="77">
        <f t="shared" si="5"/>
        <v>3</v>
      </c>
      <c r="AF26" s="30"/>
      <c r="AG26" s="30"/>
      <c r="AH26" s="30"/>
    </row>
    <row r="27" spans="1:34" ht="13" thickBot="1" x14ac:dyDescent="0.45">
      <c r="A27" s="30" t="str">
        <f t="shared" si="4"/>
        <v>RINGNECK</v>
      </c>
      <c r="B27" s="30"/>
      <c r="C27" s="60"/>
      <c r="D27" s="60"/>
      <c r="E27" s="60"/>
      <c r="F27" s="60"/>
      <c r="G27" s="60"/>
      <c r="H27" s="60"/>
      <c r="I27" s="60"/>
      <c r="J27" s="60"/>
      <c r="K27" s="60">
        <v>1</v>
      </c>
      <c r="L27" s="60"/>
      <c r="M27" s="60"/>
      <c r="N27" s="60"/>
      <c r="O27" s="60"/>
      <c r="P27" s="60"/>
      <c r="Q27" s="60"/>
      <c r="R27" s="60"/>
      <c r="S27" s="60"/>
      <c r="T27" s="60"/>
      <c r="U27" s="60"/>
      <c r="V27" s="60"/>
      <c r="W27" s="60"/>
      <c r="X27" s="60"/>
      <c r="Y27" s="60"/>
      <c r="Z27" s="60"/>
      <c r="AA27" s="60"/>
      <c r="AB27" s="60"/>
      <c r="AC27" s="60"/>
      <c r="AD27" s="60"/>
      <c r="AE27" s="77">
        <f t="shared" si="5"/>
        <v>1</v>
      </c>
      <c r="AF27" s="30"/>
      <c r="AG27" s="30"/>
      <c r="AH27" s="30"/>
    </row>
    <row r="28" spans="1:34" ht="13" thickBot="1" x14ac:dyDescent="0.45">
      <c r="A28" s="30" t="str">
        <f t="shared" si="4"/>
        <v>B'HEAD</v>
      </c>
      <c r="B28" s="30"/>
      <c r="C28" s="60"/>
      <c r="D28" s="60"/>
      <c r="E28" s="60">
        <v>2</v>
      </c>
      <c r="F28" s="60">
        <v>1</v>
      </c>
      <c r="G28" s="60">
        <v>2</v>
      </c>
      <c r="H28" s="60">
        <v>2</v>
      </c>
      <c r="I28" s="60"/>
      <c r="J28" s="60"/>
      <c r="K28" s="60">
        <v>2</v>
      </c>
      <c r="L28" s="60"/>
      <c r="M28" s="60">
        <v>2</v>
      </c>
      <c r="N28" s="60">
        <v>2</v>
      </c>
      <c r="O28" s="60"/>
      <c r="P28" s="60"/>
      <c r="Q28" s="60"/>
      <c r="R28" s="60"/>
      <c r="S28" s="60"/>
      <c r="T28" s="60"/>
      <c r="U28" s="60"/>
      <c r="V28" s="60"/>
      <c r="W28" s="60"/>
      <c r="X28" s="60"/>
      <c r="Y28" s="60"/>
      <c r="Z28" s="60"/>
      <c r="AA28" s="60"/>
      <c r="AB28" s="60"/>
      <c r="AC28" s="60"/>
      <c r="AD28" s="60"/>
      <c r="AE28" s="77">
        <f t="shared" si="5"/>
        <v>13</v>
      </c>
      <c r="AF28" s="30"/>
      <c r="AG28" s="30"/>
      <c r="AH28" s="30"/>
    </row>
    <row r="29" spans="1:34" ht="13" thickBot="1" x14ac:dyDescent="0.45">
      <c r="A29" s="30" t="str">
        <f t="shared" si="4"/>
        <v>SPOONY</v>
      </c>
      <c r="B29" s="30"/>
      <c r="C29" s="60">
        <v>11</v>
      </c>
      <c r="D29" s="60">
        <v>3</v>
      </c>
      <c r="E29" s="60">
        <v>12</v>
      </c>
      <c r="F29" s="60">
        <v>26</v>
      </c>
      <c r="G29" s="60">
        <v>31</v>
      </c>
      <c r="H29" s="60">
        <v>50</v>
      </c>
      <c r="I29" s="60">
        <v>8</v>
      </c>
      <c r="J29" s="60"/>
      <c r="K29" s="60">
        <v>11</v>
      </c>
      <c r="L29" s="60">
        <v>2</v>
      </c>
      <c r="M29" s="60">
        <v>12</v>
      </c>
      <c r="N29" s="60">
        <v>7</v>
      </c>
      <c r="O29" s="60">
        <v>15</v>
      </c>
      <c r="P29" s="60"/>
      <c r="Q29" s="60"/>
      <c r="R29" s="60">
        <v>18</v>
      </c>
      <c r="S29" s="60">
        <v>2</v>
      </c>
      <c r="T29" s="60"/>
      <c r="U29" s="60">
        <v>4</v>
      </c>
      <c r="V29" s="60">
        <v>15</v>
      </c>
      <c r="W29" s="60">
        <v>33</v>
      </c>
      <c r="X29" s="60">
        <v>7</v>
      </c>
      <c r="Y29" s="60"/>
      <c r="Z29" s="60"/>
      <c r="AA29" s="60"/>
      <c r="AB29" s="60"/>
      <c r="AC29" s="60"/>
      <c r="AD29" s="60"/>
      <c r="AE29" s="77">
        <f t="shared" si="5"/>
        <v>267</v>
      </c>
      <c r="AF29" s="30"/>
      <c r="AG29" s="30"/>
      <c r="AH29" s="30"/>
    </row>
    <row r="30" spans="1:34" ht="13" thickBot="1" x14ac:dyDescent="0.45">
      <c r="A30" s="30" t="str">
        <f t="shared" si="4"/>
        <v>TEAL</v>
      </c>
      <c r="B30" s="30"/>
      <c r="C30" s="60">
        <v>31</v>
      </c>
      <c r="D30" s="60">
        <v>1</v>
      </c>
      <c r="E30" s="60">
        <v>24</v>
      </c>
      <c r="F30" s="60">
        <v>76</v>
      </c>
      <c r="G30" s="60">
        <v>57</v>
      </c>
      <c r="H30" s="60">
        <v>78</v>
      </c>
      <c r="I30" s="60">
        <v>34</v>
      </c>
      <c r="J30" s="60"/>
      <c r="K30" s="60">
        <v>26</v>
      </c>
      <c r="L30" s="60">
        <v>31</v>
      </c>
      <c r="M30" s="60">
        <v>17</v>
      </c>
      <c r="N30" s="60">
        <v>31</v>
      </c>
      <c r="O30" s="60">
        <v>90</v>
      </c>
      <c r="P30" s="60"/>
      <c r="Q30" s="60"/>
      <c r="R30" s="60">
        <v>82</v>
      </c>
      <c r="S30" s="60">
        <v>5</v>
      </c>
      <c r="T30" s="60"/>
      <c r="U30" s="60">
        <v>5</v>
      </c>
      <c r="V30" s="60">
        <v>26</v>
      </c>
      <c r="W30" s="60">
        <v>78</v>
      </c>
      <c r="X30" s="60">
        <v>8</v>
      </c>
      <c r="Y30" s="60">
        <v>15</v>
      </c>
      <c r="Z30" s="60"/>
      <c r="AA30" s="60"/>
      <c r="AB30" s="60"/>
      <c r="AC30" s="60"/>
      <c r="AD30" s="60"/>
      <c r="AE30" s="77">
        <f t="shared" si="5"/>
        <v>715</v>
      </c>
      <c r="AF30" s="30"/>
      <c r="AG30" s="30"/>
      <c r="AH30" s="30"/>
    </row>
    <row r="31" spans="1:34" ht="13" thickBot="1" x14ac:dyDescent="0.45">
      <c r="A31" s="30" t="str">
        <f t="shared" si="4"/>
        <v>WIDGEON</v>
      </c>
      <c r="B31" s="30"/>
      <c r="C31" s="60">
        <v>2</v>
      </c>
      <c r="D31" s="60"/>
      <c r="E31" s="60">
        <v>4</v>
      </c>
      <c r="F31" s="60">
        <v>12</v>
      </c>
      <c r="G31" s="60">
        <v>9</v>
      </c>
      <c r="H31" s="60">
        <v>21</v>
      </c>
      <c r="I31" s="60">
        <v>4</v>
      </c>
      <c r="J31" s="60"/>
      <c r="K31" s="60">
        <v>7</v>
      </c>
      <c r="L31" s="60"/>
      <c r="M31" s="60">
        <v>3</v>
      </c>
      <c r="N31" s="60">
        <v>4</v>
      </c>
      <c r="O31" s="60">
        <v>17</v>
      </c>
      <c r="P31" s="60"/>
      <c r="Q31" s="60"/>
      <c r="R31" s="60">
        <v>17</v>
      </c>
      <c r="S31" s="60">
        <v>1</v>
      </c>
      <c r="T31" s="60"/>
      <c r="U31" s="60"/>
      <c r="V31" s="60">
        <v>23</v>
      </c>
      <c r="W31" s="60">
        <v>36</v>
      </c>
      <c r="X31" s="60">
        <v>1</v>
      </c>
      <c r="Y31" s="60">
        <v>5</v>
      </c>
      <c r="Z31" s="60"/>
      <c r="AA31" s="60"/>
      <c r="AB31" s="60"/>
      <c r="AC31" s="60"/>
      <c r="AD31" s="60"/>
      <c r="AE31" s="77">
        <f t="shared" si="5"/>
        <v>166</v>
      </c>
      <c r="AF31" s="30"/>
      <c r="AG31" s="30"/>
      <c r="AH31" s="30"/>
    </row>
    <row r="32" spans="1:34" ht="13" thickBot="1" x14ac:dyDescent="0.45">
      <c r="A32" s="30" t="s">
        <v>111</v>
      </c>
      <c r="B32" s="30"/>
      <c r="C32" s="60"/>
      <c r="D32" s="60"/>
      <c r="E32" s="60"/>
      <c r="F32" s="60"/>
      <c r="G32" s="60"/>
      <c r="H32" s="60"/>
      <c r="I32" s="60"/>
      <c r="J32" s="60"/>
      <c r="K32" s="60">
        <v>2</v>
      </c>
      <c r="L32" s="60"/>
      <c r="M32" s="60"/>
      <c r="N32" s="60"/>
      <c r="O32" s="60"/>
      <c r="P32" s="60"/>
      <c r="Q32" s="60"/>
      <c r="R32" s="60"/>
      <c r="S32" s="60"/>
      <c r="T32" s="60"/>
      <c r="U32" s="60"/>
      <c r="V32" s="60"/>
      <c r="W32" s="60"/>
      <c r="X32" s="60"/>
      <c r="Y32" s="60"/>
      <c r="Z32" s="60"/>
      <c r="AA32" s="60"/>
      <c r="AB32" s="60"/>
      <c r="AC32" s="60"/>
      <c r="AD32" s="60"/>
      <c r="AE32" s="77">
        <f t="shared" si="5"/>
        <v>2</v>
      </c>
      <c r="AF32" s="30"/>
      <c r="AG32" s="30"/>
      <c r="AH32" s="30"/>
    </row>
    <row r="33" spans="1:34" ht="13" thickBot="1" x14ac:dyDescent="0.45">
      <c r="A33" s="30" t="str">
        <f t="shared" si="4"/>
        <v>MISC</v>
      </c>
      <c r="B33" s="30"/>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77">
        <f t="shared" si="5"/>
        <v>0</v>
      </c>
      <c r="AF33" s="30"/>
      <c r="AG33" s="30"/>
      <c r="AH33" s="30"/>
    </row>
    <row r="34" spans="1:34" x14ac:dyDescent="0.4">
      <c r="A34" s="30" t="s">
        <v>25</v>
      </c>
      <c r="B34" s="30"/>
      <c r="C34" s="60">
        <f>0+SUM(C20:C33)</f>
        <v>47</v>
      </c>
      <c r="D34" s="60">
        <f t="shared" ref="D34:U34" si="6">0+SUM(D20:D33)</f>
        <v>4</v>
      </c>
      <c r="E34" s="60">
        <f t="shared" si="6"/>
        <v>45</v>
      </c>
      <c r="F34" s="60">
        <f t="shared" si="6"/>
        <v>140</v>
      </c>
      <c r="G34" s="60">
        <f t="shared" si="6"/>
        <v>108</v>
      </c>
      <c r="H34" s="60">
        <f t="shared" si="6"/>
        <v>183</v>
      </c>
      <c r="I34" s="60">
        <f t="shared" si="6"/>
        <v>47</v>
      </c>
      <c r="J34" s="60">
        <f t="shared" si="6"/>
        <v>0</v>
      </c>
      <c r="K34" s="60">
        <f t="shared" si="6"/>
        <v>56</v>
      </c>
      <c r="L34" s="60">
        <f t="shared" si="6"/>
        <v>34</v>
      </c>
      <c r="M34" s="60">
        <f t="shared" si="6"/>
        <v>38</v>
      </c>
      <c r="N34" s="60">
        <f t="shared" si="6"/>
        <v>44</v>
      </c>
      <c r="O34" s="60">
        <f t="shared" si="6"/>
        <v>134</v>
      </c>
      <c r="P34" s="60">
        <f t="shared" si="6"/>
        <v>0</v>
      </c>
      <c r="Q34" s="60">
        <f t="shared" si="6"/>
        <v>0</v>
      </c>
      <c r="R34" s="60">
        <f t="shared" si="6"/>
        <v>128</v>
      </c>
      <c r="S34" s="60">
        <f t="shared" si="6"/>
        <v>9</v>
      </c>
      <c r="T34" s="60">
        <f t="shared" si="6"/>
        <v>0</v>
      </c>
      <c r="U34" s="60">
        <f t="shared" si="6"/>
        <v>11</v>
      </c>
      <c r="V34" s="60">
        <f t="shared" ref="V34:AD34" si="7">0+SUM(V20:V33)</f>
        <v>73</v>
      </c>
      <c r="W34" s="60">
        <f t="shared" si="7"/>
        <v>170</v>
      </c>
      <c r="X34" s="60">
        <f t="shared" si="7"/>
        <v>18</v>
      </c>
      <c r="Y34" s="60">
        <f t="shared" si="7"/>
        <v>24</v>
      </c>
      <c r="Z34" s="60">
        <f t="shared" si="7"/>
        <v>0</v>
      </c>
      <c r="AA34" s="60">
        <f t="shared" si="7"/>
        <v>0</v>
      </c>
      <c r="AB34" s="60">
        <f t="shared" si="7"/>
        <v>0</v>
      </c>
      <c r="AC34" s="60">
        <f t="shared" si="7"/>
        <v>0</v>
      </c>
      <c r="AD34" s="60">
        <f t="shared" si="7"/>
        <v>0</v>
      </c>
      <c r="AE34" s="30">
        <f>SUM(AE20:AE33)</f>
        <v>1313</v>
      </c>
      <c r="AF34" s="30"/>
      <c r="AG34" s="30"/>
      <c r="AH34" s="30"/>
    </row>
    <row r="35" spans="1:34" ht="13" thickBot="1" x14ac:dyDescent="0.45">
      <c r="A35" s="30"/>
      <c r="B35" s="3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30"/>
      <c r="AF35" s="30"/>
      <c r="AG35" s="30"/>
      <c r="AH35" s="30"/>
    </row>
    <row r="36" spans="1:34"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c r="AH36" s="30"/>
    </row>
    <row r="37" spans="1:34" ht="13" thickBot="1" x14ac:dyDescent="0.45">
      <c r="A37" s="10" t="str">
        <f>A19</f>
        <v>BLIND #</v>
      </c>
      <c r="B37" s="14"/>
      <c r="C37" s="12">
        <f t="shared" ref="C37:U37" si="8">C19</f>
        <v>1</v>
      </c>
      <c r="D37" s="12">
        <f t="shared" si="8"/>
        <v>2</v>
      </c>
      <c r="E37" s="12">
        <f t="shared" si="8"/>
        <v>3</v>
      </c>
      <c r="F37" s="12">
        <f t="shared" si="8"/>
        <v>4</v>
      </c>
      <c r="G37" s="12">
        <f t="shared" si="8"/>
        <v>5</v>
      </c>
      <c r="H37" s="12">
        <f t="shared" si="8"/>
        <v>6</v>
      </c>
      <c r="I37" s="12">
        <f t="shared" si="8"/>
        <v>7</v>
      </c>
      <c r="J37" s="12">
        <f t="shared" si="8"/>
        <v>8</v>
      </c>
      <c r="K37" s="12">
        <f t="shared" si="8"/>
        <v>9</v>
      </c>
      <c r="L37" s="12">
        <f t="shared" si="8"/>
        <v>10</v>
      </c>
      <c r="M37" s="12">
        <f t="shared" si="8"/>
        <v>11</v>
      </c>
      <c r="N37" s="12">
        <f t="shared" si="8"/>
        <v>12</v>
      </c>
      <c r="O37" s="12">
        <f t="shared" si="8"/>
        <v>13</v>
      </c>
      <c r="P37" s="12">
        <f t="shared" si="8"/>
        <v>14</v>
      </c>
      <c r="Q37" s="12">
        <f t="shared" si="8"/>
        <v>15</v>
      </c>
      <c r="R37" s="12">
        <f t="shared" si="8"/>
        <v>16</v>
      </c>
      <c r="S37" s="12">
        <f t="shared" si="8"/>
        <v>17</v>
      </c>
      <c r="T37" s="12">
        <f t="shared" si="8"/>
        <v>18</v>
      </c>
      <c r="U37" s="12">
        <f t="shared" si="8"/>
        <v>19</v>
      </c>
      <c r="V37" s="65">
        <v>20</v>
      </c>
      <c r="W37" s="65">
        <v>21</v>
      </c>
      <c r="X37" s="65">
        <v>22</v>
      </c>
      <c r="Y37" s="65">
        <v>23</v>
      </c>
      <c r="Z37" s="65">
        <v>24</v>
      </c>
      <c r="AA37" s="65">
        <v>25</v>
      </c>
      <c r="AB37" s="65">
        <v>26</v>
      </c>
      <c r="AC37" s="65">
        <v>27</v>
      </c>
      <c r="AD37" s="65">
        <v>28</v>
      </c>
      <c r="AE37" s="15" t="s">
        <v>2</v>
      </c>
      <c r="AF37" s="26" t="s">
        <v>61</v>
      </c>
      <c r="AG37" s="27" t="s">
        <v>59</v>
      </c>
      <c r="AH37" s="30"/>
    </row>
    <row r="38" spans="1:34" ht="13" thickBot="1" x14ac:dyDescent="0.45">
      <c r="A38" s="30" t="str">
        <f>A20</f>
        <v>RUDDY</v>
      </c>
      <c r="B38" s="30"/>
      <c r="C38" s="60">
        <f t="shared" ref="C38:Y49" si="9">C3+C20</f>
        <v>2</v>
      </c>
      <c r="D38" s="60">
        <f t="shared" si="9"/>
        <v>0</v>
      </c>
      <c r="E38" s="60">
        <f t="shared" si="9"/>
        <v>0</v>
      </c>
      <c r="F38" s="60">
        <f t="shared" si="9"/>
        <v>0</v>
      </c>
      <c r="G38" s="60">
        <f t="shared" si="9"/>
        <v>1</v>
      </c>
      <c r="H38" s="60">
        <f t="shared" si="9"/>
        <v>0</v>
      </c>
      <c r="I38" s="60">
        <f t="shared" si="9"/>
        <v>0</v>
      </c>
      <c r="J38" s="60">
        <f t="shared" si="9"/>
        <v>0</v>
      </c>
      <c r="K38" s="60">
        <f t="shared" si="9"/>
        <v>0</v>
      </c>
      <c r="L38" s="60">
        <f t="shared" si="9"/>
        <v>0</v>
      </c>
      <c r="M38" s="60">
        <f t="shared" si="9"/>
        <v>0</v>
      </c>
      <c r="N38" s="60">
        <f t="shared" si="9"/>
        <v>4</v>
      </c>
      <c r="O38" s="60">
        <f t="shared" si="9"/>
        <v>0</v>
      </c>
      <c r="P38" s="60">
        <f t="shared" si="9"/>
        <v>0</v>
      </c>
      <c r="Q38" s="60">
        <f t="shared" si="9"/>
        <v>0</v>
      </c>
      <c r="R38" s="60">
        <f t="shared" si="9"/>
        <v>0</v>
      </c>
      <c r="S38" s="60">
        <f t="shared" si="9"/>
        <v>0</v>
      </c>
      <c r="T38" s="60">
        <f t="shared" si="9"/>
        <v>0</v>
      </c>
      <c r="U38" s="60">
        <f t="shared" si="9"/>
        <v>0</v>
      </c>
      <c r="V38" s="60">
        <f t="shared" si="9"/>
        <v>0</v>
      </c>
      <c r="W38" s="60">
        <f t="shared" si="9"/>
        <v>0</v>
      </c>
      <c r="X38" s="60">
        <f t="shared" si="9"/>
        <v>0</v>
      </c>
      <c r="Y38" s="60">
        <f t="shared" si="9"/>
        <v>0</v>
      </c>
      <c r="Z38" s="60">
        <f t="shared" ref="Z38:AD48" si="10">Z3+Z20</f>
        <v>0</v>
      </c>
      <c r="AA38" s="60">
        <f t="shared" si="10"/>
        <v>0</v>
      </c>
      <c r="AB38" s="60">
        <f t="shared" si="10"/>
        <v>0</v>
      </c>
      <c r="AC38" s="60">
        <f t="shared" si="10"/>
        <v>0</v>
      </c>
      <c r="AD38" s="60">
        <f t="shared" si="10"/>
        <v>0</v>
      </c>
      <c r="AE38" s="77">
        <f>SUM(C38:AD38)</f>
        <v>7</v>
      </c>
      <c r="AF38" s="66">
        <f>AE38/$AE$52</f>
        <v>3.910614525139665E-3</v>
      </c>
      <c r="AG38" s="67">
        <f>0/10068</f>
        <v>0</v>
      </c>
      <c r="AH38" s="30"/>
    </row>
    <row r="39" spans="1:34" ht="13" thickBot="1" x14ac:dyDescent="0.45">
      <c r="A39" s="30" t="str">
        <f t="shared" ref="A39:A50" si="11">A21</f>
        <v>CANVASBACK</v>
      </c>
      <c r="B39" s="30"/>
      <c r="C39" s="60">
        <f t="shared" si="9"/>
        <v>0</v>
      </c>
      <c r="D39" s="60">
        <f t="shared" si="9"/>
        <v>0</v>
      </c>
      <c r="E39" s="60">
        <f t="shared" si="9"/>
        <v>1</v>
      </c>
      <c r="F39" s="60">
        <f t="shared" si="9"/>
        <v>5</v>
      </c>
      <c r="G39" s="60">
        <f t="shared" si="9"/>
        <v>1</v>
      </c>
      <c r="H39" s="60">
        <f t="shared" si="9"/>
        <v>3</v>
      </c>
      <c r="I39" s="60">
        <f t="shared" si="9"/>
        <v>0</v>
      </c>
      <c r="J39" s="60">
        <f t="shared" si="9"/>
        <v>0</v>
      </c>
      <c r="K39" s="60">
        <f t="shared" si="9"/>
        <v>4</v>
      </c>
      <c r="L39" s="60">
        <f t="shared" si="9"/>
        <v>0</v>
      </c>
      <c r="M39" s="60">
        <f t="shared" si="9"/>
        <v>0</v>
      </c>
      <c r="N39" s="60">
        <f t="shared" si="9"/>
        <v>1</v>
      </c>
      <c r="O39" s="60">
        <f t="shared" si="9"/>
        <v>3</v>
      </c>
      <c r="P39" s="60">
        <f t="shared" si="9"/>
        <v>0</v>
      </c>
      <c r="Q39" s="60">
        <f t="shared" si="9"/>
        <v>0</v>
      </c>
      <c r="R39" s="60">
        <f t="shared" si="9"/>
        <v>0</v>
      </c>
      <c r="S39" s="60">
        <f t="shared" si="9"/>
        <v>0</v>
      </c>
      <c r="T39" s="60">
        <f t="shared" si="9"/>
        <v>0</v>
      </c>
      <c r="U39" s="60">
        <f t="shared" si="9"/>
        <v>0</v>
      </c>
      <c r="V39" s="60">
        <f t="shared" si="9"/>
        <v>0</v>
      </c>
      <c r="W39" s="60">
        <f t="shared" si="9"/>
        <v>3</v>
      </c>
      <c r="X39" s="60">
        <f t="shared" si="9"/>
        <v>0</v>
      </c>
      <c r="Y39" s="60">
        <f t="shared" si="9"/>
        <v>0</v>
      </c>
      <c r="Z39" s="60">
        <f t="shared" si="10"/>
        <v>0</v>
      </c>
      <c r="AA39" s="60">
        <f t="shared" si="10"/>
        <v>0</v>
      </c>
      <c r="AB39" s="60">
        <f t="shared" si="10"/>
        <v>0</v>
      </c>
      <c r="AC39" s="60">
        <f t="shared" si="10"/>
        <v>0</v>
      </c>
      <c r="AD39" s="60">
        <f t="shared" si="10"/>
        <v>0</v>
      </c>
      <c r="AE39" s="77">
        <f t="shared" ref="AE39:AE51" si="12">SUM(C39:AD39)</f>
        <v>21</v>
      </c>
      <c r="AF39" s="66">
        <f>AE39/$AE$52</f>
        <v>1.1731843575418994E-2</v>
      </c>
      <c r="AG39" s="67">
        <v>0</v>
      </c>
      <c r="AH39" s="30"/>
    </row>
    <row r="40" spans="1:34" ht="13" thickBot="1" x14ac:dyDescent="0.45">
      <c r="A40" s="30" t="str">
        <f t="shared" si="11"/>
        <v>GADWALL</v>
      </c>
      <c r="B40" s="30"/>
      <c r="C40" s="60">
        <f t="shared" si="9"/>
        <v>0</v>
      </c>
      <c r="D40" s="60">
        <f t="shared" si="9"/>
        <v>1</v>
      </c>
      <c r="E40" s="60">
        <f t="shared" si="9"/>
        <v>0</v>
      </c>
      <c r="F40" s="60">
        <f t="shared" si="9"/>
        <v>7</v>
      </c>
      <c r="G40" s="60">
        <f t="shared" si="9"/>
        <v>4</v>
      </c>
      <c r="H40" s="60">
        <f t="shared" si="9"/>
        <v>15</v>
      </c>
      <c r="I40" s="60">
        <f t="shared" si="9"/>
        <v>2</v>
      </c>
      <c r="J40" s="60">
        <f t="shared" si="9"/>
        <v>0</v>
      </c>
      <c r="K40" s="60">
        <f t="shared" si="9"/>
        <v>6</v>
      </c>
      <c r="L40" s="60">
        <f t="shared" si="9"/>
        <v>1</v>
      </c>
      <c r="M40" s="60">
        <f t="shared" si="9"/>
        <v>2</v>
      </c>
      <c r="N40" s="60">
        <f t="shared" si="9"/>
        <v>5</v>
      </c>
      <c r="O40" s="60">
        <f t="shared" si="9"/>
        <v>3</v>
      </c>
      <c r="P40" s="60">
        <f t="shared" si="9"/>
        <v>0</v>
      </c>
      <c r="Q40" s="60">
        <f t="shared" si="9"/>
        <v>0</v>
      </c>
      <c r="R40" s="60">
        <f t="shared" si="9"/>
        <v>4</v>
      </c>
      <c r="S40" s="60">
        <f t="shared" si="9"/>
        <v>0</v>
      </c>
      <c r="T40" s="60">
        <f t="shared" si="9"/>
        <v>0</v>
      </c>
      <c r="U40" s="60">
        <f t="shared" si="9"/>
        <v>0</v>
      </c>
      <c r="V40" s="60">
        <f t="shared" si="9"/>
        <v>0</v>
      </c>
      <c r="W40" s="60">
        <f t="shared" si="9"/>
        <v>10</v>
      </c>
      <c r="X40" s="60">
        <f t="shared" si="9"/>
        <v>1</v>
      </c>
      <c r="Y40" s="60">
        <f t="shared" si="9"/>
        <v>3</v>
      </c>
      <c r="Z40" s="60">
        <f t="shared" si="10"/>
        <v>0</v>
      </c>
      <c r="AA40" s="60">
        <f t="shared" si="10"/>
        <v>0</v>
      </c>
      <c r="AB40" s="60">
        <f t="shared" si="10"/>
        <v>0</v>
      </c>
      <c r="AC40" s="60">
        <f t="shared" si="10"/>
        <v>0</v>
      </c>
      <c r="AD40" s="60">
        <f t="shared" si="10"/>
        <v>0</v>
      </c>
      <c r="AE40" s="77">
        <f t="shared" si="12"/>
        <v>64</v>
      </c>
      <c r="AF40" s="66">
        <f>AE40/$AE$52</f>
        <v>3.5754189944134075E-2</v>
      </c>
      <c r="AG40" s="67">
        <v>0</v>
      </c>
      <c r="AH40" s="30"/>
    </row>
    <row r="41" spans="1:34" ht="13" thickBot="1" x14ac:dyDescent="0.45">
      <c r="A41" s="30" t="str">
        <f t="shared" si="11"/>
        <v>GEESE</v>
      </c>
      <c r="B41" s="30"/>
      <c r="C41" s="60">
        <f t="shared" si="9"/>
        <v>0</v>
      </c>
      <c r="D41" s="60">
        <f t="shared" si="9"/>
        <v>0</v>
      </c>
      <c r="E41" s="60">
        <f t="shared" si="9"/>
        <v>0</v>
      </c>
      <c r="F41" s="60">
        <f t="shared" si="9"/>
        <v>1</v>
      </c>
      <c r="G41" s="60">
        <f t="shared" si="9"/>
        <v>2</v>
      </c>
      <c r="H41" s="60">
        <f t="shared" si="9"/>
        <v>0</v>
      </c>
      <c r="I41" s="60">
        <f t="shared" si="9"/>
        <v>0</v>
      </c>
      <c r="J41" s="60">
        <f t="shared" si="9"/>
        <v>0</v>
      </c>
      <c r="K41" s="60">
        <f t="shared" si="9"/>
        <v>1</v>
      </c>
      <c r="L41" s="60">
        <f t="shared" si="9"/>
        <v>0</v>
      </c>
      <c r="M41" s="60">
        <f t="shared" si="9"/>
        <v>0</v>
      </c>
      <c r="N41" s="60">
        <f t="shared" si="9"/>
        <v>0</v>
      </c>
      <c r="O41" s="60">
        <f t="shared" si="9"/>
        <v>2</v>
      </c>
      <c r="P41" s="60">
        <f t="shared" si="9"/>
        <v>0</v>
      </c>
      <c r="Q41" s="60">
        <f t="shared" si="9"/>
        <v>0</v>
      </c>
      <c r="R41" s="60">
        <f t="shared" si="9"/>
        <v>2</v>
      </c>
      <c r="S41" s="60">
        <f t="shared" si="9"/>
        <v>0</v>
      </c>
      <c r="T41" s="60">
        <f t="shared" si="9"/>
        <v>0</v>
      </c>
      <c r="U41" s="60">
        <f t="shared" si="9"/>
        <v>0</v>
      </c>
      <c r="V41" s="60">
        <f t="shared" si="9"/>
        <v>0</v>
      </c>
      <c r="W41" s="60">
        <f t="shared" si="9"/>
        <v>1</v>
      </c>
      <c r="X41" s="60">
        <f t="shared" si="9"/>
        <v>0</v>
      </c>
      <c r="Y41" s="60">
        <f t="shared" si="9"/>
        <v>0</v>
      </c>
      <c r="Z41" s="60">
        <f t="shared" si="10"/>
        <v>0</v>
      </c>
      <c r="AA41" s="60">
        <f t="shared" si="10"/>
        <v>0</v>
      </c>
      <c r="AB41" s="60">
        <f t="shared" si="10"/>
        <v>0</v>
      </c>
      <c r="AC41" s="60">
        <f t="shared" si="10"/>
        <v>0</v>
      </c>
      <c r="AD41" s="60">
        <f t="shared" si="10"/>
        <v>0</v>
      </c>
      <c r="AE41" s="77">
        <f t="shared" si="12"/>
        <v>9</v>
      </c>
      <c r="AF41" s="66">
        <f>AE41/$AE$52</f>
        <v>5.0279329608938546E-3</v>
      </c>
      <c r="AG41" s="67">
        <v>0</v>
      </c>
      <c r="AH41" s="30"/>
    </row>
    <row r="42" spans="1:34" ht="13" thickBot="1" x14ac:dyDescent="0.45">
      <c r="A42" s="30" t="str">
        <f t="shared" si="11"/>
        <v>MALLARD</v>
      </c>
      <c r="B42" s="30"/>
      <c r="C42" s="60">
        <f t="shared" si="9"/>
        <v>0</v>
      </c>
      <c r="D42" s="60">
        <f t="shared" si="9"/>
        <v>0</v>
      </c>
      <c r="E42" s="60">
        <f t="shared" si="9"/>
        <v>1</v>
      </c>
      <c r="F42" s="60">
        <f t="shared" si="9"/>
        <v>2</v>
      </c>
      <c r="G42" s="60">
        <f t="shared" si="9"/>
        <v>2</v>
      </c>
      <c r="H42" s="60">
        <f t="shared" si="9"/>
        <v>1</v>
      </c>
      <c r="I42" s="60">
        <f t="shared" si="9"/>
        <v>2</v>
      </c>
      <c r="J42" s="60">
        <f t="shared" si="9"/>
        <v>0</v>
      </c>
      <c r="K42" s="60">
        <f t="shared" si="9"/>
        <v>1</v>
      </c>
      <c r="L42" s="60">
        <f t="shared" si="9"/>
        <v>1</v>
      </c>
      <c r="M42" s="60">
        <f t="shared" si="9"/>
        <v>0</v>
      </c>
      <c r="N42" s="60">
        <f t="shared" si="9"/>
        <v>0</v>
      </c>
      <c r="O42" s="60">
        <f t="shared" si="9"/>
        <v>1</v>
      </c>
      <c r="P42" s="60">
        <f t="shared" si="9"/>
        <v>0</v>
      </c>
      <c r="Q42" s="60">
        <f t="shared" si="9"/>
        <v>0</v>
      </c>
      <c r="R42" s="60">
        <f t="shared" si="9"/>
        <v>1</v>
      </c>
      <c r="S42" s="60">
        <f t="shared" si="9"/>
        <v>0</v>
      </c>
      <c r="T42" s="60">
        <f t="shared" si="9"/>
        <v>0</v>
      </c>
      <c r="U42" s="60">
        <f t="shared" si="9"/>
        <v>0</v>
      </c>
      <c r="V42" s="60">
        <f t="shared" si="9"/>
        <v>3</v>
      </c>
      <c r="W42" s="60">
        <f t="shared" si="9"/>
        <v>1</v>
      </c>
      <c r="X42" s="60">
        <f t="shared" si="9"/>
        <v>0</v>
      </c>
      <c r="Y42" s="60">
        <f t="shared" si="9"/>
        <v>0</v>
      </c>
      <c r="Z42" s="60">
        <f t="shared" si="10"/>
        <v>0</v>
      </c>
      <c r="AA42" s="60">
        <f t="shared" si="10"/>
        <v>0</v>
      </c>
      <c r="AB42" s="60">
        <f t="shared" si="10"/>
        <v>0</v>
      </c>
      <c r="AC42" s="60">
        <f t="shared" si="10"/>
        <v>0</v>
      </c>
      <c r="AD42" s="60">
        <f t="shared" si="10"/>
        <v>0</v>
      </c>
      <c r="AE42" s="77">
        <f t="shared" si="12"/>
        <v>16</v>
      </c>
      <c r="AF42" s="66">
        <f t="shared" ref="AF42:AF51" si="13">AE42/$AE$52</f>
        <v>8.9385474860335188E-3</v>
      </c>
      <c r="AG42" s="67">
        <v>0</v>
      </c>
      <c r="AH42" s="30"/>
    </row>
    <row r="43" spans="1:34" ht="13" thickBot="1" x14ac:dyDescent="0.45">
      <c r="A43" s="30" t="str">
        <f t="shared" si="11"/>
        <v>PINTAIL</v>
      </c>
      <c r="B43" s="30"/>
      <c r="C43" s="60">
        <f t="shared" si="9"/>
        <v>1</v>
      </c>
      <c r="D43" s="60">
        <f t="shared" si="9"/>
        <v>0</v>
      </c>
      <c r="E43" s="60">
        <f t="shared" si="9"/>
        <v>5</v>
      </c>
      <c r="F43" s="60">
        <f t="shared" si="9"/>
        <v>25</v>
      </c>
      <c r="G43" s="60">
        <f t="shared" si="9"/>
        <v>5</v>
      </c>
      <c r="H43" s="60">
        <f t="shared" si="9"/>
        <v>30</v>
      </c>
      <c r="I43" s="60">
        <f t="shared" si="9"/>
        <v>2</v>
      </c>
      <c r="J43" s="60">
        <f t="shared" si="9"/>
        <v>0</v>
      </c>
      <c r="K43" s="60">
        <f t="shared" si="9"/>
        <v>5</v>
      </c>
      <c r="L43" s="60">
        <f t="shared" si="9"/>
        <v>1</v>
      </c>
      <c r="M43" s="60">
        <f t="shared" si="9"/>
        <v>3</v>
      </c>
      <c r="N43" s="60">
        <f t="shared" si="9"/>
        <v>5</v>
      </c>
      <c r="O43" s="60">
        <f t="shared" si="9"/>
        <v>1</v>
      </c>
      <c r="P43" s="60">
        <f t="shared" si="9"/>
        <v>0</v>
      </c>
      <c r="Q43" s="60">
        <f t="shared" si="9"/>
        <v>0</v>
      </c>
      <c r="R43" s="60">
        <f t="shared" si="9"/>
        <v>6</v>
      </c>
      <c r="S43" s="60">
        <f t="shared" si="9"/>
        <v>1</v>
      </c>
      <c r="T43" s="60">
        <f t="shared" si="9"/>
        <v>0</v>
      </c>
      <c r="U43" s="60">
        <f t="shared" si="9"/>
        <v>2</v>
      </c>
      <c r="V43" s="60">
        <f t="shared" si="9"/>
        <v>6</v>
      </c>
      <c r="W43" s="60">
        <f t="shared" si="9"/>
        <v>13</v>
      </c>
      <c r="X43" s="60">
        <f t="shared" si="9"/>
        <v>1</v>
      </c>
      <c r="Y43" s="60">
        <f t="shared" si="9"/>
        <v>1</v>
      </c>
      <c r="Z43" s="60">
        <f t="shared" si="10"/>
        <v>0</v>
      </c>
      <c r="AA43" s="60">
        <f t="shared" si="10"/>
        <v>0</v>
      </c>
      <c r="AB43" s="60">
        <f t="shared" si="10"/>
        <v>0</v>
      </c>
      <c r="AC43" s="60">
        <f t="shared" si="10"/>
        <v>0</v>
      </c>
      <c r="AD43" s="60">
        <f t="shared" si="10"/>
        <v>0</v>
      </c>
      <c r="AE43" s="77">
        <f t="shared" si="12"/>
        <v>113</v>
      </c>
      <c r="AF43" s="66">
        <f t="shared" si="13"/>
        <v>6.3128491620111735E-2</v>
      </c>
      <c r="AG43" s="67">
        <v>0</v>
      </c>
      <c r="AH43" s="30"/>
    </row>
    <row r="44" spans="1:34" ht="13" thickBot="1" x14ac:dyDescent="0.45">
      <c r="A44" s="30" t="str">
        <f t="shared" si="11"/>
        <v>REDHEAD</v>
      </c>
      <c r="B44" s="30"/>
      <c r="C44" s="60">
        <f t="shared" si="9"/>
        <v>0</v>
      </c>
      <c r="D44" s="60">
        <f t="shared" si="9"/>
        <v>0</v>
      </c>
      <c r="E44" s="60">
        <f t="shared" si="9"/>
        <v>0</v>
      </c>
      <c r="F44" s="60">
        <f t="shared" si="9"/>
        <v>1</v>
      </c>
      <c r="G44" s="60">
        <f t="shared" si="9"/>
        <v>1</v>
      </c>
      <c r="H44" s="60">
        <f t="shared" si="9"/>
        <v>0</v>
      </c>
      <c r="I44" s="60">
        <f t="shared" si="9"/>
        <v>0</v>
      </c>
      <c r="J44" s="60">
        <f t="shared" si="9"/>
        <v>0</v>
      </c>
      <c r="K44" s="60">
        <f t="shared" si="9"/>
        <v>1</v>
      </c>
      <c r="L44" s="60">
        <f t="shared" si="9"/>
        <v>0</v>
      </c>
      <c r="M44" s="60">
        <f t="shared" si="9"/>
        <v>0</v>
      </c>
      <c r="N44" s="60">
        <f t="shared" si="9"/>
        <v>0</v>
      </c>
      <c r="O44" s="60">
        <f t="shared" si="9"/>
        <v>2</v>
      </c>
      <c r="P44" s="60">
        <f t="shared" si="9"/>
        <v>0</v>
      </c>
      <c r="Q44" s="60">
        <f t="shared" si="9"/>
        <v>0</v>
      </c>
      <c r="R44" s="60">
        <f t="shared" si="9"/>
        <v>0</v>
      </c>
      <c r="S44" s="60">
        <f t="shared" si="9"/>
        <v>0</v>
      </c>
      <c r="T44" s="60">
        <f t="shared" si="9"/>
        <v>0</v>
      </c>
      <c r="U44" s="60">
        <f t="shared" si="9"/>
        <v>0</v>
      </c>
      <c r="V44" s="60">
        <f t="shared" si="9"/>
        <v>0</v>
      </c>
      <c r="W44" s="60">
        <f t="shared" si="9"/>
        <v>0</v>
      </c>
      <c r="X44" s="60">
        <f t="shared" si="9"/>
        <v>0</v>
      </c>
      <c r="Y44" s="60">
        <f t="shared" si="9"/>
        <v>0</v>
      </c>
      <c r="Z44" s="60">
        <f t="shared" si="10"/>
        <v>0</v>
      </c>
      <c r="AA44" s="60">
        <f t="shared" si="10"/>
        <v>0</v>
      </c>
      <c r="AB44" s="60">
        <f t="shared" si="10"/>
        <v>0</v>
      </c>
      <c r="AC44" s="60">
        <f t="shared" si="10"/>
        <v>0</v>
      </c>
      <c r="AD44" s="60">
        <f t="shared" si="10"/>
        <v>0</v>
      </c>
      <c r="AE44" s="77">
        <f t="shared" si="12"/>
        <v>5</v>
      </c>
      <c r="AF44" s="66">
        <f t="shared" si="13"/>
        <v>2.7932960893854749E-3</v>
      </c>
      <c r="AG44" s="67">
        <v>0</v>
      </c>
      <c r="AH44" s="30"/>
    </row>
    <row r="45" spans="1:34" ht="13" thickBot="1" x14ac:dyDescent="0.45">
      <c r="A45" s="30" t="str">
        <f t="shared" si="11"/>
        <v>RINGNECK</v>
      </c>
      <c r="B45" s="30"/>
      <c r="C45" s="60">
        <f t="shared" si="9"/>
        <v>0</v>
      </c>
      <c r="D45" s="60">
        <f t="shared" si="9"/>
        <v>0</v>
      </c>
      <c r="E45" s="60">
        <f t="shared" si="9"/>
        <v>0</v>
      </c>
      <c r="F45" s="60">
        <f t="shared" si="9"/>
        <v>0</v>
      </c>
      <c r="G45" s="60">
        <f t="shared" si="9"/>
        <v>0</v>
      </c>
      <c r="H45" s="60">
        <f t="shared" si="9"/>
        <v>1</v>
      </c>
      <c r="I45" s="60">
        <f t="shared" si="9"/>
        <v>0</v>
      </c>
      <c r="J45" s="60">
        <f t="shared" si="9"/>
        <v>0</v>
      </c>
      <c r="K45" s="60">
        <f t="shared" si="9"/>
        <v>1</v>
      </c>
      <c r="L45" s="60">
        <f t="shared" si="9"/>
        <v>0</v>
      </c>
      <c r="M45" s="60">
        <f t="shared" si="9"/>
        <v>0</v>
      </c>
      <c r="N45" s="60">
        <f t="shared" si="9"/>
        <v>0</v>
      </c>
      <c r="O45" s="60">
        <f t="shared" si="9"/>
        <v>0</v>
      </c>
      <c r="P45" s="60">
        <f t="shared" si="9"/>
        <v>0</v>
      </c>
      <c r="Q45" s="60">
        <f t="shared" si="9"/>
        <v>0</v>
      </c>
      <c r="R45" s="60">
        <f t="shared" si="9"/>
        <v>0</v>
      </c>
      <c r="S45" s="60">
        <f t="shared" si="9"/>
        <v>0</v>
      </c>
      <c r="T45" s="60">
        <f t="shared" si="9"/>
        <v>0</v>
      </c>
      <c r="U45" s="60">
        <f t="shared" si="9"/>
        <v>0</v>
      </c>
      <c r="V45" s="60">
        <f t="shared" si="9"/>
        <v>0</v>
      </c>
      <c r="W45" s="60">
        <f t="shared" si="9"/>
        <v>0</v>
      </c>
      <c r="X45" s="60">
        <f t="shared" si="9"/>
        <v>0</v>
      </c>
      <c r="Y45" s="60">
        <f t="shared" si="9"/>
        <v>0</v>
      </c>
      <c r="Z45" s="60">
        <f t="shared" si="10"/>
        <v>0</v>
      </c>
      <c r="AA45" s="60">
        <f t="shared" si="10"/>
        <v>0</v>
      </c>
      <c r="AB45" s="60">
        <f t="shared" si="10"/>
        <v>0</v>
      </c>
      <c r="AC45" s="60">
        <f t="shared" si="10"/>
        <v>0</v>
      </c>
      <c r="AD45" s="60">
        <f t="shared" si="10"/>
        <v>0</v>
      </c>
      <c r="AE45" s="77">
        <f t="shared" si="12"/>
        <v>2</v>
      </c>
      <c r="AF45" s="66">
        <f t="shared" si="13"/>
        <v>1.1173184357541898E-3</v>
      </c>
      <c r="AG45" s="67">
        <v>0</v>
      </c>
      <c r="AH45" s="30"/>
    </row>
    <row r="46" spans="1:34" ht="13" thickBot="1" x14ac:dyDescent="0.45">
      <c r="A46" s="30" t="str">
        <f t="shared" si="11"/>
        <v>B'HEAD</v>
      </c>
      <c r="B46" s="30"/>
      <c r="C46" s="60">
        <f t="shared" si="9"/>
        <v>0</v>
      </c>
      <c r="D46" s="60">
        <f t="shared" si="9"/>
        <v>0</v>
      </c>
      <c r="E46" s="60">
        <f t="shared" si="9"/>
        <v>2</v>
      </c>
      <c r="F46" s="60">
        <f t="shared" si="9"/>
        <v>1</v>
      </c>
      <c r="G46" s="60">
        <f t="shared" si="9"/>
        <v>4</v>
      </c>
      <c r="H46" s="60">
        <f t="shared" si="9"/>
        <v>2</v>
      </c>
      <c r="I46" s="60">
        <f t="shared" si="9"/>
        <v>3</v>
      </c>
      <c r="J46" s="60">
        <f t="shared" si="9"/>
        <v>0</v>
      </c>
      <c r="K46" s="60">
        <f t="shared" si="9"/>
        <v>14</v>
      </c>
      <c r="L46" s="60">
        <f t="shared" si="9"/>
        <v>3</v>
      </c>
      <c r="M46" s="60">
        <f t="shared" si="9"/>
        <v>2</v>
      </c>
      <c r="N46" s="60">
        <f t="shared" si="9"/>
        <v>4</v>
      </c>
      <c r="O46" s="60">
        <f t="shared" si="9"/>
        <v>0</v>
      </c>
      <c r="P46" s="60">
        <f t="shared" si="9"/>
        <v>0</v>
      </c>
      <c r="Q46" s="60">
        <f t="shared" si="9"/>
        <v>0</v>
      </c>
      <c r="R46" s="60">
        <f t="shared" si="9"/>
        <v>0</v>
      </c>
      <c r="S46" s="60">
        <f t="shared" si="9"/>
        <v>0</v>
      </c>
      <c r="T46" s="60">
        <f t="shared" si="9"/>
        <v>0</v>
      </c>
      <c r="U46" s="60">
        <f t="shared" si="9"/>
        <v>0</v>
      </c>
      <c r="V46" s="60">
        <f t="shared" si="9"/>
        <v>0</v>
      </c>
      <c r="W46" s="60">
        <f t="shared" si="9"/>
        <v>1</v>
      </c>
      <c r="X46" s="60">
        <f t="shared" si="9"/>
        <v>0</v>
      </c>
      <c r="Y46" s="60">
        <f t="shared" si="9"/>
        <v>0</v>
      </c>
      <c r="Z46" s="60">
        <f t="shared" si="10"/>
        <v>0</v>
      </c>
      <c r="AA46" s="60">
        <f t="shared" si="10"/>
        <v>0</v>
      </c>
      <c r="AB46" s="60">
        <f t="shared" si="10"/>
        <v>0</v>
      </c>
      <c r="AC46" s="60">
        <f t="shared" si="10"/>
        <v>0</v>
      </c>
      <c r="AD46" s="60">
        <f t="shared" si="10"/>
        <v>0</v>
      </c>
      <c r="AE46" s="77">
        <f t="shared" si="12"/>
        <v>36</v>
      </c>
      <c r="AF46" s="66">
        <f t="shared" si="13"/>
        <v>2.0111731843575419E-2</v>
      </c>
      <c r="AG46" s="67">
        <v>0</v>
      </c>
      <c r="AH46" s="30"/>
    </row>
    <row r="47" spans="1:34" ht="13" thickBot="1" x14ac:dyDescent="0.45">
      <c r="A47" s="30" t="str">
        <f t="shared" si="11"/>
        <v>SPOONY</v>
      </c>
      <c r="B47" s="30"/>
      <c r="C47" s="60">
        <f t="shared" si="9"/>
        <v>15</v>
      </c>
      <c r="D47" s="60">
        <f t="shared" si="9"/>
        <v>8</v>
      </c>
      <c r="E47" s="60">
        <f t="shared" si="9"/>
        <v>22</v>
      </c>
      <c r="F47" s="60">
        <f t="shared" si="9"/>
        <v>40</v>
      </c>
      <c r="G47" s="60">
        <f t="shared" si="9"/>
        <v>64</v>
      </c>
      <c r="H47" s="60">
        <f t="shared" si="9"/>
        <v>103</v>
      </c>
      <c r="I47" s="60">
        <f t="shared" si="9"/>
        <v>18</v>
      </c>
      <c r="J47" s="60">
        <f t="shared" si="9"/>
        <v>0</v>
      </c>
      <c r="K47" s="60">
        <f t="shared" si="9"/>
        <v>32</v>
      </c>
      <c r="L47" s="60">
        <f t="shared" si="9"/>
        <v>7</v>
      </c>
      <c r="M47" s="60">
        <f t="shared" si="9"/>
        <v>13</v>
      </c>
      <c r="N47" s="60">
        <f t="shared" si="9"/>
        <v>35</v>
      </c>
      <c r="O47" s="60">
        <f t="shared" si="9"/>
        <v>15</v>
      </c>
      <c r="P47" s="60">
        <f t="shared" si="9"/>
        <v>0</v>
      </c>
      <c r="Q47" s="60">
        <f t="shared" si="9"/>
        <v>0</v>
      </c>
      <c r="R47" s="60">
        <f t="shared" si="9"/>
        <v>25</v>
      </c>
      <c r="S47" s="60">
        <f t="shared" si="9"/>
        <v>2</v>
      </c>
      <c r="T47" s="60">
        <f t="shared" si="9"/>
        <v>0</v>
      </c>
      <c r="U47" s="60">
        <f t="shared" si="9"/>
        <v>4</v>
      </c>
      <c r="V47" s="60">
        <f t="shared" si="9"/>
        <v>15</v>
      </c>
      <c r="W47" s="60">
        <f t="shared" si="9"/>
        <v>56</v>
      </c>
      <c r="X47" s="60">
        <f t="shared" si="9"/>
        <v>7</v>
      </c>
      <c r="Y47" s="60">
        <f t="shared" si="9"/>
        <v>0</v>
      </c>
      <c r="Z47" s="60">
        <f t="shared" si="10"/>
        <v>0</v>
      </c>
      <c r="AA47" s="60">
        <f t="shared" si="10"/>
        <v>0</v>
      </c>
      <c r="AB47" s="60">
        <f t="shared" si="10"/>
        <v>0</v>
      </c>
      <c r="AC47" s="60">
        <f t="shared" si="10"/>
        <v>0</v>
      </c>
      <c r="AD47" s="60">
        <f t="shared" si="10"/>
        <v>0</v>
      </c>
      <c r="AE47" s="77">
        <f t="shared" si="12"/>
        <v>481</v>
      </c>
      <c r="AF47" s="66">
        <f>AE47/$AE$52</f>
        <v>0.2687150837988827</v>
      </c>
      <c r="AG47" s="67">
        <v>0</v>
      </c>
      <c r="AH47" s="30"/>
    </row>
    <row r="48" spans="1:34" ht="13" thickBot="1" x14ac:dyDescent="0.45">
      <c r="A48" s="30" t="str">
        <f t="shared" si="11"/>
        <v>TEAL</v>
      </c>
      <c r="B48" s="30"/>
      <c r="C48" s="60">
        <f t="shared" si="9"/>
        <v>32</v>
      </c>
      <c r="D48" s="60">
        <f t="shared" si="9"/>
        <v>5</v>
      </c>
      <c r="E48" s="60">
        <f t="shared" si="9"/>
        <v>26</v>
      </c>
      <c r="F48" s="60">
        <f t="shared" si="9"/>
        <v>97</v>
      </c>
      <c r="G48" s="60">
        <f t="shared" si="9"/>
        <v>66</v>
      </c>
      <c r="H48" s="60">
        <f t="shared" si="9"/>
        <v>114</v>
      </c>
      <c r="I48" s="60">
        <f t="shared" si="9"/>
        <v>36</v>
      </c>
      <c r="J48" s="60">
        <f t="shared" si="9"/>
        <v>0</v>
      </c>
      <c r="K48" s="60">
        <f t="shared" si="9"/>
        <v>41</v>
      </c>
      <c r="L48" s="60">
        <f t="shared" si="9"/>
        <v>34</v>
      </c>
      <c r="M48" s="60">
        <f t="shared" si="9"/>
        <v>17</v>
      </c>
      <c r="N48" s="60">
        <f t="shared" si="9"/>
        <v>35</v>
      </c>
      <c r="O48" s="60">
        <f t="shared" si="9"/>
        <v>90</v>
      </c>
      <c r="P48" s="60">
        <f t="shared" si="9"/>
        <v>0</v>
      </c>
      <c r="Q48" s="60">
        <f t="shared" si="9"/>
        <v>0</v>
      </c>
      <c r="R48" s="60">
        <f t="shared" si="9"/>
        <v>87</v>
      </c>
      <c r="S48" s="60">
        <f t="shared" si="9"/>
        <v>6</v>
      </c>
      <c r="T48" s="60">
        <f t="shared" si="9"/>
        <v>0</v>
      </c>
      <c r="U48" s="60">
        <f t="shared" si="9"/>
        <v>5</v>
      </c>
      <c r="V48" s="60">
        <f t="shared" si="9"/>
        <v>26</v>
      </c>
      <c r="W48" s="60">
        <f t="shared" si="9"/>
        <v>84</v>
      </c>
      <c r="X48" s="60">
        <f t="shared" si="9"/>
        <v>8</v>
      </c>
      <c r="Y48" s="60">
        <f t="shared" si="9"/>
        <v>15</v>
      </c>
      <c r="Z48" s="60">
        <f t="shared" si="10"/>
        <v>0</v>
      </c>
      <c r="AA48" s="60">
        <f t="shared" si="10"/>
        <v>0</v>
      </c>
      <c r="AB48" s="60">
        <f t="shared" si="10"/>
        <v>0</v>
      </c>
      <c r="AC48" s="60">
        <f t="shared" si="10"/>
        <v>0</v>
      </c>
      <c r="AD48" s="60">
        <f t="shared" si="10"/>
        <v>0</v>
      </c>
      <c r="AE48" s="77">
        <f t="shared" si="12"/>
        <v>824</v>
      </c>
      <c r="AF48" s="66">
        <f t="shared" si="13"/>
        <v>0.46033519553072627</v>
      </c>
      <c r="AG48" s="67">
        <v>0</v>
      </c>
      <c r="AH48" s="30"/>
    </row>
    <row r="49" spans="1:34" ht="13" thickBot="1" x14ac:dyDescent="0.45">
      <c r="A49" s="30" t="str">
        <f t="shared" si="11"/>
        <v>WIDGEON</v>
      </c>
      <c r="B49" s="30"/>
      <c r="C49" s="60">
        <f t="shared" si="9"/>
        <v>2</v>
      </c>
      <c r="D49" s="60">
        <f t="shared" si="9"/>
        <v>1</v>
      </c>
      <c r="E49" s="60">
        <f t="shared" ref="C49:Y51" si="14">E14+E31</f>
        <v>4</v>
      </c>
      <c r="F49" s="60">
        <f t="shared" si="14"/>
        <v>18</v>
      </c>
      <c r="G49" s="60">
        <f t="shared" si="14"/>
        <v>10</v>
      </c>
      <c r="H49" s="60">
        <f t="shared" si="14"/>
        <v>31</v>
      </c>
      <c r="I49" s="60">
        <f t="shared" si="14"/>
        <v>4</v>
      </c>
      <c r="J49" s="60">
        <f t="shared" si="14"/>
        <v>0</v>
      </c>
      <c r="K49" s="60">
        <f t="shared" si="14"/>
        <v>15</v>
      </c>
      <c r="L49" s="60">
        <f t="shared" si="14"/>
        <v>0</v>
      </c>
      <c r="M49" s="60">
        <f t="shared" si="14"/>
        <v>4</v>
      </c>
      <c r="N49" s="60">
        <f t="shared" si="14"/>
        <v>11</v>
      </c>
      <c r="O49" s="60">
        <f t="shared" si="14"/>
        <v>17</v>
      </c>
      <c r="P49" s="60">
        <f t="shared" si="14"/>
        <v>0</v>
      </c>
      <c r="Q49" s="60">
        <f t="shared" si="14"/>
        <v>0</v>
      </c>
      <c r="R49" s="60">
        <f t="shared" si="14"/>
        <v>20</v>
      </c>
      <c r="S49" s="60">
        <f t="shared" si="14"/>
        <v>1</v>
      </c>
      <c r="T49" s="60">
        <f t="shared" si="14"/>
        <v>0</v>
      </c>
      <c r="U49" s="60">
        <f t="shared" si="14"/>
        <v>0</v>
      </c>
      <c r="V49" s="60">
        <f t="shared" si="14"/>
        <v>24</v>
      </c>
      <c r="W49" s="60">
        <f t="shared" si="14"/>
        <v>40</v>
      </c>
      <c r="X49" s="60">
        <f t="shared" si="14"/>
        <v>1</v>
      </c>
      <c r="Y49" s="60">
        <f t="shared" si="14"/>
        <v>5</v>
      </c>
      <c r="Z49" s="60">
        <f t="shared" ref="Z49:AD51" si="15">Z14+Z31</f>
        <v>0</v>
      </c>
      <c r="AA49" s="60">
        <f t="shared" si="15"/>
        <v>0</v>
      </c>
      <c r="AB49" s="60">
        <f t="shared" si="15"/>
        <v>0</v>
      </c>
      <c r="AC49" s="60">
        <f t="shared" si="15"/>
        <v>0</v>
      </c>
      <c r="AD49" s="60">
        <f t="shared" si="15"/>
        <v>0</v>
      </c>
      <c r="AE49" s="77">
        <f t="shared" si="12"/>
        <v>208</v>
      </c>
      <c r="AF49" s="66">
        <f t="shared" si="13"/>
        <v>0.11620111731843576</v>
      </c>
      <c r="AG49" s="67">
        <v>0</v>
      </c>
      <c r="AH49" s="30"/>
    </row>
    <row r="50" spans="1:34" ht="13" thickBot="1" x14ac:dyDescent="0.45">
      <c r="A50" s="30" t="str">
        <f t="shared" si="11"/>
        <v>SCAUP</v>
      </c>
      <c r="B50" s="30"/>
      <c r="C50" s="60">
        <f t="shared" si="14"/>
        <v>0</v>
      </c>
      <c r="D50" s="60">
        <f t="shared" si="14"/>
        <v>0</v>
      </c>
      <c r="E50" s="60">
        <f t="shared" si="14"/>
        <v>0</v>
      </c>
      <c r="F50" s="60">
        <f t="shared" si="14"/>
        <v>0</v>
      </c>
      <c r="G50" s="60">
        <f t="shared" si="14"/>
        <v>0</v>
      </c>
      <c r="H50" s="60">
        <f t="shared" si="14"/>
        <v>0</v>
      </c>
      <c r="I50" s="60">
        <f t="shared" si="14"/>
        <v>0</v>
      </c>
      <c r="J50" s="60">
        <f t="shared" si="14"/>
        <v>0</v>
      </c>
      <c r="K50" s="60">
        <f t="shared" si="14"/>
        <v>2</v>
      </c>
      <c r="L50" s="60">
        <f t="shared" si="14"/>
        <v>0</v>
      </c>
      <c r="M50" s="60">
        <f t="shared" si="14"/>
        <v>0</v>
      </c>
      <c r="N50" s="60">
        <f t="shared" si="14"/>
        <v>0</v>
      </c>
      <c r="O50" s="60">
        <f t="shared" si="14"/>
        <v>0</v>
      </c>
      <c r="P50" s="60">
        <f t="shared" si="14"/>
        <v>0</v>
      </c>
      <c r="Q50" s="60">
        <f t="shared" si="14"/>
        <v>0</v>
      </c>
      <c r="R50" s="60">
        <f t="shared" si="14"/>
        <v>0</v>
      </c>
      <c r="S50" s="60">
        <f t="shared" si="14"/>
        <v>0</v>
      </c>
      <c r="T50" s="60">
        <f t="shared" si="14"/>
        <v>0</v>
      </c>
      <c r="U50" s="60">
        <f t="shared" si="14"/>
        <v>0</v>
      </c>
      <c r="V50" s="60">
        <f t="shared" si="14"/>
        <v>0</v>
      </c>
      <c r="W50" s="60">
        <f t="shared" si="14"/>
        <v>0</v>
      </c>
      <c r="X50" s="60">
        <f>X15+X32</f>
        <v>0</v>
      </c>
      <c r="Y50" s="60">
        <f>Y15+Y32</f>
        <v>0</v>
      </c>
      <c r="Z50" s="60">
        <f t="shared" si="15"/>
        <v>0</v>
      </c>
      <c r="AA50" s="60">
        <f t="shared" si="15"/>
        <v>0</v>
      </c>
      <c r="AB50" s="60">
        <f t="shared" si="15"/>
        <v>0</v>
      </c>
      <c r="AC50" s="60">
        <f t="shared" si="15"/>
        <v>0</v>
      </c>
      <c r="AD50" s="60">
        <f t="shared" si="15"/>
        <v>0</v>
      </c>
      <c r="AE50" s="77">
        <f t="shared" si="12"/>
        <v>2</v>
      </c>
      <c r="AF50" s="66">
        <f t="shared" si="13"/>
        <v>1.1173184357541898E-3</v>
      </c>
      <c r="AG50" s="67">
        <v>0</v>
      </c>
      <c r="AH50" s="30"/>
    </row>
    <row r="51" spans="1:34" ht="13" thickBot="1" x14ac:dyDescent="0.45">
      <c r="A51" s="30" t="s">
        <v>58</v>
      </c>
      <c r="B51" s="30"/>
      <c r="C51" s="62">
        <f t="shared" si="14"/>
        <v>0</v>
      </c>
      <c r="D51" s="62">
        <f t="shared" si="14"/>
        <v>0</v>
      </c>
      <c r="E51" s="62">
        <f t="shared" si="14"/>
        <v>0</v>
      </c>
      <c r="F51" s="62">
        <f t="shared" si="14"/>
        <v>1</v>
      </c>
      <c r="G51" s="62">
        <f t="shared" si="14"/>
        <v>0</v>
      </c>
      <c r="H51" s="62">
        <f t="shared" si="14"/>
        <v>0</v>
      </c>
      <c r="I51" s="62">
        <f t="shared" si="14"/>
        <v>0</v>
      </c>
      <c r="J51" s="62">
        <f t="shared" si="14"/>
        <v>0</v>
      </c>
      <c r="K51" s="62">
        <f t="shared" si="14"/>
        <v>1</v>
      </c>
      <c r="L51" s="62">
        <f t="shared" si="14"/>
        <v>0</v>
      </c>
      <c r="M51" s="62">
        <f t="shared" si="14"/>
        <v>0</v>
      </c>
      <c r="N51" s="62">
        <f t="shared" si="14"/>
        <v>0</v>
      </c>
      <c r="O51" s="62">
        <f t="shared" si="14"/>
        <v>0</v>
      </c>
      <c r="P51" s="62">
        <f t="shared" si="14"/>
        <v>0</v>
      </c>
      <c r="Q51" s="62">
        <f t="shared" si="14"/>
        <v>0</v>
      </c>
      <c r="R51" s="62">
        <f t="shared" si="14"/>
        <v>0</v>
      </c>
      <c r="S51" s="62">
        <f t="shared" si="14"/>
        <v>0</v>
      </c>
      <c r="T51" s="62">
        <f t="shared" si="14"/>
        <v>0</v>
      </c>
      <c r="U51" s="62">
        <f t="shared" si="14"/>
        <v>0</v>
      </c>
      <c r="V51" s="62">
        <f>V16+V33</f>
        <v>0</v>
      </c>
      <c r="W51" s="62">
        <f>W16+W33</f>
        <v>0</v>
      </c>
      <c r="X51" s="62">
        <f>X16+X33</f>
        <v>0</v>
      </c>
      <c r="Y51" s="62">
        <f>Y16+Y33</f>
        <v>0</v>
      </c>
      <c r="Z51" s="62">
        <f t="shared" si="15"/>
        <v>0</v>
      </c>
      <c r="AA51" s="62">
        <f t="shared" si="15"/>
        <v>0</v>
      </c>
      <c r="AB51" s="62">
        <f t="shared" si="15"/>
        <v>0</v>
      </c>
      <c r="AC51" s="62">
        <f t="shared" si="15"/>
        <v>0</v>
      </c>
      <c r="AD51" s="62">
        <f t="shared" si="15"/>
        <v>0</v>
      </c>
      <c r="AE51" s="77">
        <f t="shared" si="12"/>
        <v>2</v>
      </c>
      <c r="AF51" s="69">
        <f t="shared" si="13"/>
        <v>1.1173184357541898E-3</v>
      </c>
      <c r="AG51" s="70">
        <v>0</v>
      </c>
      <c r="AH51" s="30"/>
    </row>
    <row r="52" spans="1:34" x14ac:dyDescent="0.4">
      <c r="A52" s="30" t="s">
        <v>25</v>
      </c>
      <c r="B52" s="30"/>
      <c r="C52" s="60">
        <f>0+SUM(C38:C51)</f>
        <v>52</v>
      </c>
      <c r="D52" s="60">
        <f t="shared" ref="D52:U52" si="16">0+SUM(D38:D51)</f>
        <v>15</v>
      </c>
      <c r="E52" s="60">
        <f t="shared" si="16"/>
        <v>61</v>
      </c>
      <c r="F52" s="60">
        <f t="shared" si="16"/>
        <v>198</v>
      </c>
      <c r="G52" s="60">
        <f t="shared" si="16"/>
        <v>160</v>
      </c>
      <c r="H52" s="60">
        <f t="shared" si="16"/>
        <v>300</v>
      </c>
      <c r="I52" s="60">
        <f t="shared" si="16"/>
        <v>67</v>
      </c>
      <c r="J52" s="60">
        <f t="shared" si="16"/>
        <v>0</v>
      </c>
      <c r="K52" s="60">
        <f t="shared" si="16"/>
        <v>124</v>
      </c>
      <c r="L52" s="60">
        <f t="shared" si="16"/>
        <v>47</v>
      </c>
      <c r="M52" s="60">
        <f t="shared" si="16"/>
        <v>41</v>
      </c>
      <c r="N52" s="60">
        <f t="shared" si="16"/>
        <v>100</v>
      </c>
      <c r="O52" s="60">
        <f t="shared" si="16"/>
        <v>134</v>
      </c>
      <c r="P52" s="60">
        <f t="shared" si="16"/>
        <v>0</v>
      </c>
      <c r="Q52" s="60">
        <f t="shared" si="16"/>
        <v>0</v>
      </c>
      <c r="R52" s="60">
        <f t="shared" si="16"/>
        <v>145</v>
      </c>
      <c r="S52" s="60">
        <f t="shared" si="16"/>
        <v>10</v>
      </c>
      <c r="T52" s="60">
        <f t="shared" si="16"/>
        <v>0</v>
      </c>
      <c r="U52" s="60">
        <f t="shared" si="16"/>
        <v>11</v>
      </c>
      <c r="V52" s="60">
        <f>0+SUM(V38:V51)</f>
        <v>74</v>
      </c>
      <c r="W52" s="60">
        <f>0+SUM(W38:W51)</f>
        <v>209</v>
      </c>
      <c r="X52" s="60">
        <f>SUM(X17,X34)</f>
        <v>18</v>
      </c>
      <c r="Y52" s="60">
        <f t="shared" ref="Y52:AD52" si="17">0+SUM(Y38:Y51)</f>
        <v>24</v>
      </c>
      <c r="Z52" s="60">
        <f t="shared" si="17"/>
        <v>0</v>
      </c>
      <c r="AA52" s="60">
        <f t="shared" si="17"/>
        <v>0</v>
      </c>
      <c r="AB52" s="60">
        <f t="shared" si="17"/>
        <v>0</v>
      </c>
      <c r="AC52" s="60">
        <f t="shared" si="17"/>
        <v>0</v>
      </c>
      <c r="AD52" s="60">
        <f t="shared" si="17"/>
        <v>0</v>
      </c>
      <c r="AE52" s="30">
        <f>SUM(AE38:AE51)</f>
        <v>1790</v>
      </c>
      <c r="AF52" s="71"/>
      <c r="AG52" s="71"/>
      <c r="AH52" s="30"/>
    </row>
    <row r="53" spans="1:34" x14ac:dyDescent="0.4">
      <c r="A53" s="30" t="s">
        <v>48</v>
      </c>
      <c r="B53" s="30"/>
      <c r="C53" s="72">
        <f t="shared" ref="C53:U53" si="18">C52/$AE$52</f>
        <v>2.9050279329608939E-2</v>
      </c>
      <c r="D53" s="72">
        <f t="shared" si="18"/>
        <v>8.3798882681564244E-3</v>
      </c>
      <c r="E53" s="72">
        <f t="shared" si="18"/>
        <v>3.4078212290502792E-2</v>
      </c>
      <c r="F53" s="72">
        <f t="shared" si="18"/>
        <v>0.1106145251396648</v>
      </c>
      <c r="G53" s="72">
        <f t="shared" si="18"/>
        <v>8.9385474860335198E-2</v>
      </c>
      <c r="H53" s="72">
        <f t="shared" si="18"/>
        <v>0.16759776536312848</v>
      </c>
      <c r="I53" s="72">
        <f t="shared" si="18"/>
        <v>3.7430167597765365E-2</v>
      </c>
      <c r="J53" s="72">
        <f t="shared" si="18"/>
        <v>0</v>
      </c>
      <c r="K53" s="72">
        <f t="shared" si="18"/>
        <v>6.9273743016759773E-2</v>
      </c>
      <c r="L53" s="72">
        <f t="shared" si="18"/>
        <v>2.6256983240223464E-2</v>
      </c>
      <c r="M53" s="72">
        <f t="shared" si="18"/>
        <v>2.2905027932960894E-2</v>
      </c>
      <c r="N53" s="72">
        <f t="shared" si="18"/>
        <v>5.5865921787709494E-2</v>
      </c>
      <c r="O53" s="72">
        <f t="shared" si="18"/>
        <v>7.4860335195530731E-2</v>
      </c>
      <c r="P53" s="72">
        <f t="shared" si="18"/>
        <v>0</v>
      </c>
      <c r="Q53" s="72">
        <f t="shared" si="18"/>
        <v>0</v>
      </c>
      <c r="R53" s="72">
        <f t="shared" si="18"/>
        <v>8.1005586592178769E-2</v>
      </c>
      <c r="S53" s="72">
        <f t="shared" si="18"/>
        <v>5.5865921787709499E-3</v>
      </c>
      <c r="T53" s="72">
        <f t="shared" si="18"/>
        <v>0</v>
      </c>
      <c r="U53" s="72">
        <f t="shared" si="18"/>
        <v>6.1452513966480443E-3</v>
      </c>
      <c r="V53" s="72">
        <f t="shared" ref="V53:AD53" si="19">V52/$AE$52</f>
        <v>4.1340782122905026E-2</v>
      </c>
      <c r="W53" s="72">
        <f t="shared" si="19"/>
        <v>0.11675977653631285</v>
      </c>
      <c r="X53" s="72">
        <f t="shared" si="19"/>
        <v>1.0055865921787709E-2</v>
      </c>
      <c r="Y53" s="72">
        <f t="shared" si="19"/>
        <v>1.3407821229050279E-2</v>
      </c>
      <c r="Z53" s="72">
        <f t="shared" si="19"/>
        <v>0</v>
      </c>
      <c r="AA53" s="72">
        <f t="shared" si="19"/>
        <v>0</v>
      </c>
      <c r="AB53" s="72">
        <f t="shared" si="19"/>
        <v>0</v>
      </c>
      <c r="AC53" s="72">
        <f t="shared" si="19"/>
        <v>0</v>
      </c>
      <c r="AD53" s="72">
        <f t="shared" si="19"/>
        <v>0</v>
      </c>
      <c r="AE53" s="30"/>
      <c r="AF53" s="30"/>
      <c r="AG53" s="30"/>
      <c r="AH53" s="30"/>
    </row>
    <row r="54" spans="1:34" x14ac:dyDescent="0.4">
      <c r="A54" s="5" t="s">
        <v>47</v>
      </c>
      <c r="B54" s="3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30"/>
      <c r="AF54" s="30"/>
      <c r="AG54" s="30"/>
      <c r="AH54" s="30"/>
    </row>
    <row r="55" spans="1:34" x14ac:dyDescent="0.4">
      <c r="A55" s="30" t="s">
        <v>40</v>
      </c>
      <c r="B55" s="30"/>
      <c r="C55" s="80">
        <v>197</v>
      </c>
      <c r="D55" s="73"/>
      <c r="E55" s="60"/>
      <c r="F55" s="60"/>
      <c r="G55" s="60"/>
      <c r="H55" s="60"/>
      <c r="I55" s="60"/>
      <c r="J55" s="60"/>
      <c r="K55" s="60"/>
      <c r="L55" s="60"/>
      <c r="M55" s="60"/>
      <c r="N55" s="60">
        <f>SUM(O52:Y52)</f>
        <v>625</v>
      </c>
      <c r="O55" s="60"/>
      <c r="P55" s="60"/>
      <c r="Q55" s="60"/>
      <c r="R55" s="60"/>
      <c r="S55" s="60"/>
      <c r="T55" s="60"/>
      <c r="U55" s="60"/>
      <c r="V55" s="60"/>
      <c r="W55" s="60"/>
      <c r="X55" s="60"/>
      <c r="Y55" s="60"/>
      <c r="Z55" s="60"/>
      <c r="AA55" s="60"/>
      <c r="AB55" s="60"/>
      <c r="AC55" s="60"/>
      <c r="AD55" s="60"/>
      <c r="AE55" s="30"/>
      <c r="AF55" s="30"/>
      <c r="AG55" s="30"/>
      <c r="AH55" s="30"/>
    </row>
    <row r="56" spans="1:34" x14ac:dyDescent="0.4">
      <c r="A56" s="30" t="s">
        <v>41</v>
      </c>
      <c r="B56" s="30"/>
      <c r="C56" s="60">
        <v>2.42</v>
      </c>
      <c r="D56" s="74"/>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30"/>
      <c r="AF56" s="30"/>
      <c r="AG56" s="30"/>
      <c r="AH56" s="30"/>
    </row>
    <row r="57" spans="1:34" x14ac:dyDescent="0.4">
      <c r="A57" s="30" t="s">
        <v>42</v>
      </c>
      <c r="B57" s="30"/>
      <c r="C57" s="80">
        <v>377</v>
      </c>
      <c r="D57" s="73"/>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30"/>
      <c r="AF57" s="30"/>
      <c r="AG57" s="30"/>
      <c r="AH57" s="30"/>
    </row>
    <row r="58" spans="1:34" x14ac:dyDescent="0.4">
      <c r="A58" s="30" t="s">
        <v>43</v>
      </c>
      <c r="B58" s="30"/>
      <c r="C58" s="60">
        <v>3.48</v>
      </c>
      <c r="D58" s="74"/>
      <c r="E58" s="60"/>
      <c r="F58" s="29" t="s">
        <v>62</v>
      </c>
      <c r="G58" s="60"/>
      <c r="H58" s="60"/>
      <c r="I58" s="60"/>
      <c r="J58" s="60"/>
      <c r="K58" s="60"/>
      <c r="L58" s="60"/>
      <c r="M58" s="60"/>
      <c r="N58" s="60"/>
      <c r="O58" s="60"/>
      <c r="P58" s="60"/>
      <c r="Q58" s="60"/>
      <c r="R58" s="60"/>
      <c r="S58" s="60"/>
      <c r="T58" s="60"/>
      <c r="U58" s="60"/>
      <c r="V58" s="60"/>
      <c r="W58" s="60"/>
      <c r="X58" s="60"/>
      <c r="Y58" s="60"/>
      <c r="Z58" s="60"/>
      <c r="AA58" s="60"/>
      <c r="AB58" s="60"/>
      <c r="AC58" s="60"/>
      <c r="AD58" s="60"/>
      <c r="AE58" s="30"/>
      <c r="AF58" s="30"/>
      <c r="AG58" s="30"/>
      <c r="AH58" s="30"/>
    </row>
    <row r="59" spans="1:34" x14ac:dyDescent="0.4">
      <c r="A59" s="30" t="s">
        <v>44</v>
      </c>
      <c r="B59" s="30"/>
      <c r="C59" s="80"/>
      <c r="D59" s="73"/>
      <c r="E59" s="60"/>
      <c r="F59" s="74"/>
      <c r="G59" s="60"/>
      <c r="H59" s="60"/>
      <c r="I59" s="60"/>
      <c r="J59" s="76" t="s">
        <v>86</v>
      </c>
      <c r="K59" s="60"/>
      <c r="L59" s="80">
        <v>0</v>
      </c>
      <c r="M59" s="60"/>
      <c r="N59" s="60"/>
      <c r="O59" s="60"/>
      <c r="P59" s="60"/>
      <c r="Q59" s="60"/>
      <c r="R59" s="60"/>
      <c r="S59" s="60"/>
      <c r="T59" s="60"/>
      <c r="U59" s="60"/>
      <c r="V59" s="60"/>
      <c r="W59" s="60"/>
      <c r="X59" s="60"/>
      <c r="Y59" s="60"/>
      <c r="Z59" s="60"/>
      <c r="AA59" s="60"/>
      <c r="AB59" s="60"/>
      <c r="AC59" s="60"/>
      <c r="AD59" s="60"/>
      <c r="AE59" s="30"/>
      <c r="AF59" s="30"/>
      <c r="AG59" s="30"/>
      <c r="AH59" s="30"/>
    </row>
    <row r="60" spans="1:34" x14ac:dyDescent="0.4">
      <c r="A60" s="30" t="s">
        <v>45</v>
      </c>
      <c r="B60" s="30"/>
      <c r="C60" s="60"/>
      <c r="D60" s="74"/>
      <c r="E60" s="60"/>
      <c r="F60" s="74"/>
      <c r="G60" s="64" t="s">
        <v>77</v>
      </c>
      <c r="H60" s="60"/>
      <c r="I60" s="60"/>
      <c r="J60" s="76" t="s">
        <v>82</v>
      </c>
      <c r="K60" s="60"/>
      <c r="L60" s="74">
        <v>0</v>
      </c>
      <c r="M60" s="60"/>
      <c r="N60" s="60"/>
      <c r="O60" s="60"/>
      <c r="P60" s="60"/>
      <c r="Q60" s="60"/>
      <c r="R60" s="60"/>
      <c r="S60" s="60"/>
      <c r="T60" s="60"/>
      <c r="U60" s="60"/>
      <c r="V60" s="60"/>
      <c r="W60" s="60"/>
      <c r="X60" s="60"/>
      <c r="Y60" s="60"/>
      <c r="Z60" s="60"/>
      <c r="AA60" s="60"/>
      <c r="AB60" s="60"/>
      <c r="AC60" s="60"/>
      <c r="AD60" s="60"/>
      <c r="AE60" s="30"/>
      <c r="AF60" s="30"/>
      <c r="AG60" s="30"/>
      <c r="AH60" s="30"/>
    </row>
    <row r="61" spans="1:34" x14ac:dyDescent="0.4">
      <c r="A61" s="30" t="s">
        <v>46</v>
      </c>
      <c r="B61" s="30"/>
      <c r="C61" s="60"/>
      <c r="D61" s="75"/>
      <c r="E61" s="60"/>
      <c r="F61" s="74"/>
      <c r="G61" s="64" t="s">
        <v>64</v>
      </c>
      <c r="H61" s="60"/>
      <c r="I61" s="60"/>
      <c r="J61" s="60"/>
      <c r="K61" s="60"/>
      <c r="L61" s="60"/>
      <c r="M61" s="60"/>
      <c r="N61" s="60"/>
      <c r="O61" s="60"/>
      <c r="P61" s="60"/>
      <c r="Q61" s="60"/>
      <c r="R61" s="60"/>
      <c r="S61" s="60"/>
      <c r="T61" s="60"/>
      <c r="U61" s="60"/>
      <c r="V61" s="60"/>
      <c r="W61" s="60"/>
      <c r="X61" s="60"/>
      <c r="Y61" s="60"/>
      <c r="Z61" s="60"/>
      <c r="AA61" s="60"/>
      <c r="AB61" s="60"/>
      <c r="AC61" s="60"/>
      <c r="AD61" s="60"/>
      <c r="AE61" s="30"/>
      <c r="AF61" s="30"/>
      <c r="AG61" s="30"/>
      <c r="AH61" s="30"/>
    </row>
    <row r="62" spans="1:34" x14ac:dyDescent="0.4">
      <c r="A62" s="5" t="s">
        <v>49</v>
      </c>
      <c r="B62" s="30"/>
      <c r="C62" s="60"/>
      <c r="D62" s="7"/>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30"/>
      <c r="AF62" s="30"/>
      <c r="AG62" s="30"/>
      <c r="AH62" s="30"/>
    </row>
    <row r="63" spans="1:34" x14ac:dyDescent="0.4">
      <c r="A63" s="30"/>
      <c r="B63" s="3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30"/>
      <c r="AF63" s="30"/>
      <c r="AG63" s="30"/>
      <c r="AH63" s="30"/>
    </row>
    <row r="64" spans="1:34" x14ac:dyDescent="0.4">
      <c r="A64" s="30"/>
      <c r="B64" s="3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30"/>
      <c r="AF64" s="30"/>
      <c r="AG64" s="30"/>
      <c r="AH64" s="30"/>
    </row>
    <row r="65" spans="1:34" x14ac:dyDescent="0.4">
      <c r="A65" s="30"/>
      <c r="B65" s="3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30"/>
      <c r="AF65" s="30"/>
      <c r="AG65" s="30"/>
      <c r="AH65" s="30"/>
    </row>
    <row r="66" spans="1:34" x14ac:dyDescent="0.4">
      <c r="A66" s="30"/>
      <c r="B66" s="3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30"/>
      <c r="AF66" s="30"/>
      <c r="AG66" s="30"/>
      <c r="AH66" s="30"/>
    </row>
    <row r="67" spans="1:34" x14ac:dyDescent="0.4">
      <c r="A67" s="5" t="s">
        <v>56</v>
      </c>
      <c r="B67" s="30"/>
      <c r="C67" s="60"/>
      <c r="D67" s="7"/>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30"/>
      <c r="AF67" s="30"/>
      <c r="AG67" s="30"/>
      <c r="AH67" s="30"/>
    </row>
    <row r="68" spans="1:34" x14ac:dyDescent="0.4">
      <c r="A68" s="30"/>
      <c r="B68" s="3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30"/>
      <c r="AF68" s="30"/>
      <c r="AG68" s="30"/>
      <c r="AH68" s="30"/>
    </row>
    <row r="69" spans="1:34" x14ac:dyDescent="0.4">
      <c r="A69" s="30"/>
      <c r="B69" s="3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30"/>
      <c r="AF69" s="30"/>
      <c r="AG69" s="30"/>
      <c r="AH69" s="30"/>
    </row>
    <row r="70" spans="1:34" x14ac:dyDescent="0.4">
      <c r="A70" s="30"/>
      <c r="B70" s="3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30"/>
      <c r="AF70" s="30"/>
      <c r="AG70" s="30"/>
      <c r="AH70" s="30"/>
    </row>
    <row r="71" spans="1:34" x14ac:dyDescent="0.4">
      <c r="A71" s="30"/>
      <c r="B71" s="3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30"/>
      <c r="AF71" s="30"/>
      <c r="AG71" s="30"/>
      <c r="AH71" s="30"/>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G71"/>
  <sheetViews>
    <sheetView zoomScale="60" zoomScaleNormal="60" workbookViewId="0">
      <selection activeCell="P50" sqref="P50"/>
    </sheetView>
  </sheetViews>
  <sheetFormatPr defaultRowHeight="12.7" x14ac:dyDescent="0.4"/>
  <cols>
    <col min="1" max="1" width="18.87890625" customWidth="1"/>
    <col min="2" max="2" width="4.29296875" customWidth="1"/>
    <col min="3" max="31" width="7.87890625" customWidth="1"/>
    <col min="32" max="32" width="8.29296875" customWidth="1"/>
    <col min="33" max="33" width="7.87890625" customWidth="1"/>
  </cols>
  <sheetData>
    <row r="1" spans="1:33" ht="13" thickBot="1" x14ac:dyDescent="0.45">
      <c r="A1" s="5" t="s">
        <v>106</v>
      </c>
      <c r="B1" s="30"/>
      <c r="C1" s="81" t="s">
        <v>120</v>
      </c>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30"/>
      <c r="AF1" s="30"/>
      <c r="AG1" s="30"/>
    </row>
    <row r="2" spans="1:33"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30"/>
      <c r="AG2" s="30"/>
    </row>
    <row r="3" spans="1:33" ht="13" thickBot="1" x14ac:dyDescent="0.45">
      <c r="A3" s="30" t="s">
        <v>34</v>
      </c>
      <c r="B3" s="30"/>
      <c r="C3" s="60"/>
      <c r="D3" s="60"/>
      <c r="E3" s="60"/>
      <c r="F3" s="60"/>
      <c r="G3" s="60"/>
      <c r="H3" s="60"/>
      <c r="I3" s="60"/>
      <c r="J3" s="60"/>
      <c r="K3" s="60"/>
      <c r="L3" s="60"/>
      <c r="M3" s="60"/>
      <c r="N3" s="60">
        <v>4</v>
      </c>
      <c r="O3" s="60"/>
      <c r="P3" s="60"/>
      <c r="Q3" s="60"/>
      <c r="R3" s="60"/>
      <c r="S3" s="60"/>
      <c r="T3" s="60"/>
      <c r="U3" s="60"/>
      <c r="V3" s="60"/>
      <c r="W3" s="60"/>
      <c r="X3" s="60"/>
      <c r="Y3" s="60"/>
      <c r="Z3" s="60"/>
      <c r="AA3" s="60"/>
      <c r="AB3" s="60"/>
      <c r="AC3" s="60"/>
      <c r="AD3" s="60"/>
      <c r="AE3" s="77">
        <f>SUM(C3:AD3)</f>
        <v>4</v>
      </c>
      <c r="AF3" s="30"/>
      <c r="AG3" s="30"/>
    </row>
    <row r="4" spans="1:33" ht="13" thickBot="1" x14ac:dyDescent="0.45">
      <c r="A4" s="30" t="s">
        <v>35</v>
      </c>
      <c r="B4" s="30"/>
      <c r="C4" s="60"/>
      <c r="D4" s="60"/>
      <c r="E4" s="60">
        <v>1</v>
      </c>
      <c r="F4" s="60">
        <v>2</v>
      </c>
      <c r="G4" s="60">
        <v>1</v>
      </c>
      <c r="H4" s="60">
        <v>2</v>
      </c>
      <c r="I4" s="60"/>
      <c r="J4" s="60"/>
      <c r="K4" s="60">
        <v>4</v>
      </c>
      <c r="L4" s="60"/>
      <c r="M4" s="60"/>
      <c r="N4" s="60">
        <v>1</v>
      </c>
      <c r="O4" s="60"/>
      <c r="P4" s="60"/>
      <c r="Q4" s="60"/>
      <c r="R4" s="60"/>
      <c r="S4" s="60"/>
      <c r="T4" s="60"/>
      <c r="U4" s="60"/>
      <c r="V4" s="60"/>
      <c r="W4" s="60">
        <v>1</v>
      </c>
      <c r="X4" s="60"/>
      <c r="Y4" s="60"/>
      <c r="Z4" s="60"/>
      <c r="AA4" s="60"/>
      <c r="AB4" s="60"/>
      <c r="AC4" s="60"/>
      <c r="AD4" s="60"/>
      <c r="AE4" s="77">
        <f t="shared" ref="AE4:AE16" si="0">SUM(C4:AD4)</f>
        <v>12</v>
      </c>
      <c r="AF4" s="30"/>
      <c r="AG4" s="30"/>
    </row>
    <row r="5" spans="1:33" ht="13" thickBot="1" x14ac:dyDescent="0.45">
      <c r="A5" s="30" t="s">
        <v>16</v>
      </c>
      <c r="B5" s="30"/>
      <c r="C5" s="60"/>
      <c r="D5" s="60">
        <v>1</v>
      </c>
      <c r="E5" s="60"/>
      <c r="F5" s="60">
        <v>3</v>
      </c>
      <c r="G5" s="60">
        <v>2</v>
      </c>
      <c r="H5" s="60">
        <v>9</v>
      </c>
      <c r="I5" s="60">
        <v>1</v>
      </c>
      <c r="J5" s="60"/>
      <c r="K5" s="60">
        <v>5</v>
      </c>
      <c r="L5" s="60">
        <v>1</v>
      </c>
      <c r="M5" s="60"/>
      <c r="N5" s="60">
        <v>5</v>
      </c>
      <c r="O5" s="60"/>
      <c r="P5" s="60"/>
      <c r="Q5" s="60"/>
      <c r="R5" s="60"/>
      <c r="S5" s="60"/>
      <c r="T5" s="60"/>
      <c r="U5" s="60"/>
      <c r="V5" s="60"/>
      <c r="W5" s="60">
        <v>1</v>
      </c>
      <c r="X5" s="60"/>
      <c r="Y5" s="60"/>
      <c r="Z5" s="60"/>
      <c r="AA5" s="60"/>
      <c r="AB5" s="60"/>
      <c r="AC5" s="60"/>
      <c r="AD5" s="60"/>
      <c r="AE5" s="77">
        <f t="shared" si="0"/>
        <v>28</v>
      </c>
      <c r="AF5" s="30"/>
      <c r="AG5" s="30"/>
    </row>
    <row r="6" spans="1:33" ht="13" thickBot="1" x14ac:dyDescent="0.45">
      <c r="A6" s="30" t="s">
        <v>29</v>
      </c>
      <c r="B6" s="30"/>
      <c r="C6" s="60"/>
      <c r="D6" s="60"/>
      <c r="E6" s="60"/>
      <c r="F6" s="60"/>
      <c r="G6" s="60">
        <v>2</v>
      </c>
      <c r="H6" s="60"/>
      <c r="I6" s="60"/>
      <c r="J6" s="60"/>
      <c r="K6" s="60">
        <v>1</v>
      </c>
      <c r="L6" s="60"/>
      <c r="M6" s="60"/>
      <c r="N6" s="60"/>
      <c r="O6" s="60"/>
      <c r="P6" s="60"/>
      <c r="Q6" s="60"/>
      <c r="R6" s="60">
        <v>2</v>
      </c>
      <c r="S6" s="60"/>
      <c r="T6" s="60"/>
      <c r="U6" s="60"/>
      <c r="V6" s="60"/>
      <c r="W6" s="60">
        <v>1</v>
      </c>
      <c r="X6" s="60"/>
      <c r="Y6" s="60"/>
      <c r="Z6" s="60"/>
      <c r="AA6" s="60"/>
      <c r="AB6" s="60"/>
      <c r="AC6" s="60"/>
      <c r="AD6" s="60"/>
      <c r="AE6" s="77">
        <f t="shared" si="0"/>
        <v>6</v>
      </c>
      <c r="AF6" s="30"/>
      <c r="AG6" s="30"/>
    </row>
    <row r="7" spans="1:33" ht="13" thickBot="1" x14ac:dyDescent="0.45">
      <c r="A7" s="30" t="s">
        <v>18</v>
      </c>
      <c r="B7" s="30"/>
      <c r="C7" s="60"/>
      <c r="D7" s="60"/>
      <c r="E7" s="60">
        <v>1</v>
      </c>
      <c r="F7" s="60">
        <v>2</v>
      </c>
      <c r="G7" s="60">
        <v>2</v>
      </c>
      <c r="H7" s="60">
        <v>1</v>
      </c>
      <c r="I7" s="60">
        <v>2</v>
      </c>
      <c r="J7" s="60"/>
      <c r="K7" s="60"/>
      <c r="L7" s="60"/>
      <c r="M7" s="60"/>
      <c r="N7" s="60"/>
      <c r="O7" s="60"/>
      <c r="P7" s="60"/>
      <c r="Q7" s="60"/>
      <c r="R7" s="60"/>
      <c r="S7" s="60"/>
      <c r="T7" s="60"/>
      <c r="U7" s="60"/>
      <c r="V7" s="60"/>
      <c r="W7" s="60"/>
      <c r="X7" s="60"/>
      <c r="Y7" s="60"/>
      <c r="Z7" s="60"/>
      <c r="AA7" s="60"/>
      <c r="AB7" s="60"/>
      <c r="AC7" s="60"/>
      <c r="AD7" s="60"/>
      <c r="AE7" s="77">
        <f t="shared" si="0"/>
        <v>8</v>
      </c>
      <c r="AF7" s="30"/>
      <c r="AG7" s="30"/>
    </row>
    <row r="8" spans="1:33" ht="13" thickBot="1" x14ac:dyDescent="0.45">
      <c r="A8" s="30" t="s">
        <v>19</v>
      </c>
      <c r="B8" s="30"/>
      <c r="C8" s="60"/>
      <c r="D8" s="60"/>
      <c r="E8" s="60">
        <v>2</v>
      </c>
      <c r="F8" s="60">
        <v>8</v>
      </c>
      <c r="G8" s="60"/>
      <c r="H8" s="60">
        <v>5</v>
      </c>
      <c r="I8" s="60">
        <v>2</v>
      </c>
      <c r="J8" s="60"/>
      <c r="K8" s="60"/>
      <c r="L8" s="60">
        <v>1</v>
      </c>
      <c r="M8" s="60">
        <v>1</v>
      </c>
      <c r="N8" s="60">
        <v>5</v>
      </c>
      <c r="O8" s="60"/>
      <c r="P8" s="60"/>
      <c r="Q8" s="60"/>
      <c r="R8" s="60"/>
      <c r="S8" s="60"/>
      <c r="T8" s="60"/>
      <c r="U8" s="60"/>
      <c r="V8" s="60"/>
      <c r="W8" s="60">
        <v>2</v>
      </c>
      <c r="X8" s="60"/>
      <c r="Y8" s="60"/>
      <c r="Z8" s="60"/>
      <c r="AA8" s="60"/>
      <c r="AB8" s="60"/>
      <c r="AC8" s="60"/>
      <c r="AD8" s="60"/>
      <c r="AE8" s="77">
        <f t="shared" si="0"/>
        <v>26</v>
      </c>
      <c r="AF8" s="30"/>
      <c r="AG8" s="30"/>
    </row>
    <row r="9" spans="1:33" ht="13" thickBot="1" x14ac:dyDescent="0.45">
      <c r="A9" s="30" t="s">
        <v>20</v>
      </c>
      <c r="B9" s="30"/>
      <c r="C9" s="60"/>
      <c r="D9" s="60"/>
      <c r="E9" s="60"/>
      <c r="F9" s="60">
        <v>1</v>
      </c>
      <c r="G9" s="60"/>
      <c r="H9" s="60"/>
      <c r="I9" s="60"/>
      <c r="J9" s="60"/>
      <c r="K9" s="60">
        <v>1</v>
      </c>
      <c r="L9" s="60"/>
      <c r="M9" s="60"/>
      <c r="N9" s="60"/>
      <c r="O9" s="60"/>
      <c r="P9" s="60"/>
      <c r="Q9" s="60"/>
      <c r="R9" s="60"/>
      <c r="S9" s="60"/>
      <c r="T9" s="60"/>
      <c r="U9" s="60"/>
      <c r="V9" s="60"/>
      <c r="W9" s="60"/>
      <c r="X9" s="60"/>
      <c r="Y9" s="60"/>
      <c r="Z9" s="60"/>
      <c r="AA9" s="60"/>
      <c r="AB9" s="60"/>
      <c r="AC9" s="60"/>
      <c r="AD9" s="60"/>
      <c r="AE9" s="77">
        <f t="shared" si="0"/>
        <v>2</v>
      </c>
      <c r="AF9" s="30"/>
      <c r="AG9" s="30"/>
    </row>
    <row r="10" spans="1:33" ht="13" thickBot="1" x14ac:dyDescent="0.45">
      <c r="A10" s="30" t="s">
        <v>21</v>
      </c>
      <c r="B10" s="30"/>
      <c r="C10" s="60"/>
      <c r="D10" s="60"/>
      <c r="E10" s="60"/>
      <c r="F10" s="60"/>
      <c r="G10" s="60"/>
      <c r="H10" s="60">
        <v>1</v>
      </c>
      <c r="I10" s="60"/>
      <c r="J10" s="60"/>
      <c r="K10" s="60"/>
      <c r="L10" s="60"/>
      <c r="M10" s="60"/>
      <c r="N10" s="60"/>
      <c r="O10" s="60"/>
      <c r="P10" s="60"/>
      <c r="Q10" s="60"/>
      <c r="R10" s="60"/>
      <c r="S10" s="60"/>
      <c r="T10" s="60"/>
      <c r="U10" s="60"/>
      <c r="V10" s="60"/>
      <c r="W10" s="60"/>
      <c r="X10" s="60"/>
      <c r="Y10" s="60"/>
      <c r="Z10" s="60"/>
      <c r="AA10" s="60"/>
      <c r="AB10" s="60"/>
      <c r="AC10" s="60"/>
      <c r="AD10" s="60"/>
      <c r="AE10" s="77">
        <f t="shared" si="0"/>
        <v>1</v>
      </c>
      <c r="AF10" s="30"/>
      <c r="AG10" s="30"/>
    </row>
    <row r="11" spans="1:33" ht="13" thickBot="1" x14ac:dyDescent="0.45">
      <c r="A11" s="30" t="s">
        <v>98</v>
      </c>
      <c r="B11" s="30"/>
      <c r="C11" s="60"/>
      <c r="D11" s="60"/>
      <c r="E11" s="60"/>
      <c r="F11" s="60"/>
      <c r="G11" s="60">
        <v>2</v>
      </c>
      <c r="H11" s="60"/>
      <c r="I11" s="60">
        <v>3</v>
      </c>
      <c r="J11" s="60"/>
      <c r="K11" s="60">
        <v>12</v>
      </c>
      <c r="L11" s="60">
        <v>3</v>
      </c>
      <c r="M11" s="60"/>
      <c r="N11" s="60">
        <v>2</v>
      </c>
      <c r="O11" s="60"/>
      <c r="P11" s="60"/>
      <c r="Q11" s="60"/>
      <c r="R11" s="60"/>
      <c r="S11" s="60"/>
      <c r="T11" s="60"/>
      <c r="U11" s="60"/>
      <c r="V11" s="60"/>
      <c r="W11" s="60">
        <v>1</v>
      </c>
      <c r="X11" s="60"/>
      <c r="Y11" s="60"/>
      <c r="Z11" s="60"/>
      <c r="AA11" s="60"/>
      <c r="AB11" s="60"/>
      <c r="AC11" s="60"/>
      <c r="AD11" s="60"/>
      <c r="AE11" s="77">
        <f t="shared" si="0"/>
        <v>23</v>
      </c>
      <c r="AF11" s="30"/>
      <c r="AG11" s="30"/>
    </row>
    <row r="12" spans="1:33" ht="13" thickBot="1" x14ac:dyDescent="0.45">
      <c r="A12" s="30" t="s">
        <v>22</v>
      </c>
      <c r="B12" s="30"/>
      <c r="C12" s="60">
        <v>4</v>
      </c>
      <c r="D12" s="60">
        <v>5</v>
      </c>
      <c r="E12" s="60">
        <v>10</v>
      </c>
      <c r="F12" s="60">
        <v>14</v>
      </c>
      <c r="G12" s="60">
        <v>33</v>
      </c>
      <c r="H12" s="60">
        <v>53</v>
      </c>
      <c r="I12" s="60">
        <v>10</v>
      </c>
      <c r="J12" s="60"/>
      <c r="K12" s="60">
        <v>21</v>
      </c>
      <c r="L12" s="60">
        <v>5</v>
      </c>
      <c r="M12" s="60">
        <v>1</v>
      </c>
      <c r="N12" s="60">
        <v>28</v>
      </c>
      <c r="O12" s="60"/>
      <c r="P12" s="60"/>
      <c r="Q12" s="60"/>
      <c r="R12" s="60">
        <v>7</v>
      </c>
      <c r="S12" s="60"/>
      <c r="T12" s="60"/>
      <c r="U12" s="60"/>
      <c r="V12" s="60"/>
      <c r="W12" s="60">
        <v>23</v>
      </c>
      <c r="X12" s="60"/>
      <c r="Y12" s="60"/>
      <c r="Z12" s="60"/>
      <c r="AA12" s="60"/>
      <c r="AB12" s="60"/>
      <c r="AC12" s="60"/>
      <c r="AD12" s="60"/>
      <c r="AE12" s="77">
        <f t="shared" si="0"/>
        <v>214</v>
      </c>
      <c r="AF12" s="30"/>
      <c r="AG12" s="30"/>
    </row>
    <row r="13" spans="1:33" ht="13" thickBot="1" x14ac:dyDescent="0.45">
      <c r="A13" s="30" t="s">
        <v>23</v>
      </c>
      <c r="B13" s="30"/>
      <c r="C13" s="60">
        <v>1</v>
      </c>
      <c r="D13" s="60">
        <v>4</v>
      </c>
      <c r="E13" s="60">
        <v>2</v>
      </c>
      <c r="F13" s="60">
        <v>21</v>
      </c>
      <c r="G13" s="60">
        <v>9</v>
      </c>
      <c r="H13" s="60">
        <v>36</v>
      </c>
      <c r="I13" s="60">
        <v>2</v>
      </c>
      <c r="J13" s="60"/>
      <c r="K13" s="60">
        <v>15</v>
      </c>
      <c r="L13" s="60">
        <v>3</v>
      </c>
      <c r="M13" s="60"/>
      <c r="N13" s="60">
        <v>4</v>
      </c>
      <c r="O13" s="60"/>
      <c r="P13" s="60"/>
      <c r="Q13" s="60"/>
      <c r="R13" s="60">
        <v>5</v>
      </c>
      <c r="S13" s="60">
        <v>1</v>
      </c>
      <c r="T13" s="60"/>
      <c r="U13" s="60"/>
      <c r="V13" s="60"/>
      <c r="W13" s="60">
        <v>6</v>
      </c>
      <c r="X13" s="60"/>
      <c r="Y13" s="60"/>
      <c r="Z13" s="60"/>
      <c r="AA13" s="60"/>
      <c r="AB13" s="60"/>
      <c r="AC13" s="60"/>
      <c r="AD13" s="60"/>
      <c r="AE13" s="77">
        <f t="shared" si="0"/>
        <v>109</v>
      </c>
      <c r="AF13" s="30"/>
      <c r="AG13" s="30"/>
    </row>
    <row r="14" spans="1:33" ht="13" thickBot="1" x14ac:dyDescent="0.45">
      <c r="A14" s="30" t="s">
        <v>24</v>
      </c>
      <c r="B14" s="30"/>
      <c r="C14" s="60"/>
      <c r="D14" s="60">
        <v>1</v>
      </c>
      <c r="E14" s="60"/>
      <c r="F14" s="60">
        <v>6</v>
      </c>
      <c r="G14" s="60">
        <v>1</v>
      </c>
      <c r="H14" s="60">
        <v>10</v>
      </c>
      <c r="I14" s="60"/>
      <c r="J14" s="60"/>
      <c r="K14" s="60">
        <v>8</v>
      </c>
      <c r="L14" s="60"/>
      <c r="M14" s="60">
        <v>1</v>
      </c>
      <c r="N14" s="60">
        <v>7</v>
      </c>
      <c r="O14" s="60"/>
      <c r="P14" s="60"/>
      <c r="Q14" s="60"/>
      <c r="R14" s="60">
        <v>3</v>
      </c>
      <c r="S14" s="60"/>
      <c r="T14" s="60"/>
      <c r="U14" s="60"/>
      <c r="V14" s="60">
        <v>1</v>
      </c>
      <c r="W14" s="60">
        <v>4</v>
      </c>
      <c r="X14" s="60"/>
      <c r="Y14" s="60"/>
      <c r="Z14" s="60"/>
      <c r="AA14" s="60"/>
      <c r="AB14" s="60"/>
      <c r="AC14" s="60"/>
      <c r="AD14" s="60"/>
      <c r="AE14" s="77">
        <f t="shared" si="0"/>
        <v>42</v>
      </c>
      <c r="AF14" s="30"/>
      <c r="AG14" s="30"/>
    </row>
    <row r="15" spans="1:33" ht="13" thickBot="1" x14ac:dyDescent="0.45">
      <c r="A15" s="30" t="s">
        <v>111</v>
      </c>
      <c r="B15" s="3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77">
        <f t="shared" si="0"/>
        <v>0</v>
      </c>
      <c r="AF15" s="30"/>
      <c r="AG15" s="30"/>
    </row>
    <row r="16" spans="1:33" ht="13" thickBot="1" x14ac:dyDescent="0.45">
      <c r="A16" s="30" t="s">
        <v>36</v>
      </c>
      <c r="B16" s="30"/>
      <c r="C16" s="62"/>
      <c r="D16" s="62"/>
      <c r="E16" s="62"/>
      <c r="F16" s="62">
        <v>1</v>
      </c>
      <c r="G16" s="62"/>
      <c r="H16" s="62"/>
      <c r="I16" s="62"/>
      <c r="J16" s="62"/>
      <c r="K16" s="62">
        <v>1</v>
      </c>
      <c r="L16" s="62"/>
      <c r="M16" s="62"/>
      <c r="N16" s="62"/>
      <c r="O16" s="62"/>
      <c r="P16" s="62"/>
      <c r="Q16" s="62"/>
      <c r="R16" s="62"/>
      <c r="S16" s="62"/>
      <c r="T16" s="62"/>
      <c r="U16" s="62"/>
      <c r="V16" s="62"/>
      <c r="W16" s="62"/>
      <c r="X16" s="62"/>
      <c r="Y16" s="62"/>
      <c r="Z16" s="62"/>
      <c r="AA16" s="62"/>
      <c r="AB16" s="62"/>
      <c r="AC16" s="62"/>
      <c r="AD16" s="62"/>
      <c r="AE16" s="77">
        <f t="shared" si="0"/>
        <v>2</v>
      </c>
      <c r="AF16" s="30"/>
      <c r="AG16" s="30"/>
    </row>
    <row r="17" spans="1:33" x14ac:dyDescent="0.4">
      <c r="A17" s="30" t="s">
        <v>25</v>
      </c>
      <c r="B17" s="30"/>
      <c r="C17" s="60">
        <f>SUM(C3:C16)</f>
        <v>5</v>
      </c>
      <c r="D17" s="60">
        <f t="shared" ref="D17:AE17" si="1">SUM(D3:D16)</f>
        <v>11</v>
      </c>
      <c r="E17" s="60">
        <f t="shared" si="1"/>
        <v>16</v>
      </c>
      <c r="F17" s="60">
        <f t="shared" si="1"/>
        <v>58</v>
      </c>
      <c r="G17" s="60">
        <f t="shared" si="1"/>
        <v>52</v>
      </c>
      <c r="H17" s="60">
        <f t="shared" si="1"/>
        <v>117</v>
      </c>
      <c r="I17" s="60">
        <f t="shared" si="1"/>
        <v>20</v>
      </c>
      <c r="J17" s="60">
        <f t="shared" si="1"/>
        <v>0</v>
      </c>
      <c r="K17" s="60">
        <f t="shared" si="1"/>
        <v>68</v>
      </c>
      <c r="L17" s="60">
        <f t="shared" si="1"/>
        <v>13</v>
      </c>
      <c r="M17" s="60">
        <f t="shared" si="1"/>
        <v>3</v>
      </c>
      <c r="N17" s="60">
        <f t="shared" si="1"/>
        <v>56</v>
      </c>
      <c r="O17" s="60">
        <f t="shared" si="1"/>
        <v>0</v>
      </c>
      <c r="P17" s="60">
        <f t="shared" si="1"/>
        <v>0</v>
      </c>
      <c r="Q17" s="60">
        <f t="shared" si="1"/>
        <v>0</v>
      </c>
      <c r="R17" s="60">
        <f t="shared" si="1"/>
        <v>17</v>
      </c>
      <c r="S17" s="60">
        <f t="shared" si="1"/>
        <v>1</v>
      </c>
      <c r="T17" s="60">
        <f t="shared" si="1"/>
        <v>0</v>
      </c>
      <c r="U17" s="60">
        <f t="shared" si="1"/>
        <v>0</v>
      </c>
      <c r="V17" s="60">
        <f t="shared" si="1"/>
        <v>1</v>
      </c>
      <c r="W17" s="60">
        <f t="shared" si="1"/>
        <v>39</v>
      </c>
      <c r="X17" s="60">
        <f t="shared" si="1"/>
        <v>0</v>
      </c>
      <c r="Y17" s="60">
        <f t="shared" si="1"/>
        <v>0</v>
      </c>
      <c r="Z17" s="60">
        <f t="shared" si="1"/>
        <v>0</v>
      </c>
      <c r="AA17" s="60">
        <f t="shared" si="1"/>
        <v>0</v>
      </c>
      <c r="AB17" s="60">
        <f t="shared" si="1"/>
        <v>0</v>
      </c>
      <c r="AC17" s="60">
        <f t="shared" si="1"/>
        <v>0</v>
      </c>
      <c r="AD17" s="60">
        <f t="shared" si="1"/>
        <v>0</v>
      </c>
      <c r="AE17" s="78">
        <f t="shared" si="1"/>
        <v>477</v>
      </c>
      <c r="AF17" s="30"/>
      <c r="AG17" s="30"/>
    </row>
    <row r="18" spans="1:33" ht="13" thickBot="1" x14ac:dyDescent="0.45">
      <c r="A18" s="29" t="s">
        <v>107</v>
      </c>
      <c r="B18" s="30"/>
      <c r="C18" s="81" t="s">
        <v>121</v>
      </c>
      <c r="D18" s="64"/>
      <c r="E18" s="7"/>
      <c r="F18" s="29"/>
      <c r="G18" s="29" t="s">
        <v>108</v>
      </c>
      <c r="H18" s="60"/>
      <c r="I18" s="60"/>
      <c r="J18" s="81" t="s">
        <v>122</v>
      </c>
      <c r="K18" s="60"/>
      <c r="L18" s="60"/>
      <c r="M18" s="60"/>
      <c r="N18" s="60"/>
      <c r="O18" s="60"/>
      <c r="P18" s="60"/>
      <c r="Q18" s="60"/>
      <c r="R18" s="60"/>
      <c r="S18" s="60"/>
      <c r="T18" s="60"/>
      <c r="U18" s="60"/>
      <c r="V18" s="60"/>
      <c r="W18" s="60"/>
      <c r="X18" s="60"/>
      <c r="Y18" s="60"/>
      <c r="Z18" s="60"/>
      <c r="AA18" s="60"/>
      <c r="AB18" s="60"/>
      <c r="AC18" s="60"/>
      <c r="AD18" s="60"/>
      <c r="AE18" s="30"/>
      <c r="AF18" s="30"/>
      <c r="AG18" s="30"/>
    </row>
    <row r="19" spans="1:33" ht="13" thickBot="1" x14ac:dyDescent="0.45">
      <c r="A19" s="10" t="str">
        <f>A2</f>
        <v>BLIND #</v>
      </c>
      <c r="B19" s="14"/>
      <c r="C19" s="12">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30"/>
      <c r="AG19" s="30"/>
    </row>
    <row r="20" spans="1:33" ht="13" thickBot="1" x14ac:dyDescent="0.45">
      <c r="A20" s="30" t="str">
        <f>A3</f>
        <v>RUDDY</v>
      </c>
      <c r="B20" s="30"/>
      <c r="C20" s="60">
        <v>2</v>
      </c>
      <c r="D20" s="60"/>
      <c r="E20" s="60"/>
      <c r="F20" s="60"/>
      <c r="G20" s="60">
        <v>1</v>
      </c>
      <c r="H20" s="60"/>
      <c r="I20" s="60"/>
      <c r="J20" s="60"/>
      <c r="K20" s="60"/>
      <c r="L20" s="60"/>
      <c r="M20" s="60"/>
      <c r="N20" s="60"/>
      <c r="O20" s="60"/>
      <c r="P20" s="60"/>
      <c r="Q20" s="60"/>
      <c r="R20" s="60"/>
      <c r="S20" s="60"/>
      <c r="T20" s="60"/>
      <c r="U20" s="60"/>
      <c r="V20" s="60"/>
      <c r="W20" s="60"/>
      <c r="X20" s="60"/>
      <c r="Y20" s="60"/>
      <c r="Z20" s="60"/>
      <c r="AA20" s="60"/>
      <c r="AB20" s="60"/>
      <c r="AC20" s="60"/>
      <c r="AD20" s="60"/>
      <c r="AE20" s="77">
        <f>SUM(C20:AD20)</f>
        <v>3</v>
      </c>
      <c r="AF20" s="30"/>
      <c r="AG20" s="30"/>
    </row>
    <row r="21" spans="1:33" ht="13" thickBot="1" x14ac:dyDescent="0.45">
      <c r="A21" s="30" t="str">
        <f t="shared" ref="A21:A33" si="3">A4</f>
        <v>CANVASBACK</v>
      </c>
      <c r="B21" s="30"/>
      <c r="C21" s="60"/>
      <c r="D21" s="60"/>
      <c r="E21" s="60"/>
      <c r="F21" s="60">
        <v>3</v>
      </c>
      <c r="G21" s="60"/>
      <c r="H21" s="60">
        <v>1</v>
      </c>
      <c r="I21" s="60"/>
      <c r="J21" s="60"/>
      <c r="K21" s="60"/>
      <c r="L21" s="60"/>
      <c r="M21" s="60"/>
      <c r="N21" s="60"/>
      <c r="O21" s="60">
        <v>3</v>
      </c>
      <c r="P21" s="60"/>
      <c r="Q21" s="60"/>
      <c r="R21" s="60"/>
      <c r="S21" s="60"/>
      <c r="T21" s="60"/>
      <c r="U21" s="60"/>
      <c r="V21" s="60"/>
      <c r="W21" s="60">
        <v>2</v>
      </c>
      <c r="X21" s="60"/>
      <c r="Y21" s="60"/>
      <c r="Z21" s="60"/>
      <c r="AA21" s="60"/>
      <c r="AB21" s="60"/>
      <c r="AC21" s="60"/>
      <c r="AD21" s="60"/>
      <c r="AE21" s="77">
        <f t="shared" ref="AE21:AE33" si="4">SUM(C21:AD21)</f>
        <v>9</v>
      </c>
      <c r="AF21" s="30"/>
      <c r="AG21" s="30"/>
    </row>
    <row r="22" spans="1:33" ht="13" thickBot="1" x14ac:dyDescent="0.45">
      <c r="A22" s="30" t="str">
        <f t="shared" si="3"/>
        <v>GADWALL</v>
      </c>
      <c r="B22" s="30"/>
      <c r="C22" s="60"/>
      <c r="D22" s="60"/>
      <c r="E22" s="60"/>
      <c r="F22" s="60">
        <v>4</v>
      </c>
      <c r="G22" s="60">
        <v>2</v>
      </c>
      <c r="H22" s="60">
        <v>6</v>
      </c>
      <c r="I22" s="60">
        <v>1</v>
      </c>
      <c r="J22" s="60"/>
      <c r="K22" s="60">
        <v>1</v>
      </c>
      <c r="L22" s="60"/>
      <c r="M22" s="60">
        <v>2</v>
      </c>
      <c r="N22" s="60"/>
      <c r="O22" s="60">
        <v>3</v>
      </c>
      <c r="P22" s="60"/>
      <c r="Q22" s="60"/>
      <c r="R22" s="60">
        <v>4</v>
      </c>
      <c r="S22" s="60"/>
      <c r="T22" s="60"/>
      <c r="U22" s="60"/>
      <c r="V22" s="60"/>
      <c r="W22" s="60">
        <v>9</v>
      </c>
      <c r="X22" s="60">
        <v>1</v>
      </c>
      <c r="Y22" s="60">
        <v>3</v>
      </c>
      <c r="Z22" s="60"/>
      <c r="AA22" s="60"/>
      <c r="AB22" s="60"/>
      <c r="AC22" s="60"/>
      <c r="AD22" s="60"/>
      <c r="AE22" s="77">
        <f t="shared" si="4"/>
        <v>36</v>
      </c>
      <c r="AF22" s="30"/>
      <c r="AG22" s="30"/>
    </row>
    <row r="23" spans="1:33" ht="13" thickBot="1" x14ac:dyDescent="0.45">
      <c r="A23" s="30" t="str">
        <f t="shared" si="3"/>
        <v>GEESE</v>
      </c>
      <c r="B23" s="30"/>
      <c r="C23" s="60"/>
      <c r="D23" s="60"/>
      <c r="E23" s="60"/>
      <c r="F23" s="60">
        <v>1</v>
      </c>
      <c r="G23" s="60"/>
      <c r="H23" s="60"/>
      <c r="I23" s="60"/>
      <c r="J23" s="60"/>
      <c r="K23" s="60"/>
      <c r="L23" s="60"/>
      <c r="M23" s="60"/>
      <c r="N23" s="60"/>
      <c r="O23" s="60">
        <v>2</v>
      </c>
      <c r="P23" s="60"/>
      <c r="Q23" s="60"/>
      <c r="R23" s="60"/>
      <c r="S23" s="60"/>
      <c r="T23" s="60"/>
      <c r="U23" s="60"/>
      <c r="V23" s="60"/>
      <c r="W23" s="60"/>
      <c r="X23" s="60"/>
      <c r="Y23" s="60"/>
      <c r="Z23" s="60"/>
      <c r="AA23" s="60"/>
      <c r="AB23" s="60"/>
      <c r="AC23" s="60"/>
      <c r="AD23" s="60"/>
      <c r="AE23" s="77">
        <f t="shared" si="4"/>
        <v>3</v>
      </c>
      <c r="AF23" s="30"/>
      <c r="AG23" s="30"/>
    </row>
    <row r="24" spans="1:33" ht="13" thickBot="1" x14ac:dyDescent="0.45">
      <c r="A24" s="30" t="str">
        <f t="shared" si="3"/>
        <v>MALLARD</v>
      </c>
      <c r="B24" s="30"/>
      <c r="C24" s="60"/>
      <c r="D24" s="60"/>
      <c r="E24" s="60"/>
      <c r="F24" s="60"/>
      <c r="G24" s="60"/>
      <c r="H24" s="60"/>
      <c r="I24" s="60"/>
      <c r="J24" s="60"/>
      <c r="K24" s="60">
        <v>1</v>
      </c>
      <c r="L24" s="60">
        <v>1</v>
      </c>
      <c r="M24" s="60"/>
      <c r="N24" s="60"/>
      <c r="O24" s="60">
        <v>1</v>
      </c>
      <c r="P24" s="60"/>
      <c r="Q24" s="60"/>
      <c r="R24" s="60">
        <v>1</v>
      </c>
      <c r="S24" s="60"/>
      <c r="T24" s="60"/>
      <c r="U24" s="60"/>
      <c r="V24" s="60">
        <v>3</v>
      </c>
      <c r="W24" s="60">
        <v>1</v>
      </c>
      <c r="X24" s="60"/>
      <c r="Y24" s="60"/>
      <c r="Z24" s="60"/>
      <c r="AA24" s="60"/>
      <c r="AB24" s="60"/>
      <c r="AC24" s="60"/>
      <c r="AD24" s="60"/>
      <c r="AE24" s="77">
        <f t="shared" si="4"/>
        <v>8</v>
      </c>
      <c r="AF24" s="30"/>
      <c r="AG24" s="30"/>
    </row>
    <row r="25" spans="1:33" ht="13" thickBot="1" x14ac:dyDescent="0.45">
      <c r="A25" s="30" t="str">
        <f t="shared" si="3"/>
        <v>PINTAIL</v>
      </c>
      <c r="B25" s="30"/>
      <c r="C25" s="60">
        <v>1</v>
      </c>
      <c r="D25" s="60"/>
      <c r="E25" s="60">
        <v>3</v>
      </c>
      <c r="F25" s="60">
        <v>17</v>
      </c>
      <c r="G25" s="60">
        <v>5</v>
      </c>
      <c r="H25" s="60">
        <v>25</v>
      </c>
      <c r="I25" s="60"/>
      <c r="J25" s="60"/>
      <c r="K25" s="60">
        <v>5</v>
      </c>
      <c r="L25" s="60"/>
      <c r="M25" s="60">
        <v>2</v>
      </c>
      <c r="N25" s="60"/>
      <c r="O25" s="60">
        <v>1</v>
      </c>
      <c r="P25" s="60"/>
      <c r="Q25" s="60"/>
      <c r="R25" s="60">
        <v>6</v>
      </c>
      <c r="S25" s="60">
        <v>1</v>
      </c>
      <c r="T25" s="60"/>
      <c r="U25" s="60">
        <v>2</v>
      </c>
      <c r="V25" s="60">
        <v>6</v>
      </c>
      <c r="W25" s="60">
        <v>11</v>
      </c>
      <c r="X25" s="60">
        <v>1</v>
      </c>
      <c r="Y25" s="60">
        <v>1</v>
      </c>
      <c r="Z25" s="60"/>
      <c r="AA25" s="60"/>
      <c r="AB25" s="60"/>
      <c r="AC25" s="60"/>
      <c r="AD25" s="60"/>
      <c r="AE25" s="77">
        <f t="shared" si="4"/>
        <v>87</v>
      </c>
      <c r="AF25" s="30"/>
      <c r="AG25" s="30"/>
    </row>
    <row r="26" spans="1:33" ht="13" thickBot="1" x14ac:dyDescent="0.45">
      <c r="A26" s="30" t="str">
        <f t="shared" si="3"/>
        <v>REDHEAD</v>
      </c>
      <c r="B26" s="30"/>
      <c r="C26" s="60"/>
      <c r="D26" s="60"/>
      <c r="E26" s="60"/>
      <c r="F26" s="60"/>
      <c r="G26" s="60">
        <v>1</v>
      </c>
      <c r="H26" s="60"/>
      <c r="I26" s="60"/>
      <c r="J26" s="60"/>
      <c r="K26" s="60"/>
      <c r="L26" s="60"/>
      <c r="M26" s="60"/>
      <c r="N26" s="60"/>
      <c r="O26" s="60">
        <v>2</v>
      </c>
      <c r="P26" s="60"/>
      <c r="Q26" s="60"/>
      <c r="R26" s="60"/>
      <c r="S26" s="60"/>
      <c r="T26" s="60"/>
      <c r="U26" s="60"/>
      <c r="V26" s="60"/>
      <c r="W26" s="60"/>
      <c r="X26" s="60"/>
      <c r="Y26" s="60"/>
      <c r="Z26" s="60"/>
      <c r="AA26" s="60"/>
      <c r="AB26" s="60"/>
      <c r="AC26" s="60"/>
      <c r="AD26" s="60"/>
      <c r="AE26" s="77">
        <f t="shared" si="4"/>
        <v>3</v>
      </c>
      <c r="AF26" s="30"/>
      <c r="AG26" s="30"/>
    </row>
    <row r="27" spans="1:33" ht="13" thickBot="1" x14ac:dyDescent="0.45">
      <c r="A27" s="30" t="str">
        <f t="shared" si="3"/>
        <v>RINGNECK</v>
      </c>
      <c r="B27" s="30"/>
      <c r="C27" s="60"/>
      <c r="D27" s="60"/>
      <c r="E27" s="60"/>
      <c r="F27" s="60"/>
      <c r="G27" s="60"/>
      <c r="H27" s="60"/>
      <c r="I27" s="60"/>
      <c r="J27" s="60"/>
      <c r="K27" s="60">
        <v>1</v>
      </c>
      <c r="L27" s="60"/>
      <c r="M27" s="60"/>
      <c r="N27" s="60"/>
      <c r="O27" s="60"/>
      <c r="P27" s="60"/>
      <c r="Q27" s="60"/>
      <c r="R27" s="60"/>
      <c r="S27" s="60"/>
      <c r="T27" s="60"/>
      <c r="U27" s="60"/>
      <c r="V27" s="60"/>
      <c r="W27" s="60"/>
      <c r="X27" s="60"/>
      <c r="Y27" s="60"/>
      <c r="Z27" s="60"/>
      <c r="AA27" s="60"/>
      <c r="AB27" s="60"/>
      <c r="AC27" s="60"/>
      <c r="AD27" s="60"/>
      <c r="AE27" s="77">
        <f t="shared" si="4"/>
        <v>1</v>
      </c>
      <c r="AF27" s="30"/>
      <c r="AG27" s="30"/>
    </row>
    <row r="28" spans="1:33" ht="13" thickBot="1" x14ac:dyDescent="0.45">
      <c r="A28" s="30" t="str">
        <f t="shared" si="3"/>
        <v>B'HEAD</v>
      </c>
      <c r="B28" s="30"/>
      <c r="C28" s="60"/>
      <c r="D28" s="60"/>
      <c r="E28" s="60">
        <v>2</v>
      </c>
      <c r="F28" s="60">
        <v>1</v>
      </c>
      <c r="G28" s="60">
        <v>2</v>
      </c>
      <c r="H28" s="60">
        <v>2</v>
      </c>
      <c r="I28" s="60"/>
      <c r="J28" s="60"/>
      <c r="K28" s="60">
        <v>2</v>
      </c>
      <c r="L28" s="60"/>
      <c r="M28" s="60">
        <v>2</v>
      </c>
      <c r="N28" s="60">
        <v>2</v>
      </c>
      <c r="O28" s="60"/>
      <c r="P28" s="60"/>
      <c r="Q28" s="60"/>
      <c r="R28" s="60"/>
      <c r="S28" s="60"/>
      <c r="T28" s="60"/>
      <c r="U28" s="60"/>
      <c r="V28" s="60"/>
      <c r="W28" s="60"/>
      <c r="X28" s="60"/>
      <c r="Y28" s="60"/>
      <c r="Z28" s="60"/>
      <c r="AA28" s="60"/>
      <c r="AB28" s="60"/>
      <c r="AC28" s="60"/>
      <c r="AD28" s="60"/>
      <c r="AE28" s="77">
        <f t="shared" si="4"/>
        <v>13</v>
      </c>
      <c r="AF28" s="30"/>
      <c r="AG28" s="30"/>
    </row>
    <row r="29" spans="1:33" ht="13" thickBot="1" x14ac:dyDescent="0.45">
      <c r="A29" s="30" t="str">
        <f t="shared" si="3"/>
        <v>SPOONY</v>
      </c>
      <c r="B29" s="30"/>
      <c r="C29" s="60">
        <v>11</v>
      </c>
      <c r="D29" s="60">
        <v>3</v>
      </c>
      <c r="E29" s="60">
        <v>12</v>
      </c>
      <c r="F29" s="60">
        <v>26</v>
      </c>
      <c r="G29" s="60">
        <v>31</v>
      </c>
      <c r="H29" s="60">
        <v>50</v>
      </c>
      <c r="I29" s="60">
        <v>8</v>
      </c>
      <c r="J29" s="60"/>
      <c r="K29" s="60">
        <v>11</v>
      </c>
      <c r="L29" s="60">
        <v>2</v>
      </c>
      <c r="M29" s="60">
        <v>12</v>
      </c>
      <c r="N29" s="60">
        <v>7</v>
      </c>
      <c r="O29" s="60">
        <v>15</v>
      </c>
      <c r="P29" s="60"/>
      <c r="Q29" s="60"/>
      <c r="R29" s="60">
        <v>18</v>
      </c>
      <c r="S29" s="60">
        <v>2</v>
      </c>
      <c r="T29" s="60"/>
      <c r="U29" s="60">
        <v>4</v>
      </c>
      <c r="V29" s="60">
        <v>15</v>
      </c>
      <c r="W29" s="60">
        <v>33</v>
      </c>
      <c r="X29" s="60">
        <v>7</v>
      </c>
      <c r="Y29" s="60"/>
      <c r="Z29" s="60"/>
      <c r="AA29" s="60"/>
      <c r="AB29" s="60"/>
      <c r="AC29" s="60"/>
      <c r="AD29" s="60"/>
      <c r="AE29" s="77">
        <f t="shared" si="4"/>
        <v>267</v>
      </c>
      <c r="AF29" s="30"/>
      <c r="AG29" s="30"/>
    </row>
    <row r="30" spans="1:33" ht="13" thickBot="1" x14ac:dyDescent="0.45">
      <c r="A30" s="30" t="str">
        <f t="shared" si="3"/>
        <v>TEAL</v>
      </c>
      <c r="B30" s="30"/>
      <c r="C30" s="60">
        <v>31</v>
      </c>
      <c r="D30" s="60">
        <v>1</v>
      </c>
      <c r="E30" s="60">
        <v>24</v>
      </c>
      <c r="F30" s="60">
        <v>76</v>
      </c>
      <c r="G30" s="60">
        <v>57</v>
      </c>
      <c r="H30" s="60">
        <v>78</v>
      </c>
      <c r="I30" s="60">
        <v>34</v>
      </c>
      <c r="J30" s="60"/>
      <c r="K30" s="60">
        <v>26</v>
      </c>
      <c r="L30" s="60">
        <v>31</v>
      </c>
      <c r="M30" s="60">
        <v>17</v>
      </c>
      <c r="N30" s="60">
        <v>31</v>
      </c>
      <c r="O30" s="60">
        <v>90</v>
      </c>
      <c r="P30" s="60"/>
      <c r="Q30" s="60"/>
      <c r="R30" s="60">
        <v>82</v>
      </c>
      <c r="S30" s="60">
        <v>5</v>
      </c>
      <c r="T30" s="60"/>
      <c r="U30" s="60">
        <v>5</v>
      </c>
      <c r="V30" s="60">
        <v>26</v>
      </c>
      <c r="W30" s="60">
        <v>78</v>
      </c>
      <c r="X30" s="60">
        <v>8</v>
      </c>
      <c r="Y30" s="60">
        <v>15</v>
      </c>
      <c r="Z30" s="60"/>
      <c r="AA30" s="60"/>
      <c r="AB30" s="60"/>
      <c r="AC30" s="60"/>
      <c r="AD30" s="60"/>
      <c r="AE30" s="77">
        <f t="shared" si="4"/>
        <v>715</v>
      </c>
      <c r="AF30" s="30"/>
      <c r="AG30" s="30"/>
    </row>
    <row r="31" spans="1:33" ht="13" thickBot="1" x14ac:dyDescent="0.45">
      <c r="A31" s="30" t="str">
        <f t="shared" si="3"/>
        <v>WIDGEON</v>
      </c>
      <c r="B31" s="30"/>
      <c r="C31" s="60">
        <v>2</v>
      </c>
      <c r="D31" s="60"/>
      <c r="E31" s="60">
        <v>4</v>
      </c>
      <c r="F31" s="60">
        <v>12</v>
      </c>
      <c r="G31" s="60">
        <v>9</v>
      </c>
      <c r="H31" s="60">
        <v>21</v>
      </c>
      <c r="I31" s="60">
        <v>4</v>
      </c>
      <c r="J31" s="60"/>
      <c r="K31" s="60">
        <v>7</v>
      </c>
      <c r="L31" s="60"/>
      <c r="M31" s="60">
        <v>3</v>
      </c>
      <c r="N31" s="60">
        <v>4</v>
      </c>
      <c r="O31" s="60">
        <v>17</v>
      </c>
      <c r="P31" s="60"/>
      <c r="Q31" s="60"/>
      <c r="R31" s="60">
        <v>17</v>
      </c>
      <c r="S31" s="60">
        <v>1</v>
      </c>
      <c r="T31" s="60"/>
      <c r="U31" s="60"/>
      <c r="V31" s="60">
        <v>23</v>
      </c>
      <c r="W31" s="60">
        <v>36</v>
      </c>
      <c r="X31" s="60">
        <v>1</v>
      </c>
      <c r="Y31" s="60">
        <v>5</v>
      </c>
      <c r="Z31" s="60"/>
      <c r="AA31" s="60"/>
      <c r="AB31" s="60"/>
      <c r="AC31" s="60"/>
      <c r="AD31" s="60"/>
      <c r="AE31" s="77">
        <f t="shared" si="4"/>
        <v>166</v>
      </c>
      <c r="AF31" s="30"/>
      <c r="AG31" s="30"/>
    </row>
    <row r="32" spans="1:33" ht="13" thickBot="1" x14ac:dyDescent="0.45">
      <c r="A32" s="30" t="s">
        <v>111</v>
      </c>
      <c r="B32" s="30"/>
      <c r="C32" s="60"/>
      <c r="D32" s="60"/>
      <c r="E32" s="60"/>
      <c r="F32" s="60"/>
      <c r="G32" s="60"/>
      <c r="H32" s="60"/>
      <c r="I32" s="60"/>
      <c r="J32" s="60"/>
      <c r="K32" s="60">
        <v>2</v>
      </c>
      <c r="L32" s="60"/>
      <c r="M32" s="60"/>
      <c r="N32" s="60"/>
      <c r="O32" s="60"/>
      <c r="P32" s="60"/>
      <c r="Q32" s="60"/>
      <c r="R32" s="60"/>
      <c r="S32" s="60"/>
      <c r="T32" s="60"/>
      <c r="U32" s="60"/>
      <c r="V32" s="60"/>
      <c r="W32" s="60"/>
      <c r="X32" s="60"/>
      <c r="Y32" s="60"/>
      <c r="Z32" s="60"/>
      <c r="AA32" s="60"/>
      <c r="AB32" s="60"/>
      <c r="AC32" s="60"/>
      <c r="AD32" s="60"/>
      <c r="AE32" s="77">
        <f t="shared" si="4"/>
        <v>2</v>
      </c>
      <c r="AF32" s="30"/>
      <c r="AG32" s="30"/>
    </row>
    <row r="33" spans="1:33" ht="13" thickBot="1" x14ac:dyDescent="0.45">
      <c r="A33" s="30" t="str">
        <f t="shared" si="3"/>
        <v>MISC</v>
      </c>
      <c r="B33" s="30"/>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77">
        <f t="shared" si="4"/>
        <v>0</v>
      </c>
      <c r="AF33" s="30"/>
      <c r="AG33" s="30"/>
    </row>
    <row r="34" spans="1:33" x14ac:dyDescent="0.4">
      <c r="A34" s="30" t="s">
        <v>25</v>
      </c>
      <c r="B34" s="30"/>
      <c r="C34" s="60">
        <f>0+SUM(C20:C33)</f>
        <v>47</v>
      </c>
      <c r="D34" s="60">
        <f t="shared" ref="D34:AD34" si="5">0+SUM(D20:D33)</f>
        <v>4</v>
      </c>
      <c r="E34" s="60">
        <f t="shared" si="5"/>
        <v>45</v>
      </c>
      <c r="F34" s="60">
        <f t="shared" si="5"/>
        <v>140</v>
      </c>
      <c r="G34" s="60">
        <f t="shared" si="5"/>
        <v>108</v>
      </c>
      <c r="H34" s="60">
        <f t="shared" si="5"/>
        <v>183</v>
      </c>
      <c r="I34" s="60">
        <f t="shared" si="5"/>
        <v>47</v>
      </c>
      <c r="J34" s="60">
        <f t="shared" si="5"/>
        <v>0</v>
      </c>
      <c r="K34" s="60">
        <f t="shared" si="5"/>
        <v>56</v>
      </c>
      <c r="L34" s="60">
        <f t="shared" si="5"/>
        <v>34</v>
      </c>
      <c r="M34" s="60">
        <f t="shared" si="5"/>
        <v>38</v>
      </c>
      <c r="N34" s="60">
        <f t="shared" si="5"/>
        <v>44</v>
      </c>
      <c r="O34" s="60">
        <f t="shared" si="5"/>
        <v>134</v>
      </c>
      <c r="P34" s="60">
        <f t="shared" si="5"/>
        <v>0</v>
      </c>
      <c r="Q34" s="60">
        <f t="shared" si="5"/>
        <v>0</v>
      </c>
      <c r="R34" s="60">
        <f t="shared" si="5"/>
        <v>128</v>
      </c>
      <c r="S34" s="60">
        <f t="shared" si="5"/>
        <v>9</v>
      </c>
      <c r="T34" s="60">
        <f t="shared" si="5"/>
        <v>0</v>
      </c>
      <c r="U34" s="60">
        <f t="shared" si="5"/>
        <v>11</v>
      </c>
      <c r="V34" s="60">
        <f t="shared" si="5"/>
        <v>73</v>
      </c>
      <c r="W34" s="60">
        <f t="shared" si="5"/>
        <v>170</v>
      </c>
      <c r="X34" s="60">
        <f t="shared" si="5"/>
        <v>18</v>
      </c>
      <c r="Y34" s="60">
        <f t="shared" si="5"/>
        <v>24</v>
      </c>
      <c r="Z34" s="60">
        <f t="shared" si="5"/>
        <v>0</v>
      </c>
      <c r="AA34" s="60">
        <f t="shared" si="5"/>
        <v>0</v>
      </c>
      <c r="AB34" s="60">
        <f t="shared" si="5"/>
        <v>0</v>
      </c>
      <c r="AC34" s="60">
        <f t="shared" si="5"/>
        <v>0</v>
      </c>
      <c r="AD34" s="60">
        <f t="shared" si="5"/>
        <v>0</v>
      </c>
      <c r="AE34" s="30">
        <f>SUM(AE20:AE33)</f>
        <v>1313</v>
      </c>
      <c r="AF34" s="30"/>
      <c r="AG34" s="30"/>
    </row>
    <row r="35" spans="1:33" ht="13" thickBot="1" x14ac:dyDescent="0.45">
      <c r="A35" s="30"/>
      <c r="B35" s="3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30"/>
      <c r="AF35" s="30"/>
      <c r="AG35" s="30"/>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65">
        <v>24</v>
      </c>
      <c r="AA37" s="65">
        <v>25</v>
      </c>
      <c r="AB37" s="65">
        <v>26</v>
      </c>
      <c r="AC37" s="65">
        <v>27</v>
      </c>
      <c r="AD37" s="65">
        <v>28</v>
      </c>
      <c r="AE37" s="15" t="s">
        <v>2</v>
      </c>
      <c r="AF37" s="26" t="s">
        <v>61</v>
      </c>
      <c r="AG37" s="27" t="s">
        <v>59</v>
      </c>
    </row>
    <row r="38" spans="1:33" ht="13" thickBot="1" x14ac:dyDescent="0.45">
      <c r="A38" s="30" t="str">
        <f>A20</f>
        <v>RUDDY</v>
      </c>
      <c r="B38" s="30"/>
      <c r="C38" s="60">
        <f t="shared" ref="C38:AD47" si="7">C3+C20</f>
        <v>2</v>
      </c>
      <c r="D38" s="60">
        <f t="shared" si="7"/>
        <v>0</v>
      </c>
      <c r="E38" s="60">
        <f t="shared" si="7"/>
        <v>0</v>
      </c>
      <c r="F38" s="60">
        <f t="shared" si="7"/>
        <v>0</v>
      </c>
      <c r="G38" s="60">
        <f t="shared" si="7"/>
        <v>1</v>
      </c>
      <c r="H38" s="60">
        <f t="shared" si="7"/>
        <v>0</v>
      </c>
      <c r="I38" s="60">
        <f t="shared" si="7"/>
        <v>0</v>
      </c>
      <c r="J38" s="60">
        <f t="shared" si="7"/>
        <v>0</v>
      </c>
      <c r="K38" s="60">
        <f t="shared" si="7"/>
        <v>0</v>
      </c>
      <c r="L38" s="60">
        <f t="shared" si="7"/>
        <v>0</v>
      </c>
      <c r="M38" s="60">
        <f t="shared" si="7"/>
        <v>0</v>
      </c>
      <c r="N38" s="60">
        <f t="shared" si="7"/>
        <v>4</v>
      </c>
      <c r="O38" s="60">
        <f t="shared" si="7"/>
        <v>0</v>
      </c>
      <c r="P38" s="60">
        <f t="shared" si="7"/>
        <v>0</v>
      </c>
      <c r="Q38" s="60">
        <f t="shared" si="7"/>
        <v>0</v>
      </c>
      <c r="R38" s="60">
        <f t="shared" si="7"/>
        <v>0</v>
      </c>
      <c r="S38" s="60">
        <f t="shared" si="7"/>
        <v>0</v>
      </c>
      <c r="T38" s="60">
        <f t="shared" si="7"/>
        <v>0</v>
      </c>
      <c r="U38" s="60">
        <f t="shared" si="7"/>
        <v>0</v>
      </c>
      <c r="V38" s="60">
        <f t="shared" si="7"/>
        <v>0</v>
      </c>
      <c r="W38" s="60">
        <f t="shared" si="7"/>
        <v>0</v>
      </c>
      <c r="X38" s="60">
        <f t="shared" si="7"/>
        <v>0</v>
      </c>
      <c r="Y38" s="60">
        <f t="shared" si="7"/>
        <v>0</v>
      </c>
      <c r="Z38" s="60">
        <f t="shared" si="7"/>
        <v>0</v>
      </c>
      <c r="AA38" s="60">
        <f t="shared" si="7"/>
        <v>0</v>
      </c>
      <c r="AB38" s="60">
        <f t="shared" si="7"/>
        <v>0</v>
      </c>
      <c r="AC38" s="60">
        <f t="shared" si="7"/>
        <v>0</v>
      </c>
      <c r="AD38" s="60">
        <f t="shared" si="7"/>
        <v>0</v>
      </c>
      <c r="AE38" s="77">
        <f>SUM(C38:AD38)</f>
        <v>7</v>
      </c>
      <c r="AF38" s="66">
        <f>AE38/$AE$52</f>
        <v>3.910614525139665E-3</v>
      </c>
      <c r="AG38" s="67">
        <f>0/10068</f>
        <v>0</v>
      </c>
    </row>
    <row r="39" spans="1:33" ht="13" thickBot="1" x14ac:dyDescent="0.45">
      <c r="A39" s="30" t="str">
        <f t="shared" ref="A39:A50" si="8">A21</f>
        <v>CANVASBACK</v>
      </c>
      <c r="B39" s="30"/>
      <c r="C39" s="60">
        <f t="shared" si="7"/>
        <v>0</v>
      </c>
      <c r="D39" s="60">
        <f t="shared" si="7"/>
        <v>0</v>
      </c>
      <c r="E39" s="60">
        <f t="shared" si="7"/>
        <v>1</v>
      </c>
      <c r="F39" s="60">
        <f t="shared" si="7"/>
        <v>5</v>
      </c>
      <c r="G39" s="60">
        <f t="shared" si="7"/>
        <v>1</v>
      </c>
      <c r="H39" s="60">
        <f t="shared" si="7"/>
        <v>3</v>
      </c>
      <c r="I39" s="60">
        <f t="shared" si="7"/>
        <v>0</v>
      </c>
      <c r="J39" s="60">
        <f t="shared" si="7"/>
        <v>0</v>
      </c>
      <c r="K39" s="60">
        <f t="shared" si="7"/>
        <v>4</v>
      </c>
      <c r="L39" s="60">
        <f t="shared" si="7"/>
        <v>0</v>
      </c>
      <c r="M39" s="60">
        <f t="shared" si="7"/>
        <v>0</v>
      </c>
      <c r="N39" s="60">
        <f t="shared" si="7"/>
        <v>1</v>
      </c>
      <c r="O39" s="60">
        <f t="shared" si="7"/>
        <v>3</v>
      </c>
      <c r="P39" s="60">
        <f t="shared" si="7"/>
        <v>0</v>
      </c>
      <c r="Q39" s="60">
        <f t="shared" si="7"/>
        <v>0</v>
      </c>
      <c r="R39" s="60">
        <f t="shared" si="7"/>
        <v>0</v>
      </c>
      <c r="S39" s="60">
        <f t="shared" si="7"/>
        <v>0</v>
      </c>
      <c r="T39" s="60">
        <f t="shared" si="7"/>
        <v>0</v>
      </c>
      <c r="U39" s="60">
        <f t="shared" si="7"/>
        <v>0</v>
      </c>
      <c r="V39" s="60">
        <f t="shared" si="7"/>
        <v>0</v>
      </c>
      <c r="W39" s="60">
        <f t="shared" si="7"/>
        <v>3</v>
      </c>
      <c r="X39" s="60">
        <f t="shared" si="7"/>
        <v>0</v>
      </c>
      <c r="Y39" s="60">
        <f t="shared" si="7"/>
        <v>0</v>
      </c>
      <c r="Z39" s="60">
        <f t="shared" si="7"/>
        <v>0</v>
      </c>
      <c r="AA39" s="60">
        <f t="shared" si="7"/>
        <v>0</v>
      </c>
      <c r="AB39" s="60">
        <f t="shared" si="7"/>
        <v>0</v>
      </c>
      <c r="AC39" s="60">
        <f t="shared" si="7"/>
        <v>0</v>
      </c>
      <c r="AD39" s="60">
        <f t="shared" si="7"/>
        <v>0</v>
      </c>
      <c r="AE39" s="77">
        <f t="shared" ref="AE39:AE51" si="9">SUM(C39:AD39)</f>
        <v>21</v>
      </c>
      <c r="AF39" s="66">
        <f>AE39/$AE$52</f>
        <v>1.1731843575418994E-2</v>
      </c>
      <c r="AG39" s="67">
        <v>0</v>
      </c>
    </row>
    <row r="40" spans="1:33" ht="13" thickBot="1" x14ac:dyDescent="0.45">
      <c r="A40" s="30" t="str">
        <f t="shared" si="8"/>
        <v>GADWALL</v>
      </c>
      <c r="B40" s="30"/>
      <c r="C40" s="60">
        <f t="shared" si="7"/>
        <v>0</v>
      </c>
      <c r="D40" s="60">
        <f t="shared" si="7"/>
        <v>1</v>
      </c>
      <c r="E40" s="60">
        <f t="shared" si="7"/>
        <v>0</v>
      </c>
      <c r="F40" s="60">
        <f t="shared" si="7"/>
        <v>7</v>
      </c>
      <c r="G40" s="60">
        <f t="shared" si="7"/>
        <v>4</v>
      </c>
      <c r="H40" s="60">
        <f t="shared" si="7"/>
        <v>15</v>
      </c>
      <c r="I40" s="60">
        <f t="shared" si="7"/>
        <v>2</v>
      </c>
      <c r="J40" s="60">
        <f t="shared" si="7"/>
        <v>0</v>
      </c>
      <c r="K40" s="60">
        <f t="shared" si="7"/>
        <v>6</v>
      </c>
      <c r="L40" s="60">
        <f t="shared" si="7"/>
        <v>1</v>
      </c>
      <c r="M40" s="60">
        <f t="shared" si="7"/>
        <v>2</v>
      </c>
      <c r="N40" s="60">
        <f t="shared" si="7"/>
        <v>5</v>
      </c>
      <c r="O40" s="60">
        <f t="shared" si="7"/>
        <v>3</v>
      </c>
      <c r="P40" s="60">
        <f t="shared" si="7"/>
        <v>0</v>
      </c>
      <c r="Q40" s="60">
        <f t="shared" si="7"/>
        <v>0</v>
      </c>
      <c r="R40" s="60">
        <f t="shared" si="7"/>
        <v>4</v>
      </c>
      <c r="S40" s="60">
        <f t="shared" si="7"/>
        <v>0</v>
      </c>
      <c r="T40" s="60">
        <f t="shared" si="7"/>
        <v>0</v>
      </c>
      <c r="U40" s="60">
        <f t="shared" si="7"/>
        <v>0</v>
      </c>
      <c r="V40" s="60">
        <f t="shared" si="7"/>
        <v>0</v>
      </c>
      <c r="W40" s="60">
        <f t="shared" si="7"/>
        <v>10</v>
      </c>
      <c r="X40" s="60">
        <f t="shared" si="7"/>
        <v>1</v>
      </c>
      <c r="Y40" s="60">
        <f t="shared" si="7"/>
        <v>3</v>
      </c>
      <c r="Z40" s="60">
        <f t="shared" si="7"/>
        <v>0</v>
      </c>
      <c r="AA40" s="60">
        <f t="shared" si="7"/>
        <v>0</v>
      </c>
      <c r="AB40" s="60">
        <f t="shared" si="7"/>
        <v>0</v>
      </c>
      <c r="AC40" s="60">
        <f t="shared" si="7"/>
        <v>0</v>
      </c>
      <c r="AD40" s="60">
        <f t="shared" si="7"/>
        <v>0</v>
      </c>
      <c r="AE40" s="77">
        <f t="shared" si="9"/>
        <v>64</v>
      </c>
      <c r="AF40" s="66">
        <f>AE40/$AE$52</f>
        <v>3.5754189944134075E-2</v>
      </c>
      <c r="AG40" s="67">
        <v>0</v>
      </c>
    </row>
    <row r="41" spans="1:33" ht="13" thickBot="1" x14ac:dyDescent="0.45">
      <c r="A41" s="30" t="str">
        <f t="shared" si="8"/>
        <v>GEESE</v>
      </c>
      <c r="B41" s="30"/>
      <c r="C41" s="60">
        <f t="shared" si="7"/>
        <v>0</v>
      </c>
      <c r="D41" s="60">
        <f t="shared" si="7"/>
        <v>0</v>
      </c>
      <c r="E41" s="60">
        <f t="shared" si="7"/>
        <v>0</v>
      </c>
      <c r="F41" s="60">
        <f t="shared" si="7"/>
        <v>1</v>
      </c>
      <c r="G41" s="60">
        <f t="shared" si="7"/>
        <v>2</v>
      </c>
      <c r="H41" s="60">
        <f t="shared" si="7"/>
        <v>0</v>
      </c>
      <c r="I41" s="60">
        <f t="shared" si="7"/>
        <v>0</v>
      </c>
      <c r="J41" s="60">
        <f t="shared" si="7"/>
        <v>0</v>
      </c>
      <c r="K41" s="60">
        <f t="shared" si="7"/>
        <v>1</v>
      </c>
      <c r="L41" s="60">
        <f t="shared" si="7"/>
        <v>0</v>
      </c>
      <c r="M41" s="60">
        <f t="shared" si="7"/>
        <v>0</v>
      </c>
      <c r="N41" s="60">
        <f t="shared" si="7"/>
        <v>0</v>
      </c>
      <c r="O41" s="60">
        <f t="shared" si="7"/>
        <v>2</v>
      </c>
      <c r="P41" s="60">
        <f t="shared" si="7"/>
        <v>0</v>
      </c>
      <c r="Q41" s="60">
        <f t="shared" si="7"/>
        <v>0</v>
      </c>
      <c r="R41" s="60">
        <f t="shared" si="7"/>
        <v>2</v>
      </c>
      <c r="S41" s="60">
        <f t="shared" si="7"/>
        <v>0</v>
      </c>
      <c r="T41" s="60">
        <f t="shared" si="7"/>
        <v>0</v>
      </c>
      <c r="U41" s="60">
        <f t="shared" si="7"/>
        <v>0</v>
      </c>
      <c r="V41" s="60">
        <f t="shared" si="7"/>
        <v>0</v>
      </c>
      <c r="W41" s="60">
        <f t="shared" si="7"/>
        <v>1</v>
      </c>
      <c r="X41" s="60">
        <f t="shared" si="7"/>
        <v>0</v>
      </c>
      <c r="Y41" s="60">
        <f t="shared" si="7"/>
        <v>0</v>
      </c>
      <c r="Z41" s="60">
        <f t="shared" si="7"/>
        <v>0</v>
      </c>
      <c r="AA41" s="60">
        <f t="shared" si="7"/>
        <v>0</v>
      </c>
      <c r="AB41" s="60">
        <f t="shared" si="7"/>
        <v>0</v>
      </c>
      <c r="AC41" s="60">
        <f t="shared" si="7"/>
        <v>0</v>
      </c>
      <c r="AD41" s="60">
        <f t="shared" si="7"/>
        <v>0</v>
      </c>
      <c r="AE41" s="77">
        <f t="shared" si="9"/>
        <v>9</v>
      </c>
      <c r="AF41" s="66">
        <f>AE41/$AE$52</f>
        <v>5.0279329608938546E-3</v>
      </c>
      <c r="AG41" s="67">
        <v>0</v>
      </c>
    </row>
    <row r="42" spans="1:33" ht="13" thickBot="1" x14ac:dyDescent="0.45">
      <c r="A42" s="30" t="str">
        <f t="shared" si="8"/>
        <v>MALLARD</v>
      </c>
      <c r="B42" s="30"/>
      <c r="C42" s="60">
        <f t="shared" si="7"/>
        <v>0</v>
      </c>
      <c r="D42" s="60">
        <f t="shared" si="7"/>
        <v>0</v>
      </c>
      <c r="E42" s="60">
        <f t="shared" si="7"/>
        <v>1</v>
      </c>
      <c r="F42" s="60">
        <f t="shared" si="7"/>
        <v>2</v>
      </c>
      <c r="G42" s="60">
        <f t="shared" si="7"/>
        <v>2</v>
      </c>
      <c r="H42" s="60">
        <f t="shared" si="7"/>
        <v>1</v>
      </c>
      <c r="I42" s="60">
        <f t="shared" si="7"/>
        <v>2</v>
      </c>
      <c r="J42" s="60">
        <f t="shared" si="7"/>
        <v>0</v>
      </c>
      <c r="K42" s="60">
        <f t="shared" si="7"/>
        <v>1</v>
      </c>
      <c r="L42" s="60">
        <f t="shared" si="7"/>
        <v>1</v>
      </c>
      <c r="M42" s="60">
        <f t="shared" si="7"/>
        <v>0</v>
      </c>
      <c r="N42" s="60">
        <f t="shared" si="7"/>
        <v>0</v>
      </c>
      <c r="O42" s="60">
        <f t="shared" si="7"/>
        <v>1</v>
      </c>
      <c r="P42" s="60">
        <f t="shared" si="7"/>
        <v>0</v>
      </c>
      <c r="Q42" s="60">
        <f t="shared" si="7"/>
        <v>0</v>
      </c>
      <c r="R42" s="60">
        <f t="shared" si="7"/>
        <v>1</v>
      </c>
      <c r="S42" s="60">
        <f t="shared" si="7"/>
        <v>0</v>
      </c>
      <c r="T42" s="60">
        <f t="shared" si="7"/>
        <v>0</v>
      </c>
      <c r="U42" s="60">
        <f t="shared" si="7"/>
        <v>0</v>
      </c>
      <c r="V42" s="60">
        <f t="shared" si="7"/>
        <v>3</v>
      </c>
      <c r="W42" s="60">
        <f t="shared" si="7"/>
        <v>1</v>
      </c>
      <c r="X42" s="60">
        <f t="shared" si="7"/>
        <v>0</v>
      </c>
      <c r="Y42" s="60">
        <f t="shared" si="7"/>
        <v>0</v>
      </c>
      <c r="Z42" s="60">
        <f t="shared" si="7"/>
        <v>0</v>
      </c>
      <c r="AA42" s="60">
        <f t="shared" si="7"/>
        <v>0</v>
      </c>
      <c r="AB42" s="60">
        <f t="shared" si="7"/>
        <v>0</v>
      </c>
      <c r="AC42" s="60">
        <f t="shared" si="7"/>
        <v>0</v>
      </c>
      <c r="AD42" s="60">
        <f t="shared" si="7"/>
        <v>0</v>
      </c>
      <c r="AE42" s="77">
        <f t="shared" si="9"/>
        <v>16</v>
      </c>
      <c r="AF42" s="66">
        <f t="shared" ref="AF42:AF51" si="10">AE42/$AE$52</f>
        <v>8.9385474860335188E-3</v>
      </c>
      <c r="AG42" s="67">
        <v>0</v>
      </c>
    </row>
    <row r="43" spans="1:33" ht="13" thickBot="1" x14ac:dyDescent="0.45">
      <c r="A43" s="30" t="str">
        <f t="shared" si="8"/>
        <v>PINTAIL</v>
      </c>
      <c r="B43" s="30"/>
      <c r="C43" s="60">
        <f t="shared" si="7"/>
        <v>1</v>
      </c>
      <c r="D43" s="60">
        <f t="shared" si="7"/>
        <v>0</v>
      </c>
      <c r="E43" s="60">
        <f t="shared" si="7"/>
        <v>5</v>
      </c>
      <c r="F43" s="60">
        <f t="shared" si="7"/>
        <v>25</v>
      </c>
      <c r="G43" s="60">
        <f t="shared" si="7"/>
        <v>5</v>
      </c>
      <c r="H43" s="60">
        <f t="shared" si="7"/>
        <v>30</v>
      </c>
      <c r="I43" s="60">
        <f t="shared" si="7"/>
        <v>2</v>
      </c>
      <c r="J43" s="60">
        <f t="shared" si="7"/>
        <v>0</v>
      </c>
      <c r="K43" s="60">
        <f t="shared" si="7"/>
        <v>5</v>
      </c>
      <c r="L43" s="60">
        <f t="shared" si="7"/>
        <v>1</v>
      </c>
      <c r="M43" s="60">
        <f t="shared" si="7"/>
        <v>3</v>
      </c>
      <c r="N43" s="60">
        <f t="shared" si="7"/>
        <v>5</v>
      </c>
      <c r="O43" s="60">
        <f t="shared" si="7"/>
        <v>1</v>
      </c>
      <c r="P43" s="60">
        <f t="shared" si="7"/>
        <v>0</v>
      </c>
      <c r="Q43" s="60">
        <f t="shared" si="7"/>
        <v>0</v>
      </c>
      <c r="R43" s="60">
        <f t="shared" si="7"/>
        <v>6</v>
      </c>
      <c r="S43" s="60">
        <f t="shared" si="7"/>
        <v>1</v>
      </c>
      <c r="T43" s="60">
        <f t="shared" si="7"/>
        <v>0</v>
      </c>
      <c r="U43" s="60">
        <f t="shared" si="7"/>
        <v>2</v>
      </c>
      <c r="V43" s="60">
        <f t="shared" si="7"/>
        <v>6</v>
      </c>
      <c r="W43" s="60">
        <f t="shared" si="7"/>
        <v>13</v>
      </c>
      <c r="X43" s="60">
        <f t="shared" si="7"/>
        <v>1</v>
      </c>
      <c r="Y43" s="60">
        <f t="shared" si="7"/>
        <v>1</v>
      </c>
      <c r="Z43" s="60">
        <f t="shared" si="7"/>
        <v>0</v>
      </c>
      <c r="AA43" s="60">
        <f t="shared" si="7"/>
        <v>0</v>
      </c>
      <c r="AB43" s="60">
        <f t="shared" si="7"/>
        <v>0</v>
      </c>
      <c r="AC43" s="60">
        <f t="shared" si="7"/>
        <v>0</v>
      </c>
      <c r="AD43" s="60">
        <f t="shared" si="7"/>
        <v>0</v>
      </c>
      <c r="AE43" s="77">
        <f t="shared" si="9"/>
        <v>113</v>
      </c>
      <c r="AF43" s="66">
        <f t="shared" si="10"/>
        <v>6.3128491620111735E-2</v>
      </c>
      <c r="AG43" s="67">
        <v>0</v>
      </c>
    </row>
    <row r="44" spans="1:33" ht="13" thickBot="1" x14ac:dyDescent="0.45">
      <c r="A44" s="30" t="str">
        <f t="shared" si="8"/>
        <v>REDHEAD</v>
      </c>
      <c r="B44" s="30"/>
      <c r="C44" s="60">
        <f t="shared" si="7"/>
        <v>0</v>
      </c>
      <c r="D44" s="60">
        <f t="shared" si="7"/>
        <v>0</v>
      </c>
      <c r="E44" s="60">
        <f t="shared" si="7"/>
        <v>0</v>
      </c>
      <c r="F44" s="60">
        <f t="shared" si="7"/>
        <v>1</v>
      </c>
      <c r="G44" s="60">
        <f t="shared" si="7"/>
        <v>1</v>
      </c>
      <c r="H44" s="60">
        <f t="shared" si="7"/>
        <v>0</v>
      </c>
      <c r="I44" s="60">
        <f t="shared" si="7"/>
        <v>0</v>
      </c>
      <c r="J44" s="60">
        <f t="shared" si="7"/>
        <v>0</v>
      </c>
      <c r="K44" s="60">
        <f t="shared" si="7"/>
        <v>1</v>
      </c>
      <c r="L44" s="60">
        <f t="shared" si="7"/>
        <v>0</v>
      </c>
      <c r="M44" s="60">
        <f t="shared" si="7"/>
        <v>0</v>
      </c>
      <c r="N44" s="60">
        <f t="shared" si="7"/>
        <v>0</v>
      </c>
      <c r="O44" s="60">
        <f t="shared" si="7"/>
        <v>2</v>
      </c>
      <c r="P44" s="60">
        <f t="shared" si="7"/>
        <v>0</v>
      </c>
      <c r="Q44" s="60">
        <f t="shared" si="7"/>
        <v>0</v>
      </c>
      <c r="R44" s="60">
        <f t="shared" si="7"/>
        <v>0</v>
      </c>
      <c r="S44" s="60">
        <f t="shared" si="7"/>
        <v>0</v>
      </c>
      <c r="T44" s="60">
        <f t="shared" si="7"/>
        <v>0</v>
      </c>
      <c r="U44" s="60">
        <f t="shared" si="7"/>
        <v>0</v>
      </c>
      <c r="V44" s="60">
        <f t="shared" si="7"/>
        <v>0</v>
      </c>
      <c r="W44" s="60">
        <f t="shared" si="7"/>
        <v>0</v>
      </c>
      <c r="X44" s="60">
        <f t="shared" si="7"/>
        <v>0</v>
      </c>
      <c r="Y44" s="60">
        <f t="shared" si="7"/>
        <v>0</v>
      </c>
      <c r="Z44" s="60">
        <f t="shared" si="7"/>
        <v>0</v>
      </c>
      <c r="AA44" s="60">
        <f t="shared" si="7"/>
        <v>0</v>
      </c>
      <c r="AB44" s="60">
        <f t="shared" si="7"/>
        <v>0</v>
      </c>
      <c r="AC44" s="60">
        <f t="shared" si="7"/>
        <v>0</v>
      </c>
      <c r="AD44" s="60">
        <f t="shared" si="7"/>
        <v>0</v>
      </c>
      <c r="AE44" s="77">
        <f t="shared" si="9"/>
        <v>5</v>
      </c>
      <c r="AF44" s="66">
        <f t="shared" si="10"/>
        <v>2.7932960893854749E-3</v>
      </c>
      <c r="AG44" s="67">
        <v>0</v>
      </c>
    </row>
    <row r="45" spans="1:33" ht="13" thickBot="1" x14ac:dyDescent="0.45">
      <c r="A45" s="30" t="str">
        <f t="shared" si="8"/>
        <v>RINGNECK</v>
      </c>
      <c r="B45" s="30"/>
      <c r="C45" s="60">
        <f t="shared" si="7"/>
        <v>0</v>
      </c>
      <c r="D45" s="60">
        <f t="shared" si="7"/>
        <v>0</v>
      </c>
      <c r="E45" s="60">
        <f t="shared" si="7"/>
        <v>0</v>
      </c>
      <c r="F45" s="60">
        <f t="shared" si="7"/>
        <v>0</v>
      </c>
      <c r="G45" s="60">
        <f t="shared" si="7"/>
        <v>0</v>
      </c>
      <c r="H45" s="60">
        <f t="shared" si="7"/>
        <v>1</v>
      </c>
      <c r="I45" s="60">
        <f t="shared" si="7"/>
        <v>0</v>
      </c>
      <c r="J45" s="60">
        <f t="shared" si="7"/>
        <v>0</v>
      </c>
      <c r="K45" s="60">
        <f t="shared" si="7"/>
        <v>1</v>
      </c>
      <c r="L45" s="60">
        <f t="shared" si="7"/>
        <v>0</v>
      </c>
      <c r="M45" s="60">
        <f t="shared" si="7"/>
        <v>0</v>
      </c>
      <c r="N45" s="60">
        <f t="shared" si="7"/>
        <v>0</v>
      </c>
      <c r="O45" s="60">
        <f t="shared" si="7"/>
        <v>0</v>
      </c>
      <c r="P45" s="60">
        <f t="shared" si="7"/>
        <v>0</v>
      </c>
      <c r="Q45" s="60">
        <f t="shared" si="7"/>
        <v>0</v>
      </c>
      <c r="R45" s="60">
        <f t="shared" si="7"/>
        <v>0</v>
      </c>
      <c r="S45" s="60">
        <f t="shared" si="7"/>
        <v>0</v>
      </c>
      <c r="T45" s="60">
        <f t="shared" si="7"/>
        <v>0</v>
      </c>
      <c r="U45" s="60">
        <f t="shared" si="7"/>
        <v>0</v>
      </c>
      <c r="V45" s="60">
        <f t="shared" si="7"/>
        <v>0</v>
      </c>
      <c r="W45" s="60">
        <f t="shared" si="7"/>
        <v>0</v>
      </c>
      <c r="X45" s="60">
        <f t="shared" si="7"/>
        <v>0</v>
      </c>
      <c r="Y45" s="60">
        <f t="shared" si="7"/>
        <v>0</v>
      </c>
      <c r="Z45" s="60">
        <f t="shared" si="7"/>
        <v>0</v>
      </c>
      <c r="AA45" s="60">
        <f t="shared" si="7"/>
        <v>0</v>
      </c>
      <c r="AB45" s="60">
        <f t="shared" si="7"/>
        <v>0</v>
      </c>
      <c r="AC45" s="60">
        <f t="shared" si="7"/>
        <v>0</v>
      </c>
      <c r="AD45" s="60">
        <f t="shared" si="7"/>
        <v>0</v>
      </c>
      <c r="AE45" s="77">
        <f t="shared" si="9"/>
        <v>2</v>
      </c>
      <c r="AF45" s="66">
        <f t="shared" si="10"/>
        <v>1.1173184357541898E-3</v>
      </c>
      <c r="AG45" s="67">
        <v>0</v>
      </c>
    </row>
    <row r="46" spans="1:33" ht="13" thickBot="1" x14ac:dyDescent="0.45">
      <c r="A46" s="30" t="str">
        <f t="shared" si="8"/>
        <v>B'HEAD</v>
      </c>
      <c r="B46" s="30"/>
      <c r="C46" s="60">
        <f t="shared" si="7"/>
        <v>0</v>
      </c>
      <c r="D46" s="60">
        <f t="shared" si="7"/>
        <v>0</v>
      </c>
      <c r="E46" s="60">
        <f t="shared" si="7"/>
        <v>2</v>
      </c>
      <c r="F46" s="60">
        <f t="shared" si="7"/>
        <v>1</v>
      </c>
      <c r="G46" s="60">
        <f t="shared" si="7"/>
        <v>4</v>
      </c>
      <c r="H46" s="60">
        <f t="shared" si="7"/>
        <v>2</v>
      </c>
      <c r="I46" s="60">
        <f t="shared" si="7"/>
        <v>3</v>
      </c>
      <c r="J46" s="60">
        <f t="shared" si="7"/>
        <v>0</v>
      </c>
      <c r="K46" s="60">
        <f t="shared" si="7"/>
        <v>14</v>
      </c>
      <c r="L46" s="60">
        <f t="shared" si="7"/>
        <v>3</v>
      </c>
      <c r="M46" s="60">
        <f t="shared" si="7"/>
        <v>2</v>
      </c>
      <c r="N46" s="60">
        <f t="shared" si="7"/>
        <v>4</v>
      </c>
      <c r="O46" s="60">
        <f t="shared" si="7"/>
        <v>0</v>
      </c>
      <c r="P46" s="60">
        <f t="shared" si="7"/>
        <v>0</v>
      </c>
      <c r="Q46" s="60">
        <f t="shared" si="7"/>
        <v>0</v>
      </c>
      <c r="R46" s="60">
        <f t="shared" si="7"/>
        <v>0</v>
      </c>
      <c r="S46" s="60">
        <f t="shared" si="7"/>
        <v>0</v>
      </c>
      <c r="T46" s="60">
        <f t="shared" si="7"/>
        <v>0</v>
      </c>
      <c r="U46" s="60">
        <f t="shared" si="7"/>
        <v>0</v>
      </c>
      <c r="V46" s="60">
        <f t="shared" si="7"/>
        <v>0</v>
      </c>
      <c r="W46" s="60">
        <f t="shared" si="7"/>
        <v>1</v>
      </c>
      <c r="X46" s="60">
        <f t="shared" si="7"/>
        <v>0</v>
      </c>
      <c r="Y46" s="60">
        <f t="shared" si="7"/>
        <v>0</v>
      </c>
      <c r="Z46" s="60">
        <f t="shared" si="7"/>
        <v>0</v>
      </c>
      <c r="AA46" s="60">
        <f t="shared" si="7"/>
        <v>0</v>
      </c>
      <c r="AB46" s="60">
        <f t="shared" si="7"/>
        <v>0</v>
      </c>
      <c r="AC46" s="60">
        <f t="shared" si="7"/>
        <v>0</v>
      </c>
      <c r="AD46" s="60">
        <f t="shared" si="7"/>
        <v>0</v>
      </c>
      <c r="AE46" s="77">
        <f t="shared" si="9"/>
        <v>36</v>
      </c>
      <c r="AF46" s="66">
        <f t="shared" si="10"/>
        <v>2.0111731843575419E-2</v>
      </c>
      <c r="AG46" s="67">
        <v>0</v>
      </c>
    </row>
    <row r="47" spans="1:33" ht="13" thickBot="1" x14ac:dyDescent="0.45">
      <c r="A47" s="30" t="str">
        <f t="shared" si="8"/>
        <v>SPOONY</v>
      </c>
      <c r="B47" s="30"/>
      <c r="C47" s="60">
        <f t="shared" si="7"/>
        <v>15</v>
      </c>
      <c r="D47" s="60">
        <f t="shared" si="7"/>
        <v>8</v>
      </c>
      <c r="E47" s="60">
        <f t="shared" si="7"/>
        <v>22</v>
      </c>
      <c r="F47" s="60">
        <f t="shared" ref="C47:AD51" si="11">F12+F29</f>
        <v>40</v>
      </c>
      <c r="G47" s="60">
        <f t="shared" si="11"/>
        <v>64</v>
      </c>
      <c r="H47" s="60">
        <f t="shared" si="11"/>
        <v>103</v>
      </c>
      <c r="I47" s="60">
        <f t="shared" si="11"/>
        <v>18</v>
      </c>
      <c r="J47" s="60">
        <f t="shared" si="11"/>
        <v>0</v>
      </c>
      <c r="K47" s="60">
        <f t="shared" si="11"/>
        <v>32</v>
      </c>
      <c r="L47" s="60">
        <f t="shared" si="11"/>
        <v>7</v>
      </c>
      <c r="M47" s="60">
        <f t="shared" si="11"/>
        <v>13</v>
      </c>
      <c r="N47" s="60">
        <f t="shared" si="11"/>
        <v>35</v>
      </c>
      <c r="O47" s="60">
        <f t="shared" si="11"/>
        <v>15</v>
      </c>
      <c r="P47" s="60">
        <f t="shared" si="11"/>
        <v>0</v>
      </c>
      <c r="Q47" s="60">
        <f t="shared" si="11"/>
        <v>0</v>
      </c>
      <c r="R47" s="60">
        <f t="shared" si="11"/>
        <v>25</v>
      </c>
      <c r="S47" s="60">
        <f t="shared" si="11"/>
        <v>2</v>
      </c>
      <c r="T47" s="60">
        <f t="shared" si="11"/>
        <v>0</v>
      </c>
      <c r="U47" s="60">
        <f t="shared" si="11"/>
        <v>4</v>
      </c>
      <c r="V47" s="60">
        <f t="shared" si="11"/>
        <v>15</v>
      </c>
      <c r="W47" s="60">
        <f t="shared" si="11"/>
        <v>56</v>
      </c>
      <c r="X47" s="60">
        <f t="shared" si="11"/>
        <v>7</v>
      </c>
      <c r="Y47" s="60">
        <f t="shared" si="11"/>
        <v>0</v>
      </c>
      <c r="Z47" s="60">
        <f t="shared" si="11"/>
        <v>0</v>
      </c>
      <c r="AA47" s="60">
        <f t="shared" si="11"/>
        <v>0</v>
      </c>
      <c r="AB47" s="60">
        <f t="shared" si="11"/>
        <v>0</v>
      </c>
      <c r="AC47" s="60">
        <f t="shared" si="11"/>
        <v>0</v>
      </c>
      <c r="AD47" s="60">
        <f t="shared" si="11"/>
        <v>0</v>
      </c>
      <c r="AE47" s="77">
        <f t="shared" si="9"/>
        <v>481</v>
      </c>
      <c r="AF47" s="66">
        <f>AE47/$AE$52</f>
        <v>0.2687150837988827</v>
      </c>
      <c r="AG47" s="67">
        <v>0</v>
      </c>
    </row>
    <row r="48" spans="1:33" ht="13" thickBot="1" x14ac:dyDescent="0.45">
      <c r="A48" s="30" t="str">
        <f t="shared" si="8"/>
        <v>TEAL</v>
      </c>
      <c r="B48" s="30"/>
      <c r="C48" s="60">
        <f t="shared" si="11"/>
        <v>32</v>
      </c>
      <c r="D48" s="60">
        <f t="shared" si="11"/>
        <v>5</v>
      </c>
      <c r="E48" s="60">
        <f t="shared" si="11"/>
        <v>26</v>
      </c>
      <c r="F48" s="60">
        <f t="shared" si="11"/>
        <v>97</v>
      </c>
      <c r="G48" s="60">
        <f t="shared" si="11"/>
        <v>66</v>
      </c>
      <c r="H48" s="60">
        <f t="shared" si="11"/>
        <v>114</v>
      </c>
      <c r="I48" s="60">
        <f t="shared" si="11"/>
        <v>36</v>
      </c>
      <c r="J48" s="60">
        <f t="shared" si="11"/>
        <v>0</v>
      </c>
      <c r="K48" s="60">
        <f t="shared" si="11"/>
        <v>41</v>
      </c>
      <c r="L48" s="60">
        <f t="shared" si="11"/>
        <v>34</v>
      </c>
      <c r="M48" s="60">
        <f t="shared" si="11"/>
        <v>17</v>
      </c>
      <c r="N48" s="60">
        <f t="shared" si="11"/>
        <v>35</v>
      </c>
      <c r="O48" s="60">
        <f t="shared" si="11"/>
        <v>90</v>
      </c>
      <c r="P48" s="60">
        <f t="shared" si="11"/>
        <v>0</v>
      </c>
      <c r="Q48" s="60">
        <f t="shared" si="11"/>
        <v>0</v>
      </c>
      <c r="R48" s="60">
        <f t="shared" si="11"/>
        <v>87</v>
      </c>
      <c r="S48" s="60">
        <f t="shared" si="11"/>
        <v>6</v>
      </c>
      <c r="T48" s="60">
        <f t="shared" si="11"/>
        <v>0</v>
      </c>
      <c r="U48" s="60">
        <f t="shared" si="11"/>
        <v>5</v>
      </c>
      <c r="V48" s="60">
        <f t="shared" si="11"/>
        <v>26</v>
      </c>
      <c r="W48" s="60">
        <f t="shared" si="11"/>
        <v>84</v>
      </c>
      <c r="X48" s="60">
        <f t="shared" si="11"/>
        <v>8</v>
      </c>
      <c r="Y48" s="60">
        <f t="shared" si="11"/>
        <v>15</v>
      </c>
      <c r="Z48" s="60">
        <f t="shared" si="11"/>
        <v>0</v>
      </c>
      <c r="AA48" s="60">
        <f t="shared" si="11"/>
        <v>0</v>
      </c>
      <c r="AB48" s="60">
        <f t="shared" si="11"/>
        <v>0</v>
      </c>
      <c r="AC48" s="60">
        <f t="shared" si="11"/>
        <v>0</v>
      </c>
      <c r="AD48" s="60">
        <f t="shared" si="11"/>
        <v>0</v>
      </c>
      <c r="AE48" s="77">
        <f t="shared" si="9"/>
        <v>824</v>
      </c>
      <c r="AF48" s="66">
        <f t="shared" si="10"/>
        <v>0.46033519553072627</v>
      </c>
      <c r="AG48" s="67">
        <v>0</v>
      </c>
    </row>
    <row r="49" spans="1:33" ht="13" thickBot="1" x14ac:dyDescent="0.45">
      <c r="A49" s="30" t="str">
        <f t="shared" si="8"/>
        <v>WIDGEON</v>
      </c>
      <c r="B49" s="30"/>
      <c r="C49" s="60">
        <f t="shared" si="11"/>
        <v>2</v>
      </c>
      <c r="D49" s="60">
        <f t="shared" si="11"/>
        <v>1</v>
      </c>
      <c r="E49" s="60">
        <f t="shared" si="11"/>
        <v>4</v>
      </c>
      <c r="F49" s="60">
        <f t="shared" si="11"/>
        <v>18</v>
      </c>
      <c r="G49" s="60">
        <f t="shared" si="11"/>
        <v>10</v>
      </c>
      <c r="H49" s="60">
        <f t="shared" si="11"/>
        <v>31</v>
      </c>
      <c r="I49" s="60">
        <f t="shared" si="11"/>
        <v>4</v>
      </c>
      <c r="J49" s="60">
        <f t="shared" si="11"/>
        <v>0</v>
      </c>
      <c r="K49" s="60">
        <f t="shared" si="11"/>
        <v>15</v>
      </c>
      <c r="L49" s="60">
        <f t="shared" si="11"/>
        <v>0</v>
      </c>
      <c r="M49" s="60">
        <f t="shared" si="11"/>
        <v>4</v>
      </c>
      <c r="N49" s="60">
        <f t="shared" si="11"/>
        <v>11</v>
      </c>
      <c r="O49" s="60">
        <f t="shared" si="11"/>
        <v>17</v>
      </c>
      <c r="P49" s="60">
        <f t="shared" si="11"/>
        <v>0</v>
      </c>
      <c r="Q49" s="60">
        <f t="shared" si="11"/>
        <v>0</v>
      </c>
      <c r="R49" s="60">
        <f t="shared" si="11"/>
        <v>20</v>
      </c>
      <c r="S49" s="60">
        <f t="shared" si="11"/>
        <v>1</v>
      </c>
      <c r="T49" s="60">
        <f t="shared" si="11"/>
        <v>0</v>
      </c>
      <c r="U49" s="60">
        <f t="shared" si="11"/>
        <v>0</v>
      </c>
      <c r="V49" s="60">
        <f t="shared" si="11"/>
        <v>24</v>
      </c>
      <c r="W49" s="60">
        <f t="shared" si="11"/>
        <v>40</v>
      </c>
      <c r="X49" s="60">
        <f t="shared" si="11"/>
        <v>1</v>
      </c>
      <c r="Y49" s="60">
        <f t="shared" si="11"/>
        <v>5</v>
      </c>
      <c r="Z49" s="60">
        <f t="shared" si="11"/>
        <v>0</v>
      </c>
      <c r="AA49" s="60">
        <f t="shared" si="11"/>
        <v>0</v>
      </c>
      <c r="AB49" s="60">
        <f t="shared" si="11"/>
        <v>0</v>
      </c>
      <c r="AC49" s="60">
        <f t="shared" si="11"/>
        <v>0</v>
      </c>
      <c r="AD49" s="60">
        <f t="shared" si="11"/>
        <v>0</v>
      </c>
      <c r="AE49" s="77">
        <f t="shared" si="9"/>
        <v>208</v>
      </c>
      <c r="AF49" s="66">
        <f t="shared" si="10"/>
        <v>0.11620111731843576</v>
      </c>
      <c r="AG49" s="67">
        <v>0</v>
      </c>
    </row>
    <row r="50" spans="1:33" ht="13" thickBot="1" x14ac:dyDescent="0.45">
      <c r="A50" s="30" t="str">
        <f t="shared" si="8"/>
        <v>SCAUP</v>
      </c>
      <c r="B50" s="30"/>
      <c r="C50" s="60">
        <f t="shared" si="11"/>
        <v>0</v>
      </c>
      <c r="D50" s="60">
        <f t="shared" si="11"/>
        <v>0</v>
      </c>
      <c r="E50" s="60">
        <f t="shared" si="11"/>
        <v>0</v>
      </c>
      <c r="F50" s="60">
        <f t="shared" si="11"/>
        <v>0</v>
      </c>
      <c r="G50" s="60">
        <f t="shared" si="11"/>
        <v>0</v>
      </c>
      <c r="H50" s="60">
        <f t="shared" si="11"/>
        <v>0</v>
      </c>
      <c r="I50" s="60">
        <f t="shared" si="11"/>
        <v>0</v>
      </c>
      <c r="J50" s="60">
        <f t="shared" si="11"/>
        <v>0</v>
      </c>
      <c r="K50" s="60">
        <f t="shared" si="11"/>
        <v>2</v>
      </c>
      <c r="L50" s="60">
        <f t="shared" si="11"/>
        <v>0</v>
      </c>
      <c r="M50" s="60">
        <f t="shared" si="11"/>
        <v>0</v>
      </c>
      <c r="N50" s="60">
        <f t="shared" si="11"/>
        <v>0</v>
      </c>
      <c r="O50" s="60">
        <f t="shared" si="11"/>
        <v>0</v>
      </c>
      <c r="P50" s="60">
        <f t="shared" si="11"/>
        <v>0</v>
      </c>
      <c r="Q50" s="60">
        <f t="shared" si="11"/>
        <v>0</v>
      </c>
      <c r="R50" s="60">
        <f t="shared" si="11"/>
        <v>0</v>
      </c>
      <c r="S50" s="60">
        <f t="shared" si="11"/>
        <v>0</v>
      </c>
      <c r="T50" s="60">
        <f t="shared" si="11"/>
        <v>0</v>
      </c>
      <c r="U50" s="60">
        <f t="shared" si="11"/>
        <v>0</v>
      </c>
      <c r="V50" s="60">
        <f t="shared" si="11"/>
        <v>0</v>
      </c>
      <c r="W50" s="60">
        <f t="shared" si="11"/>
        <v>0</v>
      </c>
      <c r="X50" s="60">
        <f>X15+X32</f>
        <v>0</v>
      </c>
      <c r="Y50" s="60">
        <f>Y15+Y32</f>
        <v>0</v>
      </c>
      <c r="Z50" s="60">
        <f t="shared" si="11"/>
        <v>0</v>
      </c>
      <c r="AA50" s="60">
        <f t="shared" si="11"/>
        <v>0</v>
      </c>
      <c r="AB50" s="60">
        <f t="shared" si="11"/>
        <v>0</v>
      </c>
      <c r="AC50" s="60">
        <f t="shared" si="11"/>
        <v>0</v>
      </c>
      <c r="AD50" s="60">
        <f t="shared" si="11"/>
        <v>0</v>
      </c>
      <c r="AE50" s="77">
        <f t="shared" si="9"/>
        <v>2</v>
      </c>
      <c r="AF50" s="66">
        <f t="shared" si="10"/>
        <v>1.1173184357541898E-3</v>
      </c>
      <c r="AG50" s="67">
        <v>0</v>
      </c>
    </row>
    <row r="51" spans="1:33" ht="13" thickBot="1" x14ac:dyDescent="0.45">
      <c r="A51" s="30" t="s">
        <v>58</v>
      </c>
      <c r="B51" s="30"/>
      <c r="C51" s="62">
        <f t="shared" si="11"/>
        <v>0</v>
      </c>
      <c r="D51" s="62">
        <f t="shared" si="11"/>
        <v>0</v>
      </c>
      <c r="E51" s="62">
        <f t="shared" si="11"/>
        <v>0</v>
      </c>
      <c r="F51" s="62">
        <f t="shared" si="11"/>
        <v>1</v>
      </c>
      <c r="G51" s="62">
        <f t="shared" si="11"/>
        <v>0</v>
      </c>
      <c r="H51" s="62">
        <f t="shared" si="11"/>
        <v>0</v>
      </c>
      <c r="I51" s="62">
        <f t="shared" si="11"/>
        <v>0</v>
      </c>
      <c r="J51" s="62">
        <f t="shared" si="11"/>
        <v>0</v>
      </c>
      <c r="K51" s="62">
        <f t="shared" si="11"/>
        <v>1</v>
      </c>
      <c r="L51" s="62">
        <f t="shared" si="11"/>
        <v>0</v>
      </c>
      <c r="M51" s="62">
        <f t="shared" si="11"/>
        <v>0</v>
      </c>
      <c r="N51" s="62">
        <f t="shared" si="11"/>
        <v>0</v>
      </c>
      <c r="O51" s="62">
        <f t="shared" si="11"/>
        <v>0</v>
      </c>
      <c r="P51" s="62">
        <f t="shared" si="11"/>
        <v>0</v>
      </c>
      <c r="Q51" s="62">
        <f t="shared" si="11"/>
        <v>0</v>
      </c>
      <c r="R51" s="62">
        <f t="shared" si="11"/>
        <v>0</v>
      </c>
      <c r="S51" s="62">
        <f t="shared" si="11"/>
        <v>0</v>
      </c>
      <c r="T51" s="62">
        <f t="shared" si="11"/>
        <v>0</v>
      </c>
      <c r="U51" s="62">
        <f t="shared" si="11"/>
        <v>0</v>
      </c>
      <c r="V51" s="62">
        <f>V16+V33</f>
        <v>0</v>
      </c>
      <c r="W51" s="62">
        <f>W16+W33</f>
        <v>0</v>
      </c>
      <c r="X51" s="62">
        <f>X16+X33</f>
        <v>0</v>
      </c>
      <c r="Y51" s="62">
        <f>Y16+Y33</f>
        <v>0</v>
      </c>
      <c r="Z51" s="62">
        <f t="shared" si="11"/>
        <v>0</v>
      </c>
      <c r="AA51" s="62">
        <f t="shared" si="11"/>
        <v>0</v>
      </c>
      <c r="AB51" s="62">
        <f t="shared" si="11"/>
        <v>0</v>
      </c>
      <c r="AC51" s="62">
        <f t="shared" si="11"/>
        <v>0</v>
      </c>
      <c r="AD51" s="62">
        <f t="shared" si="11"/>
        <v>0</v>
      </c>
      <c r="AE51" s="77">
        <f t="shared" si="9"/>
        <v>2</v>
      </c>
      <c r="AF51" s="69">
        <f t="shared" si="10"/>
        <v>1.1173184357541898E-3</v>
      </c>
      <c r="AG51" s="70">
        <v>0</v>
      </c>
    </row>
    <row r="52" spans="1:33" x14ac:dyDescent="0.4">
      <c r="A52" s="30" t="s">
        <v>25</v>
      </c>
      <c r="B52" s="30"/>
      <c r="C52" s="60">
        <f>0+SUM(C38:C51)</f>
        <v>52</v>
      </c>
      <c r="D52" s="60">
        <f t="shared" ref="D52:U52" si="12">0+SUM(D38:D51)</f>
        <v>15</v>
      </c>
      <c r="E52" s="60">
        <f t="shared" si="12"/>
        <v>61</v>
      </c>
      <c r="F52" s="60">
        <f t="shared" si="12"/>
        <v>198</v>
      </c>
      <c r="G52" s="60">
        <f t="shared" si="12"/>
        <v>160</v>
      </c>
      <c r="H52" s="60">
        <f t="shared" si="12"/>
        <v>300</v>
      </c>
      <c r="I52" s="60">
        <f t="shared" si="12"/>
        <v>67</v>
      </c>
      <c r="J52" s="60">
        <f t="shared" si="12"/>
        <v>0</v>
      </c>
      <c r="K52" s="60">
        <f t="shared" si="12"/>
        <v>124</v>
      </c>
      <c r="L52" s="60">
        <f t="shared" si="12"/>
        <v>47</v>
      </c>
      <c r="M52" s="60">
        <f t="shared" si="12"/>
        <v>41</v>
      </c>
      <c r="N52" s="60">
        <f t="shared" si="12"/>
        <v>100</v>
      </c>
      <c r="O52" s="60">
        <f t="shared" si="12"/>
        <v>134</v>
      </c>
      <c r="P52" s="60">
        <f t="shared" si="12"/>
        <v>0</v>
      </c>
      <c r="Q52" s="60">
        <f t="shared" si="12"/>
        <v>0</v>
      </c>
      <c r="R52" s="60">
        <f t="shared" si="12"/>
        <v>145</v>
      </c>
      <c r="S52" s="60">
        <f t="shared" si="12"/>
        <v>10</v>
      </c>
      <c r="T52" s="60">
        <f t="shared" si="12"/>
        <v>0</v>
      </c>
      <c r="U52" s="60">
        <f t="shared" si="12"/>
        <v>11</v>
      </c>
      <c r="V52" s="60">
        <f>0+SUM(V38:V51)</f>
        <v>74</v>
      </c>
      <c r="W52" s="60">
        <f>0+SUM(W38:W51)</f>
        <v>209</v>
      </c>
      <c r="X52" s="60">
        <f>SUM(X17,X34)</f>
        <v>18</v>
      </c>
      <c r="Y52" s="60">
        <f t="shared" ref="Y52:AD52" si="13">0+SUM(Y38:Y51)</f>
        <v>24</v>
      </c>
      <c r="Z52" s="60">
        <f t="shared" si="13"/>
        <v>0</v>
      </c>
      <c r="AA52" s="60">
        <f t="shared" si="13"/>
        <v>0</v>
      </c>
      <c r="AB52" s="60">
        <f t="shared" si="13"/>
        <v>0</v>
      </c>
      <c r="AC52" s="60">
        <f t="shared" si="13"/>
        <v>0</v>
      </c>
      <c r="AD52" s="60">
        <f t="shared" si="13"/>
        <v>0</v>
      </c>
      <c r="AE52" s="30">
        <f>SUM(AE38:AE51)</f>
        <v>1790</v>
      </c>
      <c r="AF52" s="71"/>
      <c r="AG52" s="71"/>
    </row>
    <row r="53" spans="1:33" x14ac:dyDescent="0.4">
      <c r="A53" s="30" t="s">
        <v>48</v>
      </c>
      <c r="B53" s="30"/>
      <c r="C53" s="72">
        <f t="shared" ref="C53:AD53" si="14">C52/$AE$52</f>
        <v>2.9050279329608939E-2</v>
      </c>
      <c r="D53" s="72">
        <f t="shared" si="14"/>
        <v>8.3798882681564244E-3</v>
      </c>
      <c r="E53" s="72">
        <f t="shared" si="14"/>
        <v>3.4078212290502792E-2</v>
      </c>
      <c r="F53" s="72">
        <f t="shared" si="14"/>
        <v>0.1106145251396648</v>
      </c>
      <c r="G53" s="72">
        <f t="shared" si="14"/>
        <v>8.9385474860335198E-2</v>
      </c>
      <c r="H53" s="72">
        <f t="shared" si="14"/>
        <v>0.16759776536312848</v>
      </c>
      <c r="I53" s="72">
        <f t="shared" si="14"/>
        <v>3.7430167597765365E-2</v>
      </c>
      <c r="J53" s="72">
        <f t="shared" si="14"/>
        <v>0</v>
      </c>
      <c r="K53" s="72">
        <f t="shared" si="14"/>
        <v>6.9273743016759773E-2</v>
      </c>
      <c r="L53" s="72">
        <f t="shared" si="14"/>
        <v>2.6256983240223464E-2</v>
      </c>
      <c r="M53" s="72">
        <f t="shared" si="14"/>
        <v>2.2905027932960894E-2</v>
      </c>
      <c r="N53" s="72">
        <f t="shared" si="14"/>
        <v>5.5865921787709494E-2</v>
      </c>
      <c r="O53" s="72">
        <f t="shared" si="14"/>
        <v>7.4860335195530731E-2</v>
      </c>
      <c r="P53" s="72">
        <f t="shared" si="14"/>
        <v>0</v>
      </c>
      <c r="Q53" s="72">
        <f t="shared" si="14"/>
        <v>0</v>
      </c>
      <c r="R53" s="72">
        <f t="shared" si="14"/>
        <v>8.1005586592178769E-2</v>
      </c>
      <c r="S53" s="72">
        <f t="shared" si="14"/>
        <v>5.5865921787709499E-3</v>
      </c>
      <c r="T53" s="72">
        <f t="shared" si="14"/>
        <v>0</v>
      </c>
      <c r="U53" s="72">
        <f t="shared" si="14"/>
        <v>6.1452513966480443E-3</v>
      </c>
      <c r="V53" s="72">
        <f t="shared" si="14"/>
        <v>4.1340782122905026E-2</v>
      </c>
      <c r="W53" s="72">
        <f t="shared" si="14"/>
        <v>0.11675977653631285</v>
      </c>
      <c r="X53" s="72">
        <f t="shared" si="14"/>
        <v>1.0055865921787709E-2</v>
      </c>
      <c r="Y53" s="72">
        <f t="shared" si="14"/>
        <v>1.3407821229050279E-2</v>
      </c>
      <c r="Z53" s="72">
        <f t="shared" si="14"/>
        <v>0</v>
      </c>
      <c r="AA53" s="72">
        <f t="shared" si="14"/>
        <v>0</v>
      </c>
      <c r="AB53" s="72">
        <f t="shared" si="14"/>
        <v>0</v>
      </c>
      <c r="AC53" s="72">
        <f t="shared" si="14"/>
        <v>0</v>
      </c>
      <c r="AD53" s="72">
        <f t="shared" si="14"/>
        <v>0</v>
      </c>
      <c r="AE53" s="30"/>
      <c r="AF53" s="30"/>
      <c r="AG53" s="30"/>
    </row>
    <row r="54" spans="1:33" x14ac:dyDescent="0.4">
      <c r="A54" s="5" t="s">
        <v>47</v>
      </c>
      <c r="B54" s="3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30"/>
      <c r="AF54" s="30"/>
      <c r="AG54" s="30"/>
    </row>
    <row r="55" spans="1:33" x14ac:dyDescent="0.4">
      <c r="A55" s="30" t="s">
        <v>40</v>
      </c>
      <c r="B55" s="30"/>
      <c r="C55" s="80">
        <v>197</v>
      </c>
      <c r="D55" s="73"/>
      <c r="E55" s="60"/>
      <c r="F55" s="60"/>
      <c r="G55" s="60"/>
      <c r="H55" s="60"/>
      <c r="I55" s="60"/>
      <c r="J55" s="60"/>
      <c r="K55" s="60"/>
      <c r="L55" s="60"/>
      <c r="M55" s="60"/>
      <c r="N55" s="60">
        <f>SUM(O52:Y52)</f>
        <v>625</v>
      </c>
      <c r="O55" s="60"/>
      <c r="P55" s="60"/>
      <c r="Q55" s="60"/>
      <c r="R55" s="60"/>
      <c r="S55" s="60"/>
      <c r="T55" s="60"/>
      <c r="U55" s="60"/>
      <c r="V55" s="60"/>
      <c r="W55" s="60"/>
      <c r="X55" s="60"/>
      <c r="Y55" s="60"/>
      <c r="Z55" s="60"/>
      <c r="AA55" s="60"/>
      <c r="AB55" s="60"/>
      <c r="AC55" s="60"/>
      <c r="AD55" s="60"/>
      <c r="AE55" s="30"/>
      <c r="AF55" s="30"/>
      <c r="AG55" s="30"/>
    </row>
    <row r="56" spans="1:33" x14ac:dyDescent="0.4">
      <c r="A56" s="30" t="s">
        <v>41</v>
      </c>
      <c r="B56" s="30"/>
      <c r="C56" s="60">
        <v>2.42</v>
      </c>
      <c r="D56" s="74"/>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30"/>
      <c r="AF56" s="30"/>
      <c r="AG56" s="30"/>
    </row>
    <row r="57" spans="1:33" x14ac:dyDescent="0.4">
      <c r="A57" s="30" t="s">
        <v>42</v>
      </c>
      <c r="B57" s="30"/>
      <c r="C57" s="80">
        <v>377</v>
      </c>
      <c r="D57" s="73"/>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30"/>
      <c r="AF57" s="30"/>
      <c r="AG57" s="30"/>
    </row>
    <row r="58" spans="1:33" x14ac:dyDescent="0.4">
      <c r="A58" s="30" t="s">
        <v>43</v>
      </c>
      <c r="B58" s="30"/>
      <c r="C58" s="60">
        <v>3.48</v>
      </c>
      <c r="D58" s="74"/>
      <c r="E58" s="60"/>
      <c r="F58" s="29" t="s">
        <v>62</v>
      </c>
      <c r="G58" s="60"/>
      <c r="H58" s="60"/>
      <c r="I58" s="60"/>
      <c r="J58" s="60"/>
      <c r="K58" s="60"/>
      <c r="L58" s="60"/>
      <c r="M58" s="60"/>
      <c r="N58" s="60"/>
      <c r="O58" s="60"/>
      <c r="P58" s="60"/>
      <c r="Q58" s="60"/>
      <c r="R58" s="60"/>
      <c r="S58" s="60"/>
      <c r="T58" s="60"/>
      <c r="U58" s="60"/>
      <c r="V58" s="60"/>
      <c r="W58" s="60"/>
      <c r="X58" s="60"/>
      <c r="Y58" s="60"/>
      <c r="Z58" s="60"/>
      <c r="AA58" s="60"/>
      <c r="AB58" s="60"/>
      <c r="AC58" s="60"/>
      <c r="AD58" s="60"/>
      <c r="AE58" s="30"/>
      <c r="AF58" s="30"/>
      <c r="AG58" s="30"/>
    </row>
    <row r="59" spans="1:33" x14ac:dyDescent="0.4">
      <c r="A59" s="30" t="s">
        <v>44</v>
      </c>
      <c r="B59" s="30"/>
      <c r="C59" s="80"/>
      <c r="D59" s="73"/>
      <c r="E59" s="60"/>
      <c r="F59" s="74"/>
      <c r="G59" s="60"/>
      <c r="H59" s="60"/>
      <c r="I59" s="60"/>
      <c r="J59" s="76" t="s">
        <v>86</v>
      </c>
      <c r="K59" s="60"/>
      <c r="L59" s="80">
        <v>0</v>
      </c>
      <c r="M59" s="60"/>
      <c r="N59" s="60"/>
      <c r="O59" s="60"/>
      <c r="P59" s="60"/>
      <c r="Q59" s="60"/>
      <c r="R59" s="60"/>
      <c r="S59" s="60"/>
      <c r="T59" s="60"/>
      <c r="U59" s="60"/>
      <c r="V59" s="60"/>
      <c r="W59" s="60"/>
      <c r="X59" s="60"/>
      <c r="Y59" s="60"/>
      <c r="Z59" s="60"/>
      <c r="AA59" s="60"/>
      <c r="AB59" s="60"/>
      <c r="AC59" s="60"/>
      <c r="AD59" s="60"/>
      <c r="AE59" s="30"/>
      <c r="AF59" s="30"/>
      <c r="AG59" s="30"/>
    </row>
    <row r="60" spans="1:33" x14ac:dyDescent="0.4">
      <c r="A60" s="30" t="s">
        <v>45</v>
      </c>
      <c r="B60" s="30"/>
      <c r="C60" s="60"/>
      <c r="D60" s="74"/>
      <c r="E60" s="60"/>
      <c r="F60" s="74"/>
      <c r="G60" s="64" t="s">
        <v>77</v>
      </c>
      <c r="H60" s="60"/>
      <c r="I60" s="60"/>
      <c r="J60" s="76" t="s">
        <v>82</v>
      </c>
      <c r="K60" s="60"/>
      <c r="L60" s="74">
        <v>0</v>
      </c>
      <c r="M60" s="60"/>
      <c r="N60" s="60"/>
      <c r="O60" s="60"/>
      <c r="P60" s="60"/>
      <c r="Q60" s="60"/>
      <c r="R60" s="60"/>
      <c r="S60" s="60"/>
      <c r="T60" s="60"/>
      <c r="U60" s="60"/>
      <c r="V60" s="60"/>
      <c r="W60" s="60"/>
      <c r="X60" s="60"/>
      <c r="Y60" s="60"/>
      <c r="Z60" s="60"/>
      <c r="AA60" s="60"/>
      <c r="AB60" s="60"/>
      <c r="AC60" s="60"/>
      <c r="AD60" s="60"/>
      <c r="AE60" s="30"/>
      <c r="AF60" s="30"/>
      <c r="AG60" s="30"/>
    </row>
    <row r="61" spans="1:33" x14ac:dyDescent="0.4">
      <c r="A61" s="30" t="s">
        <v>46</v>
      </c>
      <c r="B61" s="30"/>
      <c r="C61" s="60"/>
      <c r="D61" s="75"/>
      <c r="E61" s="60"/>
      <c r="F61" s="74"/>
      <c r="G61" s="64" t="s">
        <v>64</v>
      </c>
      <c r="H61" s="60"/>
      <c r="I61" s="60"/>
      <c r="J61" s="60"/>
      <c r="K61" s="60"/>
      <c r="L61" s="60"/>
      <c r="M61" s="60"/>
      <c r="N61" s="60"/>
      <c r="O61" s="60"/>
      <c r="P61" s="60"/>
      <c r="Q61" s="60"/>
      <c r="R61" s="60"/>
      <c r="S61" s="60"/>
      <c r="T61" s="60"/>
      <c r="U61" s="60"/>
      <c r="V61" s="60"/>
      <c r="W61" s="60"/>
      <c r="X61" s="60"/>
      <c r="Y61" s="60"/>
      <c r="Z61" s="60"/>
      <c r="AA61" s="60"/>
      <c r="AB61" s="60"/>
      <c r="AC61" s="60"/>
      <c r="AD61" s="60"/>
      <c r="AE61" s="30"/>
      <c r="AF61" s="30"/>
      <c r="AG61" s="30"/>
    </row>
    <row r="62" spans="1:33" x14ac:dyDescent="0.4">
      <c r="A62" s="5" t="s">
        <v>49</v>
      </c>
      <c r="B62" s="30"/>
      <c r="C62" s="60"/>
      <c r="D62" s="7"/>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30"/>
      <c r="AF62" s="30"/>
      <c r="AG62" s="30"/>
    </row>
    <row r="63" spans="1:33" x14ac:dyDescent="0.4">
      <c r="A63" s="30"/>
      <c r="B63" s="3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30"/>
      <c r="AF63" s="30"/>
      <c r="AG63" s="30"/>
    </row>
    <row r="64" spans="1:33" x14ac:dyDescent="0.4">
      <c r="A64" s="30"/>
      <c r="B64" s="3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30"/>
      <c r="AF64" s="30"/>
      <c r="AG64" s="30"/>
    </row>
    <row r="65" spans="1:33" x14ac:dyDescent="0.4">
      <c r="A65" s="30"/>
      <c r="B65" s="3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30"/>
      <c r="AF65" s="30"/>
      <c r="AG65" s="30"/>
    </row>
    <row r="66" spans="1:33" x14ac:dyDescent="0.4">
      <c r="A66" s="30"/>
      <c r="B66" s="3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30"/>
      <c r="AF66" s="30"/>
      <c r="AG66" s="30"/>
    </row>
    <row r="67" spans="1:33" x14ac:dyDescent="0.4">
      <c r="A67" s="5" t="s">
        <v>56</v>
      </c>
      <c r="B67" s="30"/>
      <c r="C67" s="60"/>
      <c r="D67" s="7"/>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30"/>
      <c r="AF67" s="30"/>
      <c r="AG67" s="30"/>
    </row>
    <row r="68" spans="1:33" x14ac:dyDescent="0.4">
      <c r="A68" s="30"/>
      <c r="B68" s="3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30"/>
      <c r="AF68" s="30"/>
      <c r="AG68" s="30"/>
    </row>
    <row r="69" spans="1:33" x14ac:dyDescent="0.4">
      <c r="A69" s="30"/>
      <c r="B69" s="3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30"/>
      <c r="AF69" s="30"/>
      <c r="AG69" s="30"/>
    </row>
    <row r="70" spans="1:33" x14ac:dyDescent="0.4">
      <c r="A70" s="30"/>
      <c r="B70" s="3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30"/>
      <c r="AF70" s="30"/>
      <c r="AG70" s="30"/>
    </row>
    <row r="71" spans="1:33" x14ac:dyDescent="0.4">
      <c r="A71" s="30"/>
      <c r="B71" s="3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30"/>
      <c r="AF71" s="30"/>
      <c r="AG71" s="30"/>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G71"/>
  <sheetViews>
    <sheetView zoomScale="70" zoomScaleNormal="70" workbookViewId="0">
      <selection activeCell="C5" sqref="C5"/>
    </sheetView>
  </sheetViews>
  <sheetFormatPr defaultRowHeight="12.7" x14ac:dyDescent="0.4"/>
  <cols>
    <col min="1" max="1" width="18.87890625" customWidth="1"/>
    <col min="2" max="2" width="6.29296875" customWidth="1"/>
    <col min="3" max="3" width="7" customWidth="1"/>
    <col min="4" max="4" width="6.41015625" customWidth="1"/>
    <col min="5" max="5" width="6.87890625" customWidth="1"/>
    <col min="6" max="6" width="7.29296875" customWidth="1"/>
    <col min="7" max="7" width="7.1171875" customWidth="1"/>
    <col min="8" max="8" width="7.29296875" customWidth="1"/>
    <col min="9" max="9" width="6.703125" customWidth="1"/>
    <col min="10" max="10" width="6.41015625" customWidth="1"/>
    <col min="11" max="12" width="6.29296875" customWidth="1"/>
    <col min="13" max="13" width="6.1171875" customWidth="1"/>
    <col min="14" max="17" width="6.703125" customWidth="1"/>
    <col min="18" max="18" width="6.52734375" customWidth="1"/>
    <col min="19" max="19" width="6.29296875" customWidth="1"/>
    <col min="20" max="21" width="6.41015625" customWidth="1"/>
    <col min="22" max="22" width="6.703125" customWidth="1"/>
    <col min="23" max="23" width="7.41015625" customWidth="1"/>
    <col min="24" max="24" width="6.29296875" customWidth="1"/>
    <col min="25" max="25" width="6.41015625" customWidth="1"/>
    <col min="26" max="26" width="6.29296875" customWidth="1"/>
    <col min="27" max="27" width="6" customWidth="1"/>
    <col min="28" max="28" width="6.41015625" customWidth="1"/>
    <col min="29" max="29" width="6.52734375" customWidth="1"/>
    <col min="30" max="30" width="6.41015625" customWidth="1"/>
    <col min="31" max="31" width="6.1171875" customWidth="1"/>
    <col min="32" max="32" width="7.52734375" customWidth="1"/>
    <col min="33" max="33" width="7.87890625" customWidth="1"/>
  </cols>
  <sheetData>
    <row r="1" spans="1:33" ht="13" thickBot="1" x14ac:dyDescent="0.45">
      <c r="A1" s="5" t="s">
        <v>106</v>
      </c>
      <c r="B1" s="30"/>
      <c r="C1" s="82" t="s">
        <v>123</v>
      </c>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30"/>
      <c r="AF1" s="30"/>
      <c r="AG1" s="30"/>
    </row>
    <row r="2" spans="1:33"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30"/>
      <c r="AG2" s="30"/>
    </row>
    <row r="3" spans="1:33" x14ac:dyDescent="0.4">
      <c r="A3" s="30" t="s">
        <v>34</v>
      </c>
      <c r="B3" s="3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78">
        <f>SUM(C3:AD3)</f>
        <v>0</v>
      </c>
      <c r="AF3" s="30"/>
      <c r="AG3" s="30"/>
    </row>
    <row r="4" spans="1:33" x14ac:dyDescent="0.4">
      <c r="A4" s="30" t="s">
        <v>35</v>
      </c>
      <c r="B4" s="30"/>
      <c r="C4" s="60"/>
      <c r="D4" s="60"/>
      <c r="E4" s="60"/>
      <c r="F4" s="60"/>
      <c r="G4" s="60">
        <v>2</v>
      </c>
      <c r="H4" s="60">
        <v>4</v>
      </c>
      <c r="I4" s="60"/>
      <c r="J4" s="60"/>
      <c r="K4" s="60"/>
      <c r="L4" s="60">
        <v>1</v>
      </c>
      <c r="M4" s="60">
        <v>2</v>
      </c>
      <c r="N4" s="60"/>
      <c r="O4" s="60"/>
      <c r="P4" s="60"/>
      <c r="Q4" s="60"/>
      <c r="R4" s="60"/>
      <c r="S4" s="60"/>
      <c r="T4" s="60"/>
      <c r="U4" s="60"/>
      <c r="V4" s="60"/>
      <c r="W4" s="60">
        <v>4</v>
      </c>
      <c r="X4" s="60"/>
      <c r="Y4" s="60"/>
      <c r="Z4" s="60"/>
      <c r="AA4" s="60"/>
      <c r="AB4" s="60"/>
      <c r="AC4" s="60"/>
      <c r="AD4" s="60"/>
      <c r="AE4" s="78">
        <f t="shared" ref="AE4:AE16" si="0">SUM(C4:AD4)</f>
        <v>13</v>
      </c>
      <c r="AF4" s="30"/>
      <c r="AG4" s="30"/>
    </row>
    <row r="5" spans="1:33" x14ac:dyDescent="0.4">
      <c r="A5" s="30" t="s">
        <v>16</v>
      </c>
      <c r="B5" s="30"/>
      <c r="C5" s="60">
        <v>1</v>
      </c>
      <c r="D5" s="60"/>
      <c r="E5" s="60"/>
      <c r="F5" s="60">
        <v>3</v>
      </c>
      <c r="G5" s="60">
        <v>2</v>
      </c>
      <c r="H5" s="60">
        <v>5</v>
      </c>
      <c r="I5" s="60">
        <v>1</v>
      </c>
      <c r="J5" s="60"/>
      <c r="K5" s="60">
        <v>1</v>
      </c>
      <c r="L5" s="60"/>
      <c r="M5" s="60">
        <v>1</v>
      </c>
      <c r="N5" s="60"/>
      <c r="O5" s="60"/>
      <c r="P5" s="60"/>
      <c r="Q5" s="60"/>
      <c r="R5" s="60"/>
      <c r="S5" s="60"/>
      <c r="T5" s="60"/>
      <c r="U5" s="60"/>
      <c r="V5" s="60"/>
      <c r="W5" s="60"/>
      <c r="X5" s="60"/>
      <c r="Y5" s="60"/>
      <c r="Z5" s="60"/>
      <c r="AA5" s="60"/>
      <c r="AB5" s="60"/>
      <c r="AC5" s="60"/>
      <c r="AD5" s="60"/>
      <c r="AE5" s="78">
        <f t="shared" si="0"/>
        <v>14</v>
      </c>
      <c r="AF5" s="30"/>
      <c r="AG5" s="30"/>
    </row>
    <row r="6" spans="1:33" x14ac:dyDescent="0.4">
      <c r="A6" s="30" t="s">
        <v>29</v>
      </c>
      <c r="B6" s="30"/>
      <c r="C6" s="60"/>
      <c r="D6" s="60"/>
      <c r="E6" s="60"/>
      <c r="F6" s="60"/>
      <c r="G6" s="60">
        <v>1</v>
      </c>
      <c r="H6" s="60">
        <v>1</v>
      </c>
      <c r="I6" s="60"/>
      <c r="J6" s="60"/>
      <c r="K6" s="60"/>
      <c r="L6" s="60"/>
      <c r="M6" s="60"/>
      <c r="N6" s="60"/>
      <c r="O6" s="60"/>
      <c r="P6" s="60"/>
      <c r="Q6" s="60"/>
      <c r="R6" s="60"/>
      <c r="S6" s="60"/>
      <c r="T6" s="60"/>
      <c r="U6" s="60"/>
      <c r="V6" s="60"/>
      <c r="W6" s="60"/>
      <c r="X6" s="60"/>
      <c r="Y6" s="60"/>
      <c r="Z6" s="60"/>
      <c r="AA6" s="60"/>
      <c r="AB6" s="60"/>
      <c r="AC6" s="60"/>
      <c r="AD6" s="60"/>
      <c r="AE6" s="78">
        <f t="shared" si="0"/>
        <v>2</v>
      </c>
      <c r="AF6" s="30"/>
      <c r="AG6" s="30"/>
    </row>
    <row r="7" spans="1:33" x14ac:dyDescent="0.4">
      <c r="A7" s="30" t="s">
        <v>18</v>
      </c>
      <c r="B7" s="30"/>
      <c r="C7" s="60"/>
      <c r="D7" s="60"/>
      <c r="E7" s="60"/>
      <c r="F7" s="60">
        <v>2</v>
      </c>
      <c r="G7" s="60"/>
      <c r="H7" s="60">
        <v>6</v>
      </c>
      <c r="I7" s="60"/>
      <c r="J7" s="60"/>
      <c r="K7" s="60"/>
      <c r="L7" s="60"/>
      <c r="M7" s="60"/>
      <c r="N7" s="60">
        <v>1</v>
      </c>
      <c r="O7" s="60">
        <v>2</v>
      </c>
      <c r="P7" s="60"/>
      <c r="Q7" s="60"/>
      <c r="R7" s="60"/>
      <c r="S7" s="60"/>
      <c r="T7" s="60"/>
      <c r="U7" s="60"/>
      <c r="V7" s="60"/>
      <c r="W7" s="60">
        <v>3</v>
      </c>
      <c r="X7" s="60"/>
      <c r="Y7" s="60"/>
      <c r="Z7" s="60"/>
      <c r="AA7" s="60"/>
      <c r="AB7" s="60"/>
      <c r="AC7" s="60"/>
      <c r="AD7" s="60"/>
      <c r="AE7" s="78">
        <f t="shared" si="0"/>
        <v>14</v>
      </c>
      <c r="AF7" s="30"/>
      <c r="AG7" s="30"/>
    </row>
    <row r="8" spans="1:33" x14ac:dyDescent="0.4">
      <c r="A8" s="30" t="s">
        <v>19</v>
      </c>
      <c r="B8" s="30"/>
      <c r="C8" s="60"/>
      <c r="D8" s="60"/>
      <c r="E8" s="60">
        <v>2</v>
      </c>
      <c r="F8" s="60">
        <v>3</v>
      </c>
      <c r="G8" s="60">
        <v>3</v>
      </c>
      <c r="H8" s="60">
        <v>12</v>
      </c>
      <c r="I8" s="60">
        <v>3</v>
      </c>
      <c r="J8" s="60"/>
      <c r="K8" s="60"/>
      <c r="L8" s="60"/>
      <c r="M8" s="60"/>
      <c r="N8" s="60"/>
      <c r="O8" s="60"/>
      <c r="P8" s="60"/>
      <c r="Q8" s="60"/>
      <c r="R8" s="60">
        <v>2</v>
      </c>
      <c r="S8" s="60"/>
      <c r="T8" s="60"/>
      <c r="U8" s="60"/>
      <c r="V8" s="60"/>
      <c r="W8" s="60">
        <v>5</v>
      </c>
      <c r="X8" s="60"/>
      <c r="Y8" s="60"/>
      <c r="Z8" s="60"/>
      <c r="AA8" s="60"/>
      <c r="AB8" s="60"/>
      <c r="AC8" s="60"/>
      <c r="AD8" s="60"/>
      <c r="AE8" s="78">
        <f t="shared" si="0"/>
        <v>30</v>
      </c>
      <c r="AF8" s="30"/>
      <c r="AG8" s="30"/>
    </row>
    <row r="9" spans="1:33" x14ac:dyDescent="0.4">
      <c r="A9" s="30" t="s">
        <v>20</v>
      </c>
      <c r="B9" s="3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78">
        <f t="shared" si="0"/>
        <v>0</v>
      </c>
      <c r="AF9" s="30"/>
      <c r="AG9" s="30"/>
    </row>
    <row r="10" spans="1:33" x14ac:dyDescent="0.4">
      <c r="A10" s="30" t="s">
        <v>21</v>
      </c>
      <c r="B10" s="30"/>
      <c r="C10" s="60"/>
      <c r="D10" s="60"/>
      <c r="E10" s="60"/>
      <c r="F10" s="60"/>
      <c r="G10" s="60"/>
      <c r="H10" s="60"/>
      <c r="I10" s="60">
        <v>1</v>
      </c>
      <c r="J10" s="60"/>
      <c r="K10" s="60"/>
      <c r="L10" s="60"/>
      <c r="M10" s="60"/>
      <c r="N10" s="60"/>
      <c r="O10" s="60"/>
      <c r="P10" s="60"/>
      <c r="Q10" s="60"/>
      <c r="R10" s="60"/>
      <c r="S10" s="60"/>
      <c r="T10" s="60"/>
      <c r="U10" s="60"/>
      <c r="V10" s="60"/>
      <c r="W10" s="60"/>
      <c r="X10" s="60"/>
      <c r="Y10" s="60"/>
      <c r="Z10" s="60"/>
      <c r="AA10" s="60"/>
      <c r="AB10" s="60"/>
      <c r="AC10" s="60"/>
      <c r="AD10" s="60"/>
      <c r="AE10" s="78">
        <f t="shared" si="0"/>
        <v>1</v>
      </c>
      <c r="AF10" s="30"/>
      <c r="AG10" s="30"/>
    </row>
    <row r="11" spans="1:33" x14ac:dyDescent="0.4">
      <c r="A11" s="30" t="s">
        <v>98</v>
      </c>
      <c r="B11" s="30"/>
      <c r="C11" s="60"/>
      <c r="D11" s="60"/>
      <c r="E11" s="60"/>
      <c r="F11" s="60">
        <v>1</v>
      </c>
      <c r="G11" s="60">
        <v>5</v>
      </c>
      <c r="H11" s="60">
        <v>6</v>
      </c>
      <c r="I11" s="60"/>
      <c r="J11" s="60"/>
      <c r="K11" s="60">
        <v>1</v>
      </c>
      <c r="L11" s="60"/>
      <c r="M11" s="60"/>
      <c r="N11" s="60"/>
      <c r="O11" s="60"/>
      <c r="P11" s="60"/>
      <c r="Q11" s="60"/>
      <c r="R11" s="60">
        <v>1</v>
      </c>
      <c r="S11" s="60"/>
      <c r="T11" s="60"/>
      <c r="U11" s="60"/>
      <c r="V11" s="60"/>
      <c r="W11" s="60"/>
      <c r="X11" s="60"/>
      <c r="Y11" s="60"/>
      <c r="Z11" s="60"/>
      <c r="AA11" s="60"/>
      <c r="AB11" s="60"/>
      <c r="AC11" s="60"/>
      <c r="AD11" s="60"/>
      <c r="AE11" s="78">
        <f t="shared" si="0"/>
        <v>14</v>
      </c>
      <c r="AF11" s="30"/>
      <c r="AG11" s="30"/>
    </row>
    <row r="12" spans="1:33" x14ac:dyDescent="0.4">
      <c r="A12" s="30" t="s">
        <v>22</v>
      </c>
      <c r="B12" s="30"/>
      <c r="C12" s="60">
        <v>8</v>
      </c>
      <c r="D12" s="60"/>
      <c r="E12" s="60">
        <v>10</v>
      </c>
      <c r="F12" s="60">
        <v>15</v>
      </c>
      <c r="G12" s="60">
        <v>32</v>
      </c>
      <c r="H12" s="60">
        <v>61</v>
      </c>
      <c r="I12" s="60">
        <v>30</v>
      </c>
      <c r="J12" s="60"/>
      <c r="K12" s="60">
        <v>9</v>
      </c>
      <c r="L12" s="60">
        <v>9</v>
      </c>
      <c r="M12" s="60">
        <v>11</v>
      </c>
      <c r="N12" s="60">
        <v>6</v>
      </c>
      <c r="O12" s="60">
        <v>5</v>
      </c>
      <c r="P12" s="60"/>
      <c r="Q12" s="60"/>
      <c r="R12" s="60">
        <v>6</v>
      </c>
      <c r="S12" s="60"/>
      <c r="T12" s="60"/>
      <c r="U12" s="60"/>
      <c r="V12" s="60"/>
      <c r="W12" s="60">
        <v>12</v>
      </c>
      <c r="X12" s="60"/>
      <c r="Y12" s="60"/>
      <c r="Z12" s="60"/>
      <c r="AA12" s="60"/>
      <c r="AB12" s="60"/>
      <c r="AC12" s="60"/>
      <c r="AD12" s="60"/>
      <c r="AE12" s="78">
        <f t="shared" si="0"/>
        <v>214</v>
      </c>
      <c r="AF12" s="30"/>
      <c r="AG12" s="30"/>
    </row>
    <row r="13" spans="1:33" x14ac:dyDescent="0.4">
      <c r="A13" s="30" t="s">
        <v>23</v>
      </c>
      <c r="B13" s="30"/>
      <c r="C13" s="60">
        <v>4</v>
      </c>
      <c r="D13" s="60"/>
      <c r="E13" s="60">
        <v>10</v>
      </c>
      <c r="F13" s="60">
        <v>21</v>
      </c>
      <c r="G13" s="60">
        <v>28</v>
      </c>
      <c r="H13" s="60">
        <v>37</v>
      </c>
      <c r="I13" s="60">
        <v>18</v>
      </c>
      <c r="J13" s="60"/>
      <c r="K13" s="60"/>
      <c r="L13" s="60">
        <v>4</v>
      </c>
      <c r="M13" s="60">
        <v>7</v>
      </c>
      <c r="N13" s="60">
        <v>3</v>
      </c>
      <c r="O13" s="60">
        <v>1</v>
      </c>
      <c r="P13" s="60"/>
      <c r="Q13" s="60"/>
      <c r="R13" s="60">
        <v>2</v>
      </c>
      <c r="S13" s="60"/>
      <c r="T13" s="60"/>
      <c r="U13" s="60"/>
      <c r="V13" s="60"/>
      <c r="W13" s="60">
        <v>3</v>
      </c>
      <c r="X13" s="60"/>
      <c r="Y13" s="60"/>
      <c r="Z13" s="60"/>
      <c r="AA13" s="60"/>
      <c r="AB13" s="60"/>
      <c r="AC13" s="60"/>
      <c r="AD13" s="60"/>
      <c r="AE13" s="78">
        <f t="shared" si="0"/>
        <v>138</v>
      </c>
      <c r="AF13" s="30"/>
      <c r="AG13" s="30"/>
    </row>
    <row r="14" spans="1:33" x14ac:dyDescent="0.4">
      <c r="A14" s="30" t="s">
        <v>24</v>
      </c>
      <c r="B14" s="30"/>
      <c r="C14" s="60">
        <v>1</v>
      </c>
      <c r="D14" s="60"/>
      <c r="E14" s="60">
        <v>1</v>
      </c>
      <c r="F14" s="60">
        <v>1</v>
      </c>
      <c r="G14" s="60"/>
      <c r="H14" s="60">
        <v>6</v>
      </c>
      <c r="I14" s="60">
        <v>2</v>
      </c>
      <c r="J14" s="60"/>
      <c r="K14" s="60">
        <v>1</v>
      </c>
      <c r="L14" s="60"/>
      <c r="M14" s="60"/>
      <c r="N14" s="60">
        <v>1</v>
      </c>
      <c r="O14" s="60"/>
      <c r="P14" s="60"/>
      <c r="Q14" s="60"/>
      <c r="R14" s="60"/>
      <c r="S14" s="60"/>
      <c r="T14" s="60"/>
      <c r="U14" s="60"/>
      <c r="V14" s="60"/>
      <c r="W14" s="60">
        <v>4</v>
      </c>
      <c r="X14" s="60"/>
      <c r="Y14" s="60"/>
      <c r="Z14" s="60"/>
      <c r="AA14" s="60"/>
      <c r="AB14" s="60"/>
      <c r="AC14" s="60"/>
      <c r="AD14" s="60"/>
      <c r="AE14" s="78">
        <f t="shared" si="0"/>
        <v>17</v>
      </c>
      <c r="AF14" s="30"/>
      <c r="AG14" s="30"/>
    </row>
    <row r="15" spans="1:33" x14ac:dyDescent="0.4">
      <c r="A15" s="30" t="s">
        <v>111</v>
      </c>
      <c r="B15" s="30"/>
      <c r="C15" s="60"/>
      <c r="D15" s="60"/>
      <c r="E15" s="60"/>
      <c r="F15" s="60"/>
      <c r="G15" s="60">
        <v>1</v>
      </c>
      <c r="H15" s="60">
        <v>2</v>
      </c>
      <c r="I15" s="60">
        <v>1</v>
      </c>
      <c r="J15" s="60"/>
      <c r="K15" s="60"/>
      <c r="L15" s="60"/>
      <c r="M15" s="60"/>
      <c r="N15" s="60"/>
      <c r="O15" s="60"/>
      <c r="P15" s="60"/>
      <c r="Q15" s="60"/>
      <c r="R15" s="60"/>
      <c r="S15" s="60"/>
      <c r="T15" s="60"/>
      <c r="U15" s="60"/>
      <c r="V15" s="60"/>
      <c r="W15" s="60">
        <v>2</v>
      </c>
      <c r="X15" s="60"/>
      <c r="Y15" s="60"/>
      <c r="Z15" s="60"/>
      <c r="AA15" s="60"/>
      <c r="AB15" s="60"/>
      <c r="AC15" s="60"/>
      <c r="AD15" s="60"/>
      <c r="AE15" s="78">
        <f t="shared" si="0"/>
        <v>6</v>
      </c>
      <c r="AF15" s="30"/>
      <c r="AG15" s="30"/>
    </row>
    <row r="16" spans="1:33" ht="13" thickBot="1" x14ac:dyDescent="0.45">
      <c r="A16" s="30" t="s">
        <v>36</v>
      </c>
      <c r="B16" s="30"/>
      <c r="C16" s="62"/>
      <c r="D16" s="62"/>
      <c r="E16" s="62"/>
      <c r="F16" s="62"/>
      <c r="G16" s="62">
        <v>1</v>
      </c>
      <c r="H16" s="62"/>
      <c r="I16" s="62"/>
      <c r="J16" s="62"/>
      <c r="K16" s="62"/>
      <c r="L16" s="62"/>
      <c r="M16" s="62"/>
      <c r="N16" s="62"/>
      <c r="O16" s="62"/>
      <c r="P16" s="62"/>
      <c r="Q16" s="62"/>
      <c r="R16" s="62"/>
      <c r="S16" s="62"/>
      <c r="T16" s="62"/>
      <c r="U16" s="62"/>
      <c r="V16" s="62"/>
      <c r="W16" s="62"/>
      <c r="X16" s="62"/>
      <c r="Y16" s="62"/>
      <c r="Z16" s="62"/>
      <c r="AA16" s="62"/>
      <c r="AB16" s="62"/>
      <c r="AC16" s="62"/>
      <c r="AD16" s="62"/>
      <c r="AE16" s="68">
        <f t="shared" si="0"/>
        <v>1</v>
      </c>
      <c r="AF16" s="30"/>
      <c r="AG16" s="30"/>
    </row>
    <row r="17" spans="1:33" x14ac:dyDescent="0.4">
      <c r="A17" s="30" t="s">
        <v>25</v>
      </c>
      <c r="B17" s="30"/>
      <c r="C17" s="60">
        <f>SUM(C3:C16)</f>
        <v>14</v>
      </c>
      <c r="D17" s="60">
        <f t="shared" ref="D17:AE17" si="1">SUM(D3:D16)</f>
        <v>0</v>
      </c>
      <c r="E17" s="60">
        <f t="shared" si="1"/>
        <v>23</v>
      </c>
      <c r="F17" s="60">
        <f t="shared" si="1"/>
        <v>46</v>
      </c>
      <c r="G17" s="60">
        <f t="shared" si="1"/>
        <v>75</v>
      </c>
      <c r="H17" s="60">
        <f t="shared" si="1"/>
        <v>140</v>
      </c>
      <c r="I17" s="60">
        <f t="shared" si="1"/>
        <v>56</v>
      </c>
      <c r="J17" s="60">
        <f t="shared" si="1"/>
        <v>0</v>
      </c>
      <c r="K17" s="60">
        <f t="shared" si="1"/>
        <v>12</v>
      </c>
      <c r="L17" s="60">
        <f t="shared" si="1"/>
        <v>14</v>
      </c>
      <c r="M17" s="60">
        <f t="shared" si="1"/>
        <v>21</v>
      </c>
      <c r="N17" s="60">
        <f t="shared" si="1"/>
        <v>11</v>
      </c>
      <c r="O17" s="60">
        <f t="shared" si="1"/>
        <v>8</v>
      </c>
      <c r="P17" s="60">
        <f t="shared" si="1"/>
        <v>0</v>
      </c>
      <c r="Q17" s="60">
        <f t="shared" si="1"/>
        <v>0</v>
      </c>
      <c r="R17" s="60">
        <f t="shared" si="1"/>
        <v>11</v>
      </c>
      <c r="S17" s="60">
        <f t="shared" si="1"/>
        <v>0</v>
      </c>
      <c r="T17" s="60">
        <f t="shared" si="1"/>
        <v>0</v>
      </c>
      <c r="U17" s="60">
        <f t="shared" si="1"/>
        <v>0</v>
      </c>
      <c r="V17" s="60">
        <f t="shared" si="1"/>
        <v>0</v>
      </c>
      <c r="W17" s="60">
        <f t="shared" si="1"/>
        <v>33</v>
      </c>
      <c r="X17" s="60">
        <f t="shared" si="1"/>
        <v>0</v>
      </c>
      <c r="Y17" s="60">
        <f t="shared" si="1"/>
        <v>0</v>
      </c>
      <c r="Z17" s="60">
        <f t="shared" si="1"/>
        <v>0</v>
      </c>
      <c r="AA17" s="60">
        <f t="shared" si="1"/>
        <v>0</v>
      </c>
      <c r="AB17" s="60">
        <f t="shared" si="1"/>
        <v>0</v>
      </c>
      <c r="AC17" s="60">
        <f t="shared" si="1"/>
        <v>0</v>
      </c>
      <c r="AD17" s="60">
        <f t="shared" si="1"/>
        <v>0</v>
      </c>
      <c r="AE17" s="30">
        <f t="shared" si="1"/>
        <v>464</v>
      </c>
      <c r="AF17" s="30"/>
      <c r="AG17" s="30"/>
    </row>
    <row r="18" spans="1:33" ht="13" thickBot="1" x14ac:dyDescent="0.45">
      <c r="A18" s="29" t="s">
        <v>107</v>
      </c>
      <c r="B18" s="30"/>
      <c r="C18" s="83" t="s">
        <v>124</v>
      </c>
      <c r="D18" s="64"/>
      <c r="E18" s="7"/>
      <c r="F18" s="29"/>
      <c r="G18" s="29" t="s">
        <v>126</v>
      </c>
      <c r="H18" s="60"/>
      <c r="I18" s="60"/>
      <c r="J18" s="82" t="s">
        <v>125</v>
      </c>
      <c r="K18" s="60"/>
      <c r="L18" s="60"/>
      <c r="M18" s="60"/>
      <c r="N18" s="60"/>
      <c r="O18" s="60"/>
      <c r="P18" s="60"/>
      <c r="Q18" s="60"/>
      <c r="R18" s="60"/>
      <c r="S18" s="60"/>
      <c r="T18" s="60"/>
      <c r="U18" s="60"/>
      <c r="V18" s="60"/>
      <c r="W18" s="60"/>
      <c r="X18" s="60"/>
      <c r="Y18" s="60"/>
      <c r="Z18" s="60"/>
      <c r="AA18" s="60"/>
      <c r="AB18" s="60"/>
      <c r="AC18" s="60"/>
      <c r="AD18" s="60"/>
      <c r="AE18" s="30"/>
      <c r="AF18" s="30"/>
      <c r="AG18" s="30"/>
    </row>
    <row r="19" spans="1:33" ht="13" thickBot="1" x14ac:dyDescent="0.45">
      <c r="A19" s="10" t="str">
        <f>A2</f>
        <v>BLIND #</v>
      </c>
      <c r="B19" s="14"/>
      <c r="C19" s="65">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30"/>
      <c r="AG19" s="30"/>
    </row>
    <row r="20" spans="1:33" x14ac:dyDescent="0.4">
      <c r="A20" s="30" t="str">
        <f>A3</f>
        <v>RUDDY</v>
      </c>
      <c r="B20" s="30"/>
      <c r="C20" s="60"/>
      <c r="D20" s="60"/>
      <c r="E20" s="60"/>
      <c r="F20" s="60"/>
      <c r="G20" s="60">
        <v>1</v>
      </c>
      <c r="H20" s="60"/>
      <c r="I20" s="60"/>
      <c r="J20" s="60"/>
      <c r="K20" s="60"/>
      <c r="L20" s="60"/>
      <c r="M20" s="60"/>
      <c r="N20" s="60"/>
      <c r="O20" s="60"/>
      <c r="P20" s="60"/>
      <c r="Q20" s="60"/>
      <c r="R20" s="60"/>
      <c r="S20" s="60"/>
      <c r="T20" s="60"/>
      <c r="U20" s="60"/>
      <c r="V20" s="60"/>
      <c r="W20" s="60"/>
      <c r="X20" s="60">
        <v>2</v>
      </c>
      <c r="Y20" s="60"/>
      <c r="Z20" s="60"/>
      <c r="AA20" s="60"/>
      <c r="AB20" s="60"/>
      <c r="AC20" s="60"/>
      <c r="AD20" s="60"/>
      <c r="AE20" s="78">
        <f>SUM(C20:AD20)</f>
        <v>3</v>
      </c>
      <c r="AF20" s="30"/>
      <c r="AG20" s="30"/>
    </row>
    <row r="21" spans="1:33" x14ac:dyDescent="0.4">
      <c r="A21" s="30" t="str">
        <f t="shared" ref="A21:A33" si="3">A4</f>
        <v>CANVASBACK</v>
      </c>
      <c r="B21" s="30"/>
      <c r="C21" s="60"/>
      <c r="D21" s="60"/>
      <c r="E21" s="60"/>
      <c r="F21" s="60"/>
      <c r="G21" s="60"/>
      <c r="H21" s="60">
        <v>3</v>
      </c>
      <c r="I21" s="60"/>
      <c r="J21" s="60"/>
      <c r="K21" s="60"/>
      <c r="L21" s="60"/>
      <c r="M21" s="60"/>
      <c r="N21" s="60">
        <v>2</v>
      </c>
      <c r="O21" s="60"/>
      <c r="P21" s="60"/>
      <c r="Q21" s="60"/>
      <c r="R21" s="60"/>
      <c r="S21" s="60"/>
      <c r="T21" s="60"/>
      <c r="U21" s="60"/>
      <c r="V21" s="60"/>
      <c r="W21" s="60">
        <v>2</v>
      </c>
      <c r="X21" s="60"/>
      <c r="Y21" s="60"/>
      <c r="Z21" s="60"/>
      <c r="AA21" s="60"/>
      <c r="AB21" s="60"/>
      <c r="AC21" s="60"/>
      <c r="AD21" s="60"/>
      <c r="AE21" s="78">
        <f t="shared" ref="AE21:AE33" si="4">SUM(C21:AD21)</f>
        <v>7</v>
      </c>
      <c r="AF21" s="30"/>
      <c r="AG21" s="30"/>
    </row>
    <row r="22" spans="1:33" x14ac:dyDescent="0.4">
      <c r="A22" s="30" t="str">
        <f t="shared" si="3"/>
        <v>GADWALL</v>
      </c>
      <c r="B22" s="30"/>
      <c r="C22" s="60">
        <v>2</v>
      </c>
      <c r="D22" s="60"/>
      <c r="E22" s="60"/>
      <c r="F22" s="60"/>
      <c r="G22" s="60"/>
      <c r="H22" s="60">
        <v>4</v>
      </c>
      <c r="I22" s="60"/>
      <c r="J22" s="60"/>
      <c r="K22" s="60"/>
      <c r="L22" s="60"/>
      <c r="M22" s="60">
        <v>1</v>
      </c>
      <c r="N22" s="60">
        <v>1</v>
      </c>
      <c r="O22" s="60">
        <v>1</v>
      </c>
      <c r="P22" s="60"/>
      <c r="Q22" s="60"/>
      <c r="R22" s="60">
        <v>3</v>
      </c>
      <c r="S22" s="60"/>
      <c r="T22" s="60"/>
      <c r="U22" s="60"/>
      <c r="V22" s="60"/>
      <c r="W22" s="60">
        <v>6</v>
      </c>
      <c r="X22" s="60"/>
      <c r="Y22" s="60"/>
      <c r="Z22" s="60"/>
      <c r="AA22" s="60"/>
      <c r="AB22" s="60"/>
      <c r="AC22" s="60"/>
      <c r="AD22" s="60"/>
      <c r="AE22" s="78">
        <f t="shared" si="4"/>
        <v>18</v>
      </c>
      <c r="AF22" s="30"/>
      <c r="AG22" s="30"/>
    </row>
    <row r="23" spans="1:33" x14ac:dyDescent="0.4">
      <c r="A23" s="30" t="str">
        <f t="shared" si="3"/>
        <v>GEESE</v>
      </c>
      <c r="B23" s="30"/>
      <c r="C23" s="60"/>
      <c r="D23" s="60"/>
      <c r="E23" s="60"/>
      <c r="F23" s="60"/>
      <c r="G23" s="60">
        <v>1</v>
      </c>
      <c r="H23" s="60">
        <v>3</v>
      </c>
      <c r="I23" s="60"/>
      <c r="J23" s="60"/>
      <c r="K23" s="60"/>
      <c r="L23" s="60"/>
      <c r="M23" s="60"/>
      <c r="N23" s="60"/>
      <c r="O23" s="60"/>
      <c r="P23" s="60"/>
      <c r="Q23" s="60"/>
      <c r="R23" s="60"/>
      <c r="S23" s="60"/>
      <c r="T23" s="60"/>
      <c r="U23" s="60"/>
      <c r="V23" s="60"/>
      <c r="W23" s="60"/>
      <c r="X23" s="60"/>
      <c r="Y23" s="60"/>
      <c r="Z23" s="60"/>
      <c r="AA23" s="60"/>
      <c r="AB23" s="60"/>
      <c r="AC23" s="60"/>
      <c r="AD23" s="60"/>
      <c r="AE23" s="78">
        <f t="shared" si="4"/>
        <v>4</v>
      </c>
      <c r="AF23" s="30"/>
      <c r="AG23" s="30"/>
    </row>
    <row r="24" spans="1:33" x14ac:dyDescent="0.4">
      <c r="A24" s="30" t="str">
        <f t="shared" si="3"/>
        <v>MALLARD</v>
      </c>
      <c r="B24" s="3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78">
        <f t="shared" si="4"/>
        <v>0</v>
      </c>
      <c r="AF24" s="30"/>
      <c r="AG24" s="30"/>
    </row>
    <row r="25" spans="1:33" x14ac:dyDescent="0.4">
      <c r="A25" s="30" t="str">
        <f t="shared" si="3"/>
        <v>PINTAIL</v>
      </c>
      <c r="B25" s="30"/>
      <c r="C25" s="60">
        <v>1</v>
      </c>
      <c r="D25" s="60"/>
      <c r="E25" s="60">
        <v>1</v>
      </c>
      <c r="F25" s="60">
        <v>6</v>
      </c>
      <c r="G25" s="60">
        <v>3</v>
      </c>
      <c r="H25" s="60">
        <v>18</v>
      </c>
      <c r="I25" s="60">
        <v>3</v>
      </c>
      <c r="J25" s="60"/>
      <c r="K25" s="60">
        <v>1</v>
      </c>
      <c r="L25" s="60"/>
      <c r="M25" s="60">
        <v>1</v>
      </c>
      <c r="N25" s="60"/>
      <c r="O25" s="60">
        <v>6</v>
      </c>
      <c r="P25" s="60"/>
      <c r="Q25" s="60"/>
      <c r="R25" s="60">
        <v>7</v>
      </c>
      <c r="S25" s="60"/>
      <c r="T25" s="60"/>
      <c r="U25" s="60"/>
      <c r="V25" s="60">
        <v>9</v>
      </c>
      <c r="W25" s="60">
        <v>22</v>
      </c>
      <c r="X25" s="60">
        <v>2</v>
      </c>
      <c r="Y25" s="60">
        <v>1</v>
      </c>
      <c r="Z25" s="60"/>
      <c r="AA25" s="60"/>
      <c r="AB25" s="60"/>
      <c r="AC25" s="60"/>
      <c r="AD25" s="60"/>
      <c r="AE25" s="78">
        <f t="shared" si="4"/>
        <v>81</v>
      </c>
      <c r="AF25" s="30"/>
      <c r="AG25" s="30"/>
    </row>
    <row r="26" spans="1:33" x14ac:dyDescent="0.4">
      <c r="A26" s="30" t="str">
        <f t="shared" si="3"/>
        <v>REDHEAD</v>
      </c>
      <c r="B26" s="3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78">
        <f t="shared" si="4"/>
        <v>0</v>
      </c>
      <c r="AF26" s="30"/>
      <c r="AG26" s="30"/>
    </row>
    <row r="27" spans="1:33" x14ac:dyDescent="0.4">
      <c r="A27" s="30" t="str">
        <f t="shared" si="3"/>
        <v>RINGNECK</v>
      </c>
      <c r="B27" s="30"/>
      <c r="C27" s="60"/>
      <c r="D27" s="60"/>
      <c r="E27" s="60"/>
      <c r="F27" s="60"/>
      <c r="G27" s="60"/>
      <c r="H27" s="60">
        <v>1</v>
      </c>
      <c r="I27" s="60"/>
      <c r="J27" s="60"/>
      <c r="K27" s="60"/>
      <c r="L27" s="60"/>
      <c r="M27" s="60"/>
      <c r="N27" s="60"/>
      <c r="O27" s="60"/>
      <c r="P27" s="60"/>
      <c r="Q27" s="60"/>
      <c r="R27" s="60"/>
      <c r="S27" s="60"/>
      <c r="T27" s="60"/>
      <c r="U27" s="60"/>
      <c r="V27" s="60"/>
      <c r="W27" s="60"/>
      <c r="X27" s="60"/>
      <c r="Y27" s="60"/>
      <c r="Z27" s="60"/>
      <c r="AA27" s="60"/>
      <c r="AB27" s="60"/>
      <c r="AC27" s="60"/>
      <c r="AD27" s="60"/>
      <c r="AE27" s="78">
        <f t="shared" si="4"/>
        <v>1</v>
      </c>
      <c r="AF27" s="30"/>
      <c r="AG27" s="30"/>
    </row>
    <row r="28" spans="1:33" x14ac:dyDescent="0.4">
      <c r="A28" s="30" t="str">
        <f t="shared" si="3"/>
        <v>B'HEAD</v>
      </c>
      <c r="B28" s="30"/>
      <c r="C28" s="60"/>
      <c r="D28" s="60"/>
      <c r="E28" s="60"/>
      <c r="F28" s="60"/>
      <c r="G28" s="60"/>
      <c r="H28" s="60"/>
      <c r="I28" s="60">
        <v>1</v>
      </c>
      <c r="J28" s="60"/>
      <c r="K28" s="60"/>
      <c r="L28" s="60"/>
      <c r="M28" s="60"/>
      <c r="N28" s="60">
        <v>1</v>
      </c>
      <c r="O28" s="60"/>
      <c r="P28" s="60"/>
      <c r="Q28" s="60"/>
      <c r="R28" s="60"/>
      <c r="S28" s="60"/>
      <c r="T28" s="60"/>
      <c r="U28" s="60"/>
      <c r="V28" s="60"/>
      <c r="W28" s="60"/>
      <c r="X28" s="60"/>
      <c r="Y28" s="60"/>
      <c r="Z28" s="60"/>
      <c r="AA28" s="60"/>
      <c r="AB28" s="60"/>
      <c r="AC28" s="60"/>
      <c r="AD28" s="60"/>
      <c r="AE28" s="78">
        <f t="shared" si="4"/>
        <v>2</v>
      </c>
      <c r="AF28" s="30"/>
      <c r="AG28" s="30"/>
    </row>
    <row r="29" spans="1:33" x14ac:dyDescent="0.4">
      <c r="A29" s="30" t="str">
        <f t="shared" si="3"/>
        <v>SPOONY</v>
      </c>
      <c r="B29" s="30"/>
      <c r="C29" s="60">
        <v>10</v>
      </c>
      <c r="D29" s="60"/>
      <c r="E29" s="60">
        <v>11</v>
      </c>
      <c r="F29" s="60">
        <v>22</v>
      </c>
      <c r="G29" s="60">
        <v>31</v>
      </c>
      <c r="H29" s="60">
        <v>35</v>
      </c>
      <c r="I29" s="60">
        <v>12</v>
      </c>
      <c r="J29" s="60"/>
      <c r="K29" s="60">
        <v>3</v>
      </c>
      <c r="L29" s="60">
        <v>1</v>
      </c>
      <c r="M29" s="60">
        <v>10</v>
      </c>
      <c r="N29" s="60">
        <v>10</v>
      </c>
      <c r="O29" s="60">
        <v>19</v>
      </c>
      <c r="P29" s="60">
        <v>3</v>
      </c>
      <c r="Q29" s="60"/>
      <c r="R29" s="60">
        <v>15</v>
      </c>
      <c r="S29" s="60"/>
      <c r="T29" s="60"/>
      <c r="U29" s="60"/>
      <c r="V29" s="60">
        <v>11</v>
      </c>
      <c r="W29" s="60">
        <v>29</v>
      </c>
      <c r="X29" s="60">
        <v>2</v>
      </c>
      <c r="Y29" s="60">
        <v>4</v>
      </c>
      <c r="Z29" s="60"/>
      <c r="AA29" s="60"/>
      <c r="AB29" s="60"/>
      <c r="AC29" s="60"/>
      <c r="AD29" s="60"/>
      <c r="AE29" s="78">
        <f t="shared" si="4"/>
        <v>228</v>
      </c>
      <c r="AF29" s="30"/>
      <c r="AG29" s="30"/>
    </row>
    <row r="30" spans="1:33" x14ac:dyDescent="0.4">
      <c r="A30" s="30" t="str">
        <f t="shared" si="3"/>
        <v>TEAL</v>
      </c>
      <c r="B30" s="30"/>
      <c r="C30" s="60">
        <v>38</v>
      </c>
      <c r="D30" s="60"/>
      <c r="E30" s="60">
        <v>54</v>
      </c>
      <c r="F30" s="60">
        <v>138</v>
      </c>
      <c r="G30" s="60">
        <v>79</v>
      </c>
      <c r="H30" s="60">
        <v>96</v>
      </c>
      <c r="I30" s="60">
        <v>30</v>
      </c>
      <c r="J30" s="60"/>
      <c r="K30" s="60">
        <v>11</v>
      </c>
      <c r="L30" s="60"/>
      <c r="M30" s="60">
        <v>34</v>
      </c>
      <c r="N30" s="60">
        <v>29</v>
      </c>
      <c r="O30" s="60">
        <v>86</v>
      </c>
      <c r="P30" s="60">
        <v>43</v>
      </c>
      <c r="Q30" s="60"/>
      <c r="R30" s="60">
        <v>87</v>
      </c>
      <c r="S30" s="60"/>
      <c r="T30" s="60"/>
      <c r="U30" s="60"/>
      <c r="V30" s="60">
        <v>19</v>
      </c>
      <c r="W30" s="60">
        <v>98</v>
      </c>
      <c r="X30" s="60">
        <v>20</v>
      </c>
      <c r="Y30" s="60">
        <v>11</v>
      </c>
      <c r="Z30" s="60"/>
      <c r="AA30" s="60"/>
      <c r="AB30" s="60"/>
      <c r="AC30" s="60"/>
      <c r="AD30" s="60"/>
      <c r="AE30" s="78">
        <f t="shared" si="4"/>
        <v>873</v>
      </c>
      <c r="AF30" s="30"/>
      <c r="AG30" s="30"/>
    </row>
    <row r="31" spans="1:33" x14ac:dyDescent="0.4">
      <c r="A31" s="30" t="str">
        <f t="shared" si="3"/>
        <v>WIDGEON</v>
      </c>
      <c r="B31" s="30"/>
      <c r="C31" s="60">
        <v>2</v>
      </c>
      <c r="D31" s="60"/>
      <c r="E31" s="60"/>
      <c r="F31" s="60">
        <v>2</v>
      </c>
      <c r="G31" s="60">
        <v>3</v>
      </c>
      <c r="H31" s="60">
        <v>10</v>
      </c>
      <c r="I31" s="60">
        <v>1</v>
      </c>
      <c r="J31" s="60"/>
      <c r="K31" s="60">
        <v>1</v>
      </c>
      <c r="L31" s="60"/>
      <c r="M31" s="60">
        <v>2</v>
      </c>
      <c r="N31" s="60">
        <v>1</v>
      </c>
      <c r="O31" s="60">
        <v>4</v>
      </c>
      <c r="P31" s="60">
        <v>5</v>
      </c>
      <c r="Q31" s="60"/>
      <c r="R31" s="60">
        <v>9</v>
      </c>
      <c r="S31" s="60"/>
      <c r="T31" s="60"/>
      <c r="U31" s="60"/>
      <c r="V31" s="60">
        <v>11</v>
      </c>
      <c r="W31" s="60">
        <v>30</v>
      </c>
      <c r="X31" s="60">
        <v>1</v>
      </c>
      <c r="Y31" s="60">
        <v>3</v>
      </c>
      <c r="Z31" s="60"/>
      <c r="AA31" s="60"/>
      <c r="AB31" s="60"/>
      <c r="AC31" s="60"/>
      <c r="AD31" s="60"/>
      <c r="AE31" s="78">
        <f t="shared" si="4"/>
        <v>85</v>
      </c>
      <c r="AF31" s="30"/>
      <c r="AG31" s="30"/>
    </row>
    <row r="32" spans="1:33" x14ac:dyDescent="0.4">
      <c r="A32" s="30" t="s">
        <v>111</v>
      </c>
      <c r="B32" s="3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78">
        <f t="shared" si="4"/>
        <v>0</v>
      </c>
      <c r="AF32" s="30"/>
      <c r="AG32" s="30"/>
    </row>
    <row r="33" spans="1:33" ht="13" thickBot="1" x14ac:dyDescent="0.45">
      <c r="A33" s="30" t="str">
        <f t="shared" si="3"/>
        <v>MISC</v>
      </c>
      <c r="B33" s="30"/>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8">
        <f t="shared" si="4"/>
        <v>0</v>
      </c>
      <c r="AF33" s="30"/>
      <c r="AG33" s="30"/>
    </row>
    <row r="34" spans="1:33" x14ac:dyDescent="0.4">
      <c r="A34" s="30" t="s">
        <v>25</v>
      </c>
      <c r="B34" s="30"/>
      <c r="C34" s="60">
        <f>0+SUM(C20:C33)</f>
        <v>53</v>
      </c>
      <c r="D34" s="60">
        <f t="shared" ref="D34:AD34" si="5">0+SUM(D20:D33)</f>
        <v>0</v>
      </c>
      <c r="E34" s="60">
        <f t="shared" si="5"/>
        <v>66</v>
      </c>
      <c r="F34" s="60">
        <f t="shared" si="5"/>
        <v>168</v>
      </c>
      <c r="G34" s="60">
        <f t="shared" si="5"/>
        <v>118</v>
      </c>
      <c r="H34" s="60">
        <f t="shared" si="5"/>
        <v>170</v>
      </c>
      <c r="I34" s="60">
        <f t="shared" si="5"/>
        <v>47</v>
      </c>
      <c r="J34" s="60">
        <f t="shared" si="5"/>
        <v>0</v>
      </c>
      <c r="K34" s="60">
        <f t="shared" si="5"/>
        <v>16</v>
      </c>
      <c r="L34" s="60">
        <f t="shared" si="5"/>
        <v>1</v>
      </c>
      <c r="M34" s="60">
        <f t="shared" si="5"/>
        <v>48</v>
      </c>
      <c r="N34" s="60">
        <f t="shared" si="5"/>
        <v>44</v>
      </c>
      <c r="O34" s="60">
        <f t="shared" si="5"/>
        <v>116</v>
      </c>
      <c r="P34" s="60">
        <f t="shared" si="5"/>
        <v>51</v>
      </c>
      <c r="Q34" s="60">
        <f t="shared" si="5"/>
        <v>0</v>
      </c>
      <c r="R34" s="60">
        <f t="shared" si="5"/>
        <v>121</v>
      </c>
      <c r="S34" s="60">
        <f t="shared" si="5"/>
        <v>0</v>
      </c>
      <c r="T34" s="60">
        <f t="shared" si="5"/>
        <v>0</v>
      </c>
      <c r="U34" s="60">
        <f t="shared" si="5"/>
        <v>0</v>
      </c>
      <c r="V34" s="60">
        <f t="shared" si="5"/>
        <v>50</v>
      </c>
      <c r="W34" s="60">
        <f t="shared" si="5"/>
        <v>187</v>
      </c>
      <c r="X34" s="60">
        <f t="shared" si="5"/>
        <v>27</v>
      </c>
      <c r="Y34" s="60">
        <f t="shared" si="5"/>
        <v>19</v>
      </c>
      <c r="Z34" s="60">
        <f t="shared" si="5"/>
        <v>0</v>
      </c>
      <c r="AA34" s="60">
        <f t="shared" si="5"/>
        <v>0</v>
      </c>
      <c r="AB34" s="60">
        <f t="shared" si="5"/>
        <v>0</v>
      </c>
      <c r="AC34" s="60">
        <f t="shared" si="5"/>
        <v>0</v>
      </c>
      <c r="AD34" s="60">
        <f t="shared" si="5"/>
        <v>0</v>
      </c>
      <c r="AE34" s="30">
        <f>SUM(AE20:AE33)</f>
        <v>1302</v>
      </c>
      <c r="AF34" s="30"/>
      <c r="AG34" s="30"/>
    </row>
    <row r="35" spans="1:33" ht="13" thickBot="1" x14ac:dyDescent="0.45">
      <c r="A35" s="30"/>
      <c r="B35" s="3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30"/>
      <c r="AF35" s="30"/>
      <c r="AG35" s="30"/>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65">
        <v>24</v>
      </c>
      <c r="AA37" s="65">
        <v>25</v>
      </c>
      <c r="AB37" s="65">
        <v>26</v>
      </c>
      <c r="AC37" s="65">
        <v>27</v>
      </c>
      <c r="AD37" s="65">
        <v>28</v>
      </c>
      <c r="AE37" s="13" t="s">
        <v>2</v>
      </c>
      <c r="AF37" s="26" t="s">
        <v>61</v>
      </c>
      <c r="AG37" s="27" t="s">
        <v>59</v>
      </c>
    </row>
    <row r="38" spans="1:33" x14ac:dyDescent="0.4">
      <c r="A38" s="30" t="str">
        <f>A20</f>
        <v>RUDDY</v>
      </c>
      <c r="B38" s="30"/>
      <c r="C38" s="60">
        <f t="shared" ref="C38:AD47" si="7">C3+C20</f>
        <v>0</v>
      </c>
      <c r="D38" s="60">
        <f t="shared" si="7"/>
        <v>0</v>
      </c>
      <c r="E38" s="60">
        <f t="shared" si="7"/>
        <v>0</v>
      </c>
      <c r="F38" s="60">
        <f t="shared" si="7"/>
        <v>0</v>
      </c>
      <c r="G38" s="60">
        <f t="shared" si="7"/>
        <v>1</v>
      </c>
      <c r="H38" s="60">
        <f t="shared" si="7"/>
        <v>0</v>
      </c>
      <c r="I38" s="60">
        <f t="shared" si="7"/>
        <v>0</v>
      </c>
      <c r="J38" s="60">
        <f t="shared" si="7"/>
        <v>0</v>
      </c>
      <c r="K38" s="60">
        <f t="shared" si="7"/>
        <v>0</v>
      </c>
      <c r="L38" s="60">
        <f t="shared" si="7"/>
        <v>0</v>
      </c>
      <c r="M38" s="60">
        <f t="shared" si="7"/>
        <v>0</v>
      </c>
      <c r="N38" s="60">
        <f t="shared" si="7"/>
        <v>0</v>
      </c>
      <c r="O38" s="60">
        <f t="shared" si="7"/>
        <v>0</v>
      </c>
      <c r="P38" s="60">
        <f t="shared" si="7"/>
        <v>0</v>
      </c>
      <c r="Q38" s="60">
        <f t="shared" si="7"/>
        <v>0</v>
      </c>
      <c r="R38" s="60">
        <f t="shared" si="7"/>
        <v>0</v>
      </c>
      <c r="S38" s="60">
        <f t="shared" si="7"/>
        <v>0</v>
      </c>
      <c r="T38" s="60">
        <f t="shared" si="7"/>
        <v>0</v>
      </c>
      <c r="U38" s="60">
        <f t="shared" si="7"/>
        <v>0</v>
      </c>
      <c r="V38" s="60">
        <f t="shared" si="7"/>
        <v>0</v>
      </c>
      <c r="W38" s="60">
        <f t="shared" si="7"/>
        <v>0</v>
      </c>
      <c r="X38" s="60">
        <f t="shared" si="7"/>
        <v>2</v>
      </c>
      <c r="Y38" s="60">
        <f t="shared" si="7"/>
        <v>0</v>
      </c>
      <c r="Z38" s="60">
        <f t="shared" si="7"/>
        <v>0</v>
      </c>
      <c r="AA38" s="60">
        <f t="shared" si="7"/>
        <v>0</v>
      </c>
      <c r="AB38" s="60">
        <f t="shared" si="7"/>
        <v>0</v>
      </c>
      <c r="AC38" s="60">
        <f t="shared" si="7"/>
        <v>0</v>
      </c>
      <c r="AD38" s="60">
        <f t="shared" si="7"/>
        <v>0</v>
      </c>
      <c r="AE38" s="77">
        <f>SUM(C38:AD38)</f>
        <v>3</v>
      </c>
      <c r="AF38" s="84">
        <f>AE38/$AE$52</f>
        <v>1.6987542468856172E-3</v>
      </c>
      <c r="AG38" s="67">
        <f>0/10068</f>
        <v>0</v>
      </c>
    </row>
    <row r="39" spans="1:33" x14ac:dyDescent="0.4">
      <c r="A39" s="30" t="str">
        <f t="shared" ref="A39:A50" si="8">A21</f>
        <v>CANVASBACK</v>
      </c>
      <c r="B39" s="30"/>
      <c r="C39" s="60">
        <f t="shared" si="7"/>
        <v>0</v>
      </c>
      <c r="D39" s="60">
        <f t="shared" si="7"/>
        <v>0</v>
      </c>
      <c r="E39" s="60">
        <f t="shared" si="7"/>
        <v>0</v>
      </c>
      <c r="F39" s="60">
        <f t="shared" si="7"/>
        <v>0</v>
      </c>
      <c r="G39" s="60">
        <f t="shared" si="7"/>
        <v>2</v>
      </c>
      <c r="H39" s="60">
        <f t="shared" si="7"/>
        <v>7</v>
      </c>
      <c r="I39" s="60">
        <f t="shared" si="7"/>
        <v>0</v>
      </c>
      <c r="J39" s="60">
        <f t="shared" si="7"/>
        <v>0</v>
      </c>
      <c r="K39" s="60">
        <f t="shared" si="7"/>
        <v>0</v>
      </c>
      <c r="L39" s="60">
        <f t="shared" si="7"/>
        <v>1</v>
      </c>
      <c r="M39" s="60">
        <f t="shared" si="7"/>
        <v>2</v>
      </c>
      <c r="N39" s="60">
        <f t="shared" si="7"/>
        <v>2</v>
      </c>
      <c r="O39" s="60">
        <f t="shared" si="7"/>
        <v>0</v>
      </c>
      <c r="P39" s="60">
        <f t="shared" si="7"/>
        <v>0</v>
      </c>
      <c r="Q39" s="60">
        <f t="shared" si="7"/>
        <v>0</v>
      </c>
      <c r="R39" s="60">
        <f t="shared" si="7"/>
        <v>0</v>
      </c>
      <c r="S39" s="60">
        <f t="shared" si="7"/>
        <v>0</v>
      </c>
      <c r="T39" s="60">
        <f t="shared" si="7"/>
        <v>0</v>
      </c>
      <c r="U39" s="60">
        <f t="shared" si="7"/>
        <v>0</v>
      </c>
      <c r="V39" s="60">
        <f t="shared" si="7"/>
        <v>0</v>
      </c>
      <c r="W39" s="60">
        <f t="shared" si="7"/>
        <v>6</v>
      </c>
      <c r="X39" s="60">
        <f t="shared" si="7"/>
        <v>0</v>
      </c>
      <c r="Y39" s="60">
        <f t="shared" si="7"/>
        <v>0</v>
      </c>
      <c r="Z39" s="60">
        <f t="shared" si="7"/>
        <v>0</v>
      </c>
      <c r="AA39" s="60">
        <f t="shared" si="7"/>
        <v>0</v>
      </c>
      <c r="AB39" s="60">
        <f t="shared" si="7"/>
        <v>0</v>
      </c>
      <c r="AC39" s="60">
        <f t="shared" si="7"/>
        <v>0</v>
      </c>
      <c r="AD39" s="60">
        <f t="shared" si="7"/>
        <v>0</v>
      </c>
      <c r="AE39" s="78">
        <f t="shared" ref="AE39:AE51" si="9">SUM(C39:AD39)</f>
        <v>20</v>
      </c>
      <c r="AF39" s="84">
        <f>AE39/$AE$52</f>
        <v>1.1325028312570781E-2</v>
      </c>
      <c r="AG39" s="67">
        <v>0</v>
      </c>
    </row>
    <row r="40" spans="1:33" x14ac:dyDescent="0.4">
      <c r="A40" s="30" t="str">
        <f t="shared" si="8"/>
        <v>GADWALL</v>
      </c>
      <c r="B40" s="30"/>
      <c r="C40" s="60">
        <f t="shared" si="7"/>
        <v>3</v>
      </c>
      <c r="D40" s="60">
        <f t="shared" si="7"/>
        <v>0</v>
      </c>
      <c r="E40" s="60">
        <f t="shared" si="7"/>
        <v>0</v>
      </c>
      <c r="F40" s="60">
        <f t="shared" si="7"/>
        <v>3</v>
      </c>
      <c r="G40" s="60">
        <f t="shared" si="7"/>
        <v>2</v>
      </c>
      <c r="H40" s="60">
        <f t="shared" si="7"/>
        <v>9</v>
      </c>
      <c r="I40" s="60">
        <f t="shared" si="7"/>
        <v>1</v>
      </c>
      <c r="J40" s="60">
        <f t="shared" si="7"/>
        <v>0</v>
      </c>
      <c r="K40" s="60">
        <f t="shared" si="7"/>
        <v>1</v>
      </c>
      <c r="L40" s="60">
        <f t="shared" si="7"/>
        <v>0</v>
      </c>
      <c r="M40" s="60">
        <f t="shared" si="7"/>
        <v>2</v>
      </c>
      <c r="N40" s="60">
        <f t="shared" si="7"/>
        <v>1</v>
      </c>
      <c r="O40" s="60">
        <f t="shared" si="7"/>
        <v>1</v>
      </c>
      <c r="P40" s="60">
        <f t="shared" si="7"/>
        <v>0</v>
      </c>
      <c r="Q40" s="60">
        <f t="shared" si="7"/>
        <v>0</v>
      </c>
      <c r="R40" s="60">
        <f t="shared" si="7"/>
        <v>3</v>
      </c>
      <c r="S40" s="60">
        <f t="shared" si="7"/>
        <v>0</v>
      </c>
      <c r="T40" s="60">
        <f t="shared" si="7"/>
        <v>0</v>
      </c>
      <c r="U40" s="60">
        <f t="shared" si="7"/>
        <v>0</v>
      </c>
      <c r="V40" s="60">
        <f t="shared" si="7"/>
        <v>0</v>
      </c>
      <c r="W40" s="60">
        <f t="shared" si="7"/>
        <v>6</v>
      </c>
      <c r="X40" s="60">
        <f t="shared" si="7"/>
        <v>0</v>
      </c>
      <c r="Y40" s="60">
        <f t="shared" si="7"/>
        <v>0</v>
      </c>
      <c r="Z40" s="60">
        <f t="shared" si="7"/>
        <v>0</v>
      </c>
      <c r="AA40" s="60">
        <f t="shared" si="7"/>
        <v>0</v>
      </c>
      <c r="AB40" s="60">
        <f t="shared" si="7"/>
        <v>0</v>
      </c>
      <c r="AC40" s="60">
        <f t="shared" si="7"/>
        <v>0</v>
      </c>
      <c r="AD40" s="60">
        <f t="shared" si="7"/>
        <v>0</v>
      </c>
      <c r="AE40" s="78">
        <f t="shared" si="9"/>
        <v>32</v>
      </c>
      <c r="AF40" s="84">
        <f>AE40/$AE$52</f>
        <v>1.8120045300113252E-2</v>
      </c>
      <c r="AG40" s="67">
        <v>0</v>
      </c>
    </row>
    <row r="41" spans="1:33" x14ac:dyDescent="0.4">
      <c r="A41" s="30" t="str">
        <f t="shared" si="8"/>
        <v>GEESE</v>
      </c>
      <c r="B41" s="30"/>
      <c r="C41" s="60">
        <f t="shared" si="7"/>
        <v>0</v>
      </c>
      <c r="D41" s="60">
        <f t="shared" si="7"/>
        <v>0</v>
      </c>
      <c r="E41" s="60">
        <f t="shared" si="7"/>
        <v>0</v>
      </c>
      <c r="F41" s="60">
        <f t="shared" si="7"/>
        <v>0</v>
      </c>
      <c r="G41" s="60">
        <f t="shared" si="7"/>
        <v>2</v>
      </c>
      <c r="H41" s="60">
        <f t="shared" si="7"/>
        <v>4</v>
      </c>
      <c r="I41" s="60">
        <f t="shared" si="7"/>
        <v>0</v>
      </c>
      <c r="J41" s="60">
        <f t="shared" si="7"/>
        <v>0</v>
      </c>
      <c r="K41" s="60">
        <f t="shared" si="7"/>
        <v>0</v>
      </c>
      <c r="L41" s="60">
        <f t="shared" si="7"/>
        <v>0</v>
      </c>
      <c r="M41" s="60">
        <f t="shared" si="7"/>
        <v>0</v>
      </c>
      <c r="N41" s="60">
        <f t="shared" si="7"/>
        <v>0</v>
      </c>
      <c r="O41" s="60">
        <f t="shared" si="7"/>
        <v>0</v>
      </c>
      <c r="P41" s="60">
        <f t="shared" si="7"/>
        <v>0</v>
      </c>
      <c r="Q41" s="60">
        <f t="shared" si="7"/>
        <v>0</v>
      </c>
      <c r="R41" s="60">
        <f t="shared" si="7"/>
        <v>0</v>
      </c>
      <c r="S41" s="60">
        <f t="shared" si="7"/>
        <v>0</v>
      </c>
      <c r="T41" s="60">
        <f t="shared" si="7"/>
        <v>0</v>
      </c>
      <c r="U41" s="60">
        <f t="shared" si="7"/>
        <v>0</v>
      </c>
      <c r="V41" s="60">
        <f t="shared" si="7"/>
        <v>0</v>
      </c>
      <c r="W41" s="60">
        <f t="shared" si="7"/>
        <v>0</v>
      </c>
      <c r="X41" s="60">
        <f t="shared" si="7"/>
        <v>0</v>
      </c>
      <c r="Y41" s="60">
        <f t="shared" si="7"/>
        <v>0</v>
      </c>
      <c r="Z41" s="60">
        <f t="shared" si="7"/>
        <v>0</v>
      </c>
      <c r="AA41" s="60">
        <f t="shared" si="7"/>
        <v>0</v>
      </c>
      <c r="AB41" s="60">
        <f t="shared" si="7"/>
        <v>0</v>
      </c>
      <c r="AC41" s="60">
        <f t="shared" si="7"/>
        <v>0</v>
      </c>
      <c r="AD41" s="60">
        <f t="shared" si="7"/>
        <v>0</v>
      </c>
      <c r="AE41" s="78">
        <f t="shared" si="9"/>
        <v>6</v>
      </c>
      <c r="AF41" s="84">
        <f>AE41/$AE$52</f>
        <v>3.3975084937712344E-3</v>
      </c>
      <c r="AG41" s="67">
        <v>0</v>
      </c>
    </row>
    <row r="42" spans="1:33" x14ac:dyDescent="0.4">
      <c r="A42" s="30" t="str">
        <f t="shared" si="8"/>
        <v>MALLARD</v>
      </c>
      <c r="B42" s="30"/>
      <c r="C42" s="60">
        <f t="shared" si="7"/>
        <v>0</v>
      </c>
      <c r="D42" s="60">
        <f t="shared" si="7"/>
        <v>0</v>
      </c>
      <c r="E42" s="60">
        <f t="shared" si="7"/>
        <v>0</v>
      </c>
      <c r="F42" s="60">
        <f t="shared" si="7"/>
        <v>2</v>
      </c>
      <c r="G42" s="60">
        <f t="shared" si="7"/>
        <v>0</v>
      </c>
      <c r="H42" s="60">
        <f t="shared" si="7"/>
        <v>6</v>
      </c>
      <c r="I42" s="60">
        <f t="shared" si="7"/>
        <v>0</v>
      </c>
      <c r="J42" s="60">
        <f t="shared" si="7"/>
        <v>0</v>
      </c>
      <c r="K42" s="60">
        <f t="shared" si="7"/>
        <v>0</v>
      </c>
      <c r="L42" s="60">
        <f t="shared" si="7"/>
        <v>0</v>
      </c>
      <c r="M42" s="60">
        <f t="shared" si="7"/>
        <v>0</v>
      </c>
      <c r="N42" s="60">
        <f t="shared" si="7"/>
        <v>1</v>
      </c>
      <c r="O42" s="60">
        <f t="shared" si="7"/>
        <v>2</v>
      </c>
      <c r="P42" s="60">
        <f t="shared" si="7"/>
        <v>0</v>
      </c>
      <c r="Q42" s="60">
        <f t="shared" si="7"/>
        <v>0</v>
      </c>
      <c r="R42" s="60">
        <f t="shared" si="7"/>
        <v>0</v>
      </c>
      <c r="S42" s="60">
        <f t="shared" si="7"/>
        <v>0</v>
      </c>
      <c r="T42" s="60">
        <f t="shared" si="7"/>
        <v>0</v>
      </c>
      <c r="U42" s="60">
        <f t="shared" si="7"/>
        <v>0</v>
      </c>
      <c r="V42" s="60">
        <f t="shared" si="7"/>
        <v>0</v>
      </c>
      <c r="W42" s="60">
        <f t="shared" si="7"/>
        <v>3</v>
      </c>
      <c r="X42" s="60">
        <f t="shared" si="7"/>
        <v>0</v>
      </c>
      <c r="Y42" s="60">
        <f t="shared" si="7"/>
        <v>0</v>
      </c>
      <c r="Z42" s="60">
        <f t="shared" si="7"/>
        <v>0</v>
      </c>
      <c r="AA42" s="60">
        <f t="shared" si="7"/>
        <v>0</v>
      </c>
      <c r="AB42" s="60">
        <f t="shared" si="7"/>
        <v>0</v>
      </c>
      <c r="AC42" s="60">
        <f t="shared" si="7"/>
        <v>0</v>
      </c>
      <c r="AD42" s="60">
        <f t="shared" si="7"/>
        <v>0</v>
      </c>
      <c r="AE42" s="78">
        <f t="shared" si="9"/>
        <v>14</v>
      </c>
      <c r="AF42" s="84">
        <f t="shared" ref="AF42:AF51" si="10">AE42/$AE$52</f>
        <v>7.9275198187995465E-3</v>
      </c>
      <c r="AG42" s="67">
        <v>0</v>
      </c>
    </row>
    <row r="43" spans="1:33" x14ac:dyDescent="0.4">
      <c r="A43" s="30" t="str">
        <f t="shared" si="8"/>
        <v>PINTAIL</v>
      </c>
      <c r="B43" s="30"/>
      <c r="C43" s="60">
        <f t="shared" si="7"/>
        <v>1</v>
      </c>
      <c r="D43" s="60">
        <f t="shared" si="7"/>
        <v>0</v>
      </c>
      <c r="E43" s="60">
        <f t="shared" si="7"/>
        <v>3</v>
      </c>
      <c r="F43" s="60">
        <f t="shared" si="7"/>
        <v>9</v>
      </c>
      <c r="G43" s="60">
        <f t="shared" si="7"/>
        <v>6</v>
      </c>
      <c r="H43" s="60">
        <f t="shared" si="7"/>
        <v>30</v>
      </c>
      <c r="I43" s="60">
        <f t="shared" si="7"/>
        <v>6</v>
      </c>
      <c r="J43" s="60">
        <f t="shared" si="7"/>
        <v>0</v>
      </c>
      <c r="K43" s="60">
        <f t="shared" si="7"/>
        <v>1</v>
      </c>
      <c r="L43" s="60">
        <f t="shared" si="7"/>
        <v>0</v>
      </c>
      <c r="M43" s="60">
        <f t="shared" si="7"/>
        <v>1</v>
      </c>
      <c r="N43" s="60">
        <f t="shared" si="7"/>
        <v>0</v>
      </c>
      <c r="O43" s="60">
        <f t="shared" si="7"/>
        <v>6</v>
      </c>
      <c r="P43" s="60">
        <f t="shared" si="7"/>
        <v>0</v>
      </c>
      <c r="Q43" s="60">
        <f t="shared" si="7"/>
        <v>0</v>
      </c>
      <c r="R43" s="60">
        <f t="shared" si="7"/>
        <v>9</v>
      </c>
      <c r="S43" s="60">
        <f t="shared" si="7"/>
        <v>0</v>
      </c>
      <c r="T43" s="60">
        <f t="shared" si="7"/>
        <v>0</v>
      </c>
      <c r="U43" s="60">
        <f t="shared" si="7"/>
        <v>0</v>
      </c>
      <c r="V43" s="60">
        <f t="shared" si="7"/>
        <v>9</v>
      </c>
      <c r="W43" s="60">
        <f t="shared" si="7"/>
        <v>27</v>
      </c>
      <c r="X43" s="60">
        <f t="shared" si="7"/>
        <v>2</v>
      </c>
      <c r="Y43" s="60">
        <f t="shared" si="7"/>
        <v>1</v>
      </c>
      <c r="Z43" s="60">
        <f t="shared" si="7"/>
        <v>0</v>
      </c>
      <c r="AA43" s="60">
        <f t="shared" si="7"/>
        <v>0</v>
      </c>
      <c r="AB43" s="60">
        <f t="shared" si="7"/>
        <v>0</v>
      </c>
      <c r="AC43" s="60">
        <f t="shared" si="7"/>
        <v>0</v>
      </c>
      <c r="AD43" s="60">
        <f t="shared" si="7"/>
        <v>0</v>
      </c>
      <c r="AE43" s="78">
        <f t="shared" si="9"/>
        <v>111</v>
      </c>
      <c r="AF43" s="84">
        <f t="shared" si="10"/>
        <v>6.2853907134767836E-2</v>
      </c>
      <c r="AG43" s="67">
        <v>0</v>
      </c>
    </row>
    <row r="44" spans="1:33" x14ac:dyDescent="0.4">
      <c r="A44" s="30" t="str">
        <f t="shared" si="8"/>
        <v>REDHEAD</v>
      </c>
      <c r="B44" s="30"/>
      <c r="C44" s="60">
        <f t="shared" si="7"/>
        <v>0</v>
      </c>
      <c r="D44" s="60">
        <f t="shared" si="7"/>
        <v>0</v>
      </c>
      <c r="E44" s="60">
        <f t="shared" si="7"/>
        <v>0</v>
      </c>
      <c r="F44" s="60">
        <f t="shared" si="7"/>
        <v>0</v>
      </c>
      <c r="G44" s="60">
        <f t="shared" si="7"/>
        <v>0</v>
      </c>
      <c r="H44" s="60">
        <f t="shared" si="7"/>
        <v>0</v>
      </c>
      <c r="I44" s="60">
        <f t="shared" si="7"/>
        <v>0</v>
      </c>
      <c r="J44" s="60">
        <f t="shared" si="7"/>
        <v>0</v>
      </c>
      <c r="K44" s="60">
        <f t="shared" si="7"/>
        <v>0</v>
      </c>
      <c r="L44" s="60">
        <f t="shared" si="7"/>
        <v>0</v>
      </c>
      <c r="M44" s="60">
        <f t="shared" si="7"/>
        <v>0</v>
      </c>
      <c r="N44" s="60">
        <f t="shared" si="7"/>
        <v>0</v>
      </c>
      <c r="O44" s="60">
        <f t="shared" si="7"/>
        <v>0</v>
      </c>
      <c r="P44" s="60">
        <f t="shared" si="7"/>
        <v>0</v>
      </c>
      <c r="Q44" s="60">
        <f t="shared" si="7"/>
        <v>0</v>
      </c>
      <c r="R44" s="60">
        <f t="shared" si="7"/>
        <v>0</v>
      </c>
      <c r="S44" s="60">
        <f t="shared" si="7"/>
        <v>0</v>
      </c>
      <c r="T44" s="60">
        <f t="shared" si="7"/>
        <v>0</v>
      </c>
      <c r="U44" s="60">
        <f t="shared" si="7"/>
        <v>0</v>
      </c>
      <c r="V44" s="60">
        <f t="shared" si="7"/>
        <v>0</v>
      </c>
      <c r="W44" s="60">
        <f t="shared" si="7"/>
        <v>0</v>
      </c>
      <c r="X44" s="60">
        <f t="shared" si="7"/>
        <v>0</v>
      </c>
      <c r="Y44" s="60">
        <f t="shared" si="7"/>
        <v>0</v>
      </c>
      <c r="Z44" s="60">
        <f t="shared" si="7"/>
        <v>0</v>
      </c>
      <c r="AA44" s="60">
        <f t="shared" si="7"/>
        <v>0</v>
      </c>
      <c r="AB44" s="60">
        <f t="shared" si="7"/>
        <v>0</v>
      </c>
      <c r="AC44" s="60">
        <f t="shared" si="7"/>
        <v>0</v>
      </c>
      <c r="AD44" s="60">
        <f t="shared" si="7"/>
        <v>0</v>
      </c>
      <c r="AE44" s="78">
        <f t="shared" si="9"/>
        <v>0</v>
      </c>
      <c r="AF44" s="84">
        <f t="shared" si="10"/>
        <v>0</v>
      </c>
      <c r="AG44" s="67">
        <v>0</v>
      </c>
    </row>
    <row r="45" spans="1:33" x14ac:dyDescent="0.4">
      <c r="A45" s="30" t="str">
        <f t="shared" si="8"/>
        <v>RINGNECK</v>
      </c>
      <c r="B45" s="30"/>
      <c r="C45" s="60">
        <f t="shared" si="7"/>
        <v>0</v>
      </c>
      <c r="D45" s="60">
        <f t="shared" si="7"/>
        <v>0</v>
      </c>
      <c r="E45" s="60">
        <f t="shared" si="7"/>
        <v>0</v>
      </c>
      <c r="F45" s="60">
        <f t="shared" si="7"/>
        <v>0</v>
      </c>
      <c r="G45" s="60">
        <f t="shared" si="7"/>
        <v>0</v>
      </c>
      <c r="H45" s="60">
        <f t="shared" si="7"/>
        <v>1</v>
      </c>
      <c r="I45" s="60">
        <f t="shared" si="7"/>
        <v>1</v>
      </c>
      <c r="J45" s="60">
        <f t="shared" si="7"/>
        <v>0</v>
      </c>
      <c r="K45" s="60">
        <f t="shared" si="7"/>
        <v>0</v>
      </c>
      <c r="L45" s="60">
        <f t="shared" si="7"/>
        <v>0</v>
      </c>
      <c r="M45" s="60">
        <f t="shared" si="7"/>
        <v>0</v>
      </c>
      <c r="N45" s="60">
        <f t="shared" si="7"/>
        <v>0</v>
      </c>
      <c r="O45" s="60">
        <f t="shared" si="7"/>
        <v>0</v>
      </c>
      <c r="P45" s="60">
        <f t="shared" si="7"/>
        <v>0</v>
      </c>
      <c r="Q45" s="60">
        <f t="shared" si="7"/>
        <v>0</v>
      </c>
      <c r="R45" s="60">
        <f t="shared" si="7"/>
        <v>0</v>
      </c>
      <c r="S45" s="60">
        <f t="shared" si="7"/>
        <v>0</v>
      </c>
      <c r="T45" s="60">
        <f t="shared" si="7"/>
        <v>0</v>
      </c>
      <c r="U45" s="60">
        <f t="shared" si="7"/>
        <v>0</v>
      </c>
      <c r="V45" s="60">
        <f t="shared" si="7"/>
        <v>0</v>
      </c>
      <c r="W45" s="60">
        <f t="shared" si="7"/>
        <v>0</v>
      </c>
      <c r="X45" s="60">
        <f t="shared" si="7"/>
        <v>0</v>
      </c>
      <c r="Y45" s="60">
        <f t="shared" si="7"/>
        <v>0</v>
      </c>
      <c r="Z45" s="60">
        <f t="shared" si="7"/>
        <v>0</v>
      </c>
      <c r="AA45" s="60">
        <f t="shared" si="7"/>
        <v>0</v>
      </c>
      <c r="AB45" s="60">
        <f t="shared" si="7"/>
        <v>0</v>
      </c>
      <c r="AC45" s="60">
        <f t="shared" si="7"/>
        <v>0</v>
      </c>
      <c r="AD45" s="60">
        <f t="shared" si="7"/>
        <v>0</v>
      </c>
      <c r="AE45" s="78">
        <f t="shared" si="9"/>
        <v>2</v>
      </c>
      <c r="AF45" s="84">
        <f t="shared" si="10"/>
        <v>1.1325028312570782E-3</v>
      </c>
      <c r="AG45" s="67">
        <v>0</v>
      </c>
    </row>
    <row r="46" spans="1:33" x14ac:dyDescent="0.4">
      <c r="A46" s="30" t="str">
        <f t="shared" si="8"/>
        <v>B'HEAD</v>
      </c>
      <c r="B46" s="30"/>
      <c r="C46" s="60">
        <f t="shared" si="7"/>
        <v>0</v>
      </c>
      <c r="D46" s="60">
        <f t="shared" si="7"/>
        <v>0</v>
      </c>
      <c r="E46" s="60">
        <f t="shared" si="7"/>
        <v>0</v>
      </c>
      <c r="F46" s="60">
        <f t="shared" si="7"/>
        <v>1</v>
      </c>
      <c r="G46" s="60">
        <f t="shared" si="7"/>
        <v>5</v>
      </c>
      <c r="H46" s="60">
        <f t="shared" si="7"/>
        <v>6</v>
      </c>
      <c r="I46" s="60">
        <f t="shared" si="7"/>
        <v>1</v>
      </c>
      <c r="J46" s="60">
        <f t="shared" si="7"/>
        <v>0</v>
      </c>
      <c r="K46" s="60">
        <f t="shared" si="7"/>
        <v>1</v>
      </c>
      <c r="L46" s="60">
        <f t="shared" si="7"/>
        <v>0</v>
      </c>
      <c r="M46" s="60">
        <f t="shared" si="7"/>
        <v>0</v>
      </c>
      <c r="N46" s="60">
        <f t="shared" si="7"/>
        <v>1</v>
      </c>
      <c r="O46" s="60">
        <f t="shared" si="7"/>
        <v>0</v>
      </c>
      <c r="P46" s="60">
        <f t="shared" si="7"/>
        <v>0</v>
      </c>
      <c r="Q46" s="60">
        <f t="shared" si="7"/>
        <v>0</v>
      </c>
      <c r="R46" s="60">
        <f t="shared" si="7"/>
        <v>1</v>
      </c>
      <c r="S46" s="60">
        <f t="shared" si="7"/>
        <v>0</v>
      </c>
      <c r="T46" s="60">
        <f t="shared" si="7"/>
        <v>0</v>
      </c>
      <c r="U46" s="60">
        <f t="shared" si="7"/>
        <v>0</v>
      </c>
      <c r="V46" s="60">
        <f t="shared" si="7"/>
        <v>0</v>
      </c>
      <c r="W46" s="60">
        <f t="shared" si="7"/>
        <v>0</v>
      </c>
      <c r="X46" s="60">
        <f t="shared" si="7"/>
        <v>0</v>
      </c>
      <c r="Y46" s="60">
        <f t="shared" si="7"/>
        <v>0</v>
      </c>
      <c r="Z46" s="60">
        <f t="shared" si="7"/>
        <v>0</v>
      </c>
      <c r="AA46" s="60">
        <f t="shared" si="7"/>
        <v>0</v>
      </c>
      <c r="AB46" s="60">
        <f t="shared" si="7"/>
        <v>0</v>
      </c>
      <c r="AC46" s="60">
        <f t="shared" si="7"/>
        <v>0</v>
      </c>
      <c r="AD46" s="60">
        <f t="shared" si="7"/>
        <v>0</v>
      </c>
      <c r="AE46" s="78">
        <f t="shared" si="9"/>
        <v>16</v>
      </c>
      <c r="AF46" s="84">
        <f t="shared" si="10"/>
        <v>9.0600226500566258E-3</v>
      </c>
      <c r="AG46" s="67">
        <v>0</v>
      </c>
    </row>
    <row r="47" spans="1:33" x14ac:dyDescent="0.4">
      <c r="A47" s="30" t="str">
        <f t="shared" si="8"/>
        <v>SPOONY</v>
      </c>
      <c r="B47" s="30"/>
      <c r="C47" s="60">
        <f t="shared" si="7"/>
        <v>18</v>
      </c>
      <c r="D47" s="60">
        <f t="shared" si="7"/>
        <v>0</v>
      </c>
      <c r="E47" s="60">
        <f t="shared" si="7"/>
        <v>21</v>
      </c>
      <c r="F47" s="60">
        <f t="shared" ref="C47:AD51" si="11">F12+F29</f>
        <v>37</v>
      </c>
      <c r="G47" s="60">
        <f t="shared" si="11"/>
        <v>63</v>
      </c>
      <c r="H47" s="60">
        <f t="shared" si="11"/>
        <v>96</v>
      </c>
      <c r="I47" s="60">
        <f t="shared" si="11"/>
        <v>42</v>
      </c>
      <c r="J47" s="60">
        <f t="shared" si="11"/>
        <v>0</v>
      </c>
      <c r="K47" s="60">
        <f t="shared" si="11"/>
        <v>12</v>
      </c>
      <c r="L47" s="60">
        <f t="shared" si="11"/>
        <v>10</v>
      </c>
      <c r="M47" s="60">
        <f t="shared" si="11"/>
        <v>21</v>
      </c>
      <c r="N47" s="60">
        <f t="shared" si="11"/>
        <v>16</v>
      </c>
      <c r="O47" s="60">
        <f t="shared" si="11"/>
        <v>24</v>
      </c>
      <c r="P47" s="60">
        <f t="shared" si="11"/>
        <v>3</v>
      </c>
      <c r="Q47" s="60">
        <f t="shared" si="11"/>
        <v>0</v>
      </c>
      <c r="R47" s="60">
        <f t="shared" si="11"/>
        <v>21</v>
      </c>
      <c r="S47" s="60">
        <f t="shared" si="11"/>
        <v>0</v>
      </c>
      <c r="T47" s="60">
        <f t="shared" si="11"/>
        <v>0</v>
      </c>
      <c r="U47" s="60">
        <f t="shared" si="11"/>
        <v>0</v>
      </c>
      <c r="V47" s="60">
        <f t="shared" si="11"/>
        <v>11</v>
      </c>
      <c r="W47" s="60">
        <f t="shared" si="11"/>
        <v>41</v>
      </c>
      <c r="X47" s="60">
        <f t="shared" si="11"/>
        <v>2</v>
      </c>
      <c r="Y47" s="60">
        <f t="shared" si="11"/>
        <v>4</v>
      </c>
      <c r="Z47" s="60">
        <f t="shared" si="11"/>
        <v>0</v>
      </c>
      <c r="AA47" s="60">
        <f t="shared" si="11"/>
        <v>0</v>
      </c>
      <c r="AB47" s="60">
        <f t="shared" si="11"/>
        <v>0</v>
      </c>
      <c r="AC47" s="60">
        <f t="shared" si="11"/>
        <v>0</v>
      </c>
      <c r="AD47" s="60">
        <f t="shared" si="11"/>
        <v>0</v>
      </c>
      <c r="AE47" s="78">
        <f t="shared" si="9"/>
        <v>442</v>
      </c>
      <c r="AF47" s="84">
        <f>AE47/$AE$52</f>
        <v>0.25028312570781425</v>
      </c>
      <c r="AG47" s="67">
        <v>0</v>
      </c>
    </row>
    <row r="48" spans="1:33" x14ac:dyDescent="0.4">
      <c r="A48" s="30" t="str">
        <f t="shared" si="8"/>
        <v>TEAL</v>
      </c>
      <c r="B48" s="30"/>
      <c r="C48" s="60">
        <f t="shared" si="11"/>
        <v>42</v>
      </c>
      <c r="D48" s="60">
        <f t="shared" si="11"/>
        <v>0</v>
      </c>
      <c r="E48" s="60">
        <f t="shared" si="11"/>
        <v>64</v>
      </c>
      <c r="F48" s="60">
        <f t="shared" si="11"/>
        <v>159</v>
      </c>
      <c r="G48" s="60">
        <f t="shared" si="11"/>
        <v>107</v>
      </c>
      <c r="H48" s="60">
        <f t="shared" si="11"/>
        <v>133</v>
      </c>
      <c r="I48" s="60">
        <f t="shared" si="11"/>
        <v>48</v>
      </c>
      <c r="J48" s="60">
        <f t="shared" si="11"/>
        <v>0</v>
      </c>
      <c r="K48" s="60">
        <f t="shared" si="11"/>
        <v>11</v>
      </c>
      <c r="L48" s="60">
        <f t="shared" si="11"/>
        <v>4</v>
      </c>
      <c r="M48" s="60">
        <f t="shared" si="11"/>
        <v>41</v>
      </c>
      <c r="N48" s="60">
        <f t="shared" si="11"/>
        <v>32</v>
      </c>
      <c r="O48" s="60">
        <f t="shared" si="11"/>
        <v>87</v>
      </c>
      <c r="P48" s="60">
        <f t="shared" si="11"/>
        <v>43</v>
      </c>
      <c r="Q48" s="60">
        <f t="shared" si="11"/>
        <v>0</v>
      </c>
      <c r="R48" s="60">
        <f t="shared" si="11"/>
        <v>89</v>
      </c>
      <c r="S48" s="60">
        <f t="shared" si="11"/>
        <v>0</v>
      </c>
      <c r="T48" s="60">
        <f t="shared" si="11"/>
        <v>0</v>
      </c>
      <c r="U48" s="60">
        <f t="shared" si="11"/>
        <v>0</v>
      </c>
      <c r="V48" s="60">
        <f t="shared" si="11"/>
        <v>19</v>
      </c>
      <c r="W48" s="60">
        <f t="shared" si="11"/>
        <v>101</v>
      </c>
      <c r="X48" s="60">
        <f t="shared" si="11"/>
        <v>20</v>
      </c>
      <c r="Y48" s="60">
        <f t="shared" si="11"/>
        <v>11</v>
      </c>
      <c r="Z48" s="60">
        <f t="shared" si="11"/>
        <v>0</v>
      </c>
      <c r="AA48" s="60">
        <f t="shared" si="11"/>
        <v>0</v>
      </c>
      <c r="AB48" s="60">
        <f t="shared" si="11"/>
        <v>0</v>
      </c>
      <c r="AC48" s="60">
        <f t="shared" si="11"/>
        <v>0</v>
      </c>
      <c r="AD48" s="60">
        <f t="shared" si="11"/>
        <v>0</v>
      </c>
      <c r="AE48" s="78">
        <f t="shared" si="9"/>
        <v>1011</v>
      </c>
      <c r="AF48" s="84">
        <f t="shared" si="10"/>
        <v>0.57248018120045296</v>
      </c>
      <c r="AG48" s="67">
        <v>0</v>
      </c>
    </row>
    <row r="49" spans="1:33" x14ac:dyDescent="0.4">
      <c r="A49" s="30" t="str">
        <f t="shared" si="8"/>
        <v>WIDGEON</v>
      </c>
      <c r="B49" s="30"/>
      <c r="C49" s="60">
        <f t="shared" si="11"/>
        <v>3</v>
      </c>
      <c r="D49" s="60">
        <f t="shared" si="11"/>
        <v>0</v>
      </c>
      <c r="E49" s="60">
        <f t="shared" si="11"/>
        <v>1</v>
      </c>
      <c r="F49" s="60">
        <f t="shared" si="11"/>
        <v>3</v>
      </c>
      <c r="G49" s="60">
        <f t="shared" si="11"/>
        <v>3</v>
      </c>
      <c r="H49" s="60">
        <f t="shared" si="11"/>
        <v>16</v>
      </c>
      <c r="I49" s="60">
        <f t="shared" si="11"/>
        <v>3</v>
      </c>
      <c r="J49" s="60">
        <f t="shared" si="11"/>
        <v>0</v>
      </c>
      <c r="K49" s="60">
        <f t="shared" si="11"/>
        <v>2</v>
      </c>
      <c r="L49" s="60">
        <f t="shared" si="11"/>
        <v>0</v>
      </c>
      <c r="M49" s="60">
        <f t="shared" si="11"/>
        <v>2</v>
      </c>
      <c r="N49" s="60">
        <f t="shared" si="11"/>
        <v>2</v>
      </c>
      <c r="O49" s="60">
        <f t="shared" si="11"/>
        <v>4</v>
      </c>
      <c r="P49" s="60">
        <f t="shared" si="11"/>
        <v>5</v>
      </c>
      <c r="Q49" s="60">
        <f t="shared" si="11"/>
        <v>0</v>
      </c>
      <c r="R49" s="60">
        <f t="shared" si="11"/>
        <v>9</v>
      </c>
      <c r="S49" s="60">
        <f t="shared" si="11"/>
        <v>0</v>
      </c>
      <c r="T49" s="60">
        <f t="shared" si="11"/>
        <v>0</v>
      </c>
      <c r="U49" s="60">
        <f t="shared" si="11"/>
        <v>0</v>
      </c>
      <c r="V49" s="60">
        <f t="shared" si="11"/>
        <v>11</v>
      </c>
      <c r="W49" s="60">
        <f t="shared" si="11"/>
        <v>34</v>
      </c>
      <c r="X49" s="60">
        <f t="shared" si="11"/>
        <v>1</v>
      </c>
      <c r="Y49" s="60">
        <f t="shared" si="11"/>
        <v>3</v>
      </c>
      <c r="Z49" s="60">
        <f t="shared" si="11"/>
        <v>0</v>
      </c>
      <c r="AA49" s="60">
        <f t="shared" si="11"/>
        <v>0</v>
      </c>
      <c r="AB49" s="60">
        <f t="shared" si="11"/>
        <v>0</v>
      </c>
      <c r="AC49" s="60">
        <f t="shared" si="11"/>
        <v>0</v>
      </c>
      <c r="AD49" s="60">
        <f t="shared" si="11"/>
        <v>0</v>
      </c>
      <c r="AE49" s="78">
        <f t="shared" si="9"/>
        <v>102</v>
      </c>
      <c r="AF49" s="84">
        <f t="shared" si="10"/>
        <v>5.7757644394110984E-2</v>
      </c>
      <c r="AG49" s="67">
        <v>0</v>
      </c>
    </row>
    <row r="50" spans="1:33" x14ac:dyDescent="0.4">
      <c r="A50" s="30" t="str">
        <f t="shared" si="8"/>
        <v>SCAUP</v>
      </c>
      <c r="B50" s="30"/>
      <c r="C50" s="60">
        <f t="shared" si="11"/>
        <v>0</v>
      </c>
      <c r="D50" s="60">
        <f t="shared" si="11"/>
        <v>0</v>
      </c>
      <c r="E50" s="60">
        <f t="shared" si="11"/>
        <v>0</v>
      </c>
      <c r="F50" s="60">
        <f t="shared" si="11"/>
        <v>0</v>
      </c>
      <c r="G50" s="60">
        <f t="shared" si="11"/>
        <v>1</v>
      </c>
      <c r="H50" s="60">
        <f t="shared" si="11"/>
        <v>2</v>
      </c>
      <c r="I50" s="60">
        <f t="shared" si="11"/>
        <v>1</v>
      </c>
      <c r="J50" s="60">
        <f t="shared" si="11"/>
        <v>0</v>
      </c>
      <c r="K50" s="60">
        <f t="shared" si="11"/>
        <v>0</v>
      </c>
      <c r="L50" s="60">
        <f t="shared" si="11"/>
        <v>0</v>
      </c>
      <c r="M50" s="60">
        <f t="shared" si="11"/>
        <v>0</v>
      </c>
      <c r="N50" s="60">
        <f t="shared" si="11"/>
        <v>0</v>
      </c>
      <c r="O50" s="60">
        <f t="shared" si="11"/>
        <v>0</v>
      </c>
      <c r="P50" s="60">
        <f t="shared" si="11"/>
        <v>0</v>
      </c>
      <c r="Q50" s="60">
        <f t="shared" si="11"/>
        <v>0</v>
      </c>
      <c r="R50" s="60">
        <f t="shared" si="11"/>
        <v>0</v>
      </c>
      <c r="S50" s="60">
        <f t="shared" si="11"/>
        <v>0</v>
      </c>
      <c r="T50" s="60">
        <f t="shared" si="11"/>
        <v>0</v>
      </c>
      <c r="U50" s="60">
        <f t="shared" si="11"/>
        <v>0</v>
      </c>
      <c r="V50" s="60">
        <f t="shared" si="11"/>
        <v>0</v>
      </c>
      <c r="W50" s="60">
        <f t="shared" si="11"/>
        <v>2</v>
      </c>
      <c r="X50" s="60">
        <f>X15+X32</f>
        <v>0</v>
      </c>
      <c r="Y50" s="60">
        <f>Y15+Y32</f>
        <v>0</v>
      </c>
      <c r="Z50" s="60">
        <f t="shared" si="11"/>
        <v>0</v>
      </c>
      <c r="AA50" s="60">
        <f t="shared" si="11"/>
        <v>0</v>
      </c>
      <c r="AB50" s="60">
        <f t="shared" si="11"/>
        <v>0</v>
      </c>
      <c r="AC50" s="60">
        <f t="shared" si="11"/>
        <v>0</v>
      </c>
      <c r="AD50" s="60">
        <f t="shared" si="11"/>
        <v>0</v>
      </c>
      <c r="AE50" s="78">
        <f t="shared" si="9"/>
        <v>6</v>
      </c>
      <c r="AF50" s="84">
        <f t="shared" si="10"/>
        <v>3.3975084937712344E-3</v>
      </c>
      <c r="AG50" s="67">
        <v>0</v>
      </c>
    </row>
    <row r="51" spans="1:33" ht="13" thickBot="1" x14ac:dyDescent="0.45">
      <c r="A51" s="30" t="s">
        <v>58</v>
      </c>
      <c r="B51" s="30"/>
      <c r="C51" s="62">
        <f t="shared" si="11"/>
        <v>0</v>
      </c>
      <c r="D51" s="62">
        <f t="shared" si="11"/>
        <v>0</v>
      </c>
      <c r="E51" s="62">
        <f t="shared" si="11"/>
        <v>0</v>
      </c>
      <c r="F51" s="62">
        <f t="shared" si="11"/>
        <v>0</v>
      </c>
      <c r="G51" s="62">
        <f t="shared" si="11"/>
        <v>1</v>
      </c>
      <c r="H51" s="62">
        <f t="shared" si="11"/>
        <v>0</v>
      </c>
      <c r="I51" s="62">
        <f t="shared" si="11"/>
        <v>0</v>
      </c>
      <c r="J51" s="62">
        <f t="shared" si="11"/>
        <v>0</v>
      </c>
      <c r="K51" s="62">
        <f t="shared" si="11"/>
        <v>0</v>
      </c>
      <c r="L51" s="62">
        <f t="shared" si="11"/>
        <v>0</v>
      </c>
      <c r="M51" s="62">
        <f t="shared" si="11"/>
        <v>0</v>
      </c>
      <c r="N51" s="62">
        <f t="shared" si="11"/>
        <v>0</v>
      </c>
      <c r="O51" s="62">
        <f t="shared" si="11"/>
        <v>0</v>
      </c>
      <c r="P51" s="62">
        <f t="shared" si="11"/>
        <v>0</v>
      </c>
      <c r="Q51" s="62">
        <f t="shared" si="11"/>
        <v>0</v>
      </c>
      <c r="R51" s="62">
        <f t="shared" si="11"/>
        <v>0</v>
      </c>
      <c r="S51" s="62">
        <f t="shared" si="11"/>
        <v>0</v>
      </c>
      <c r="T51" s="62">
        <f t="shared" si="11"/>
        <v>0</v>
      </c>
      <c r="U51" s="62">
        <f t="shared" si="11"/>
        <v>0</v>
      </c>
      <c r="V51" s="62">
        <f>V16+V33</f>
        <v>0</v>
      </c>
      <c r="W51" s="62">
        <f>W16+W33</f>
        <v>0</v>
      </c>
      <c r="X51" s="62">
        <f>X16+X33</f>
        <v>0</v>
      </c>
      <c r="Y51" s="62">
        <f>Y16+Y33</f>
        <v>0</v>
      </c>
      <c r="Z51" s="62">
        <f t="shared" si="11"/>
        <v>0</v>
      </c>
      <c r="AA51" s="62">
        <f t="shared" si="11"/>
        <v>0</v>
      </c>
      <c r="AB51" s="62">
        <f t="shared" si="11"/>
        <v>0</v>
      </c>
      <c r="AC51" s="62">
        <f t="shared" si="11"/>
        <v>0</v>
      </c>
      <c r="AD51" s="62">
        <f t="shared" si="11"/>
        <v>0</v>
      </c>
      <c r="AE51" s="68">
        <f t="shared" si="9"/>
        <v>1</v>
      </c>
      <c r="AF51" s="86">
        <f t="shared" si="10"/>
        <v>5.6625141562853911E-4</v>
      </c>
      <c r="AG51" s="70">
        <v>0</v>
      </c>
    </row>
    <row r="52" spans="1:33" x14ac:dyDescent="0.4">
      <c r="A52" s="30" t="s">
        <v>25</v>
      </c>
      <c r="B52" s="30"/>
      <c r="C52" s="60">
        <f>0+SUM(C38:C51)</f>
        <v>67</v>
      </c>
      <c r="D52" s="60">
        <f t="shared" ref="D52:U52" si="12">0+SUM(D38:D51)</f>
        <v>0</v>
      </c>
      <c r="E52" s="60">
        <f t="shared" si="12"/>
        <v>89</v>
      </c>
      <c r="F52" s="60">
        <f t="shared" si="12"/>
        <v>214</v>
      </c>
      <c r="G52" s="60">
        <f t="shared" si="12"/>
        <v>193</v>
      </c>
      <c r="H52" s="60">
        <f t="shared" si="12"/>
        <v>310</v>
      </c>
      <c r="I52" s="60">
        <f t="shared" si="12"/>
        <v>103</v>
      </c>
      <c r="J52" s="60">
        <f t="shared" si="12"/>
        <v>0</v>
      </c>
      <c r="K52" s="60">
        <f t="shared" si="12"/>
        <v>28</v>
      </c>
      <c r="L52" s="60">
        <f t="shared" si="12"/>
        <v>15</v>
      </c>
      <c r="M52" s="60">
        <f t="shared" si="12"/>
        <v>69</v>
      </c>
      <c r="N52" s="60">
        <f t="shared" si="12"/>
        <v>55</v>
      </c>
      <c r="O52" s="60">
        <f t="shared" si="12"/>
        <v>124</v>
      </c>
      <c r="P52" s="60">
        <f t="shared" si="12"/>
        <v>51</v>
      </c>
      <c r="Q52" s="60">
        <f t="shared" si="12"/>
        <v>0</v>
      </c>
      <c r="R52" s="60">
        <f t="shared" si="12"/>
        <v>132</v>
      </c>
      <c r="S52" s="60">
        <f t="shared" si="12"/>
        <v>0</v>
      </c>
      <c r="T52" s="60">
        <f t="shared" si="12"/>
        <v>0</v>
      </c>
      <c r="U52" s="60">
        <f t="shared" si="12"/>
        <v>0</v>
      </c>
      <c r="V52" s="60">
        <f>0+SUM(V38:V51)</f>
        <v>50</v>
      </c>
      <c r="W52" s="60">
        <f>0+SUM(W38:W51)</f>
        <v>220</v>
      </c>
      <c r="X52" s="60">
        <f>SUM(X17,X34)</f>
        <v>27</v>
      </c>
      <c r="Y52" s="60">
        <f t="shared" ref="Y52:AD52" si="13">0+SUM(Y38:Y51)</f>
        <v>19</v>
      </c>
      <c r="Z52" s="60">
        <f t="shared" si="13"/>
        <v>0</v>
      </c>
      <c r="AA52" s="60">
        <f t="shared" si="13"/>
        <v>0</v>
      </c>
      <c r="AB52" s="60">
        <f t="shared" si="13"/>
        <v>0</v>
      </c>
      <c r="AC52" s="60">
        <f t="shared" si="13"/>
        <v>0</v>
      </c>
      <c r="AD52" s="60">
        <f t="shared" si="13"/>
        <v>0</v>
      </c>
      <c r="AE52" s="30">
        <f>SUM(AE38:AE51)</f>
        <v>1766</v>
      </c>
      <c r="AF52" s="71"/>
      <c r="AG52" s="71"/>
    </row>
    <row r="53" spans="1:33" x14ac:dyDescent="0.4">
      <c r="A53" s="30" t="s">
        <v>48</v>
      </c>
      <c r="B53" s="30"/>
      <c r="C53" s="72">
        <f t="shared" ref="C53:AD53" si="14">C52/$AE$52</f>
        <v>3.7938844847112116E-2</v>
      </c>
      <c r="D53" s="72">
        <f t="shared" si="14"/>
        <v>0</v>
      </c>
      <c r="E53" s="72">
        <f t="shared" si="14"/>
        <v>5.0396375990939976E-2</v>
      </c>
      <c r="F53" s="72">
        <f t="shared" si="14"/>
        <v>0.12117780294450736</v>
      </c>
      <c r="G53" s="72">
        <f t="shared" si="14"/>
        <v>0.10928652321630804</v>
      </c>
      <c r="H53" s="72">
        <f t="shared" si="14"/>
        <v>0.17553793884484711</v>
      </c>
      <c r="I53" s="72">
        <f t="shared" si="14"/>
        <v>5.8323895809739526E-2</v>
      </c>
      <c r="J53" s="72">
        <f t="shared" si="14"/>
        <v>0</v>
      </c>
      <c r="K53" s="72">
        <f t="shared" si="14"/>
        <v>1.5855039637599093E-2</v>
      </c>
      <c r="L53" s="72">
        <f t="shared" si="14"/>
        <v>8.4937712344280852E-3</v>
      </c>
      <c r="M53" s="72">
        <f t="shared" si="14"/>
        <v>3.9071347678369193E-2</v>
      </c>
      <c r="N53" s="72">
        <f t="shared" si="14"/>
        <v>3.114382785956965E-2</v>
      </c>
      <c r="O53" s="72">
        <f t="shared" si="14"/>
        <v>7.0215175537938851E-2</v>
      </c>
      <c r="P53" s="72">
        <f t="shared" si="14"/>
        <v>2.8878822197055492E-2</v>
      </c>
      <c r="Q53" s="72">
        <f t="shared" si="14"/>
        <v>0</v>
      </c>
      <c r="R53" s="72">
        <f t="shared" si="14"/>
        <v>7.4745186862967161E-2</v>
      </c>
      <c r="S53" s="72">
        <f t="shared" si="14"/>
        <v>0</v>
      </c>
      <c r="T53" s="72">
        <f t="shared" si="14"/>
        <v>0</v>
      </c>
      <c r="U53" s="72">
        <f t="shared" si="14"/>
        <v>0</v>
      </c>
      <c r="V53" s="72">
        <f t="shared" si="14"/>
        <v>2.8312570781426953E-2</v>
      </c>
      <c r="W53" s="72">
        <f t="shared" si="14"/>
        <v>0.1245753114382786</v>
      </c>
      <c r="X53" s="72">
        <f t="shared" si="14"/>
        <v>1.5288788221970554E-2</v>
      </c>
      <c r="Y53" s="72">
        <f t="shared" si="14"/>
        <v>1.0758776896942242E-2</v>
      </c>
      <c r="Z53" s="72">
        <f t="shared" si="14"/>
        <v>0</v>
      </c>
      <c r="AA53" s="72">
        <f t="shared" si="14"/>
        <v>0</v>
      </c>
      <c r="AB53" s="72">
        <f t="shared" si="14"/>
        <v>0</v>
      </c>
      <c r="AC53" s="72">
        <f t="shared" si="14"/>
        <v>0</v>
      </c>
      <c r="AD53" s="72">
        <f t="shared" si="14"/>
        <v>0</v>
      </c>
      <c r="AE53" s="30"/>
      <c r="AF53" s="30"/>
      <c r="AG53" s="30"/>
    </row>
    <row r="54" spans="1:33" x14ac:dyDescent="0.4">
      <c r="A54" s="5" t="s">
        <v>47</v>
      </c>
      <c r="B54" s="3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30"/>
      <c r="AF54" s="30"/>
      <c r="AG54" s="30"/>
    </row>
    <row r="55" spans="1:33" x14ac:dyDescent="0.4">
      <c r="A55" s="30" t="s">
        <v>40</v>
      </c>
      <c r="B55" s="30"/>
      <c r="C55" s="85">
        <v>200</v>
      </c>
      <c r="D55" s="73"/>
      <c r="E55" s="60"/>
      <c r="F55" s="60"/>
      <c r="G55" s="60"/>
      <c r="H55" s="60"/>
      <c r="I55" s="60"/>
      <c r="J55" s="60"/>
      <c r="K55" s="60"/>
      <c r="L55" s="60"/>
      <c r="M55" s="60"/>
      <c r="N55" s="60">
        <f>SUM(O52:Y52)</f>
        <v>623</v>
      </c>
      <c r="O55" s="60"/>
      <c r="P55" s="60"/>
      <c r="Q55" s="60"/>
      <c r="R55" s="60"/>
      <c r="S55" s="60"/>
      <c r="T55" s="60"/>
      <c r="U55" s="60"/>
      <c r="V55" s="60"/>
      <c r="W55" s="60"/>
      <c r="X55" s="60"/>
      <c r="Y55" s="60"/>
      <c r="Z55" s="60"/>
      <c r="AA55" s="60"/>
      <c r="AB55" s="60"/>
      <c r="AC55" s="60"/>
      <c r="AD55" s="60"/>
      <c r="AE55" s="30"/>
      <c r="AF55" s="30"/>
      <c r="AG55" s="30"/>
    </row>
    <row r="56" spans="1:33" x14ac:dyDescent="0.4">
      <c r="A56" s="30" t="s">
        <v>41</v>
      </c>
      <c r="B56" s="30"/>
      <c r="C56" s="7">
        <f>AE17/C55</f>
        <v>2.3199999999999998</v>
      </c>
      <c r="D56" s="74"/>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30"/>
      <c r="AF56" s="30"/>
      <c r="AG56" s="30"/>
    </row>
    <row r="57" spans="1:33" x14ac:dyDescent="0.4">
      <c r="A57" s="30" t="s">
        <v>42</v>
      </c>
      <c r="B57" s="30"/>
      <c r="C57" s="85">
        <v>304</v>
      </c>
      <c r="D57" s="73"/>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30"/>
      <c r="AF57" s="30"/>
      <c r="AG57" s="30"/>
    </row>
    <row r="58" spans="1:33" x14ac:dyDescent="0.4">
      <c r="A58" s="30" t="s">
        <v>43</v>
      </c>
      <c r="B58" s="30"/>
      <c r="C58" s="87">
        <f>AE34/C57</f>
        <v>4.2828947368421053</v>
      </c>
      <c r="D58" s="74"/>
      <c r="E58" s="60"/>
      <c r="F58" s="29" t="s">
        <v>62</v>
      </c>
      <c r="G58" s="60"/>
      <c r="H58" s="60"/>
      <c r="I58" s="60"/>
      <c r="J58" s="60"/>
      <c r="K58" s="60"/>
      <c r="L58" s="60"/>
      <c r="M58" s="60"/>
      <c r="N58" s="60"/>
      <c r="O58" s="60"/>
      <c r="P58" s="60"/>
      <c r="Q58" s="60"/>
      <c r="R58" s="60"/>
      <c r="S58" s="60"/>
      <c r="T58" s="60"/>
      <c r="U58" s="60"/>
      <c r="V58" s="60"/>
      <c r="W58" s="60"/>
      <c r="X58" s="60"/>
      <c r="Y58" s="60"/>
      <c r="Z58" s="60"/>
      <c r="AA58" s="60"/>
      <c r="AB58" s="60"/>
      <c r="AC58" s="60"/>
      <c r="AD58" s="60"/>
      <c r="AE58" s="30"/>
      <c r="AF58" s="30"/>
      <c r="AG58" s="30"/>
    </row>
    <row r="59" spans="1:33" x14ac:dyDescent="0.4">
      <c r="A59" s="30" t="s">
        <v>44</v>
      </c>
      <c r="B59" s="30"/>
      <c r="C59" s="85">
        <v>504</v>
      </c>
      <c r="D59" s="73"/>
      <c r="E59" s="60"/>
      <c r="F59" s="74"/>
      <c r="G59" s="60"/>
      <c r="H59" s="60"/>
      <c r="I59" s="60"/>
      <c r="J59" s="76" t="s">
        <v>86</v>
      </c>
      <c r="K59" s="60"/>
      <c r="L59" s="85">
        <v>0</v>
      </c>
      <c r="M59" s="60"/>
      <c r="N59" s="60"/>
      <c r="O59" s="60"/>
      <c r="P59" s="60"/>
      <c r="Q59" s="60"/>
      <c r="R59" s="60"/>
      <c r="S59" s="60"/>
      <c r="T59" s="60"/>
      <c r="U59" s="60"/>
      <c r="V59" s="60"/>
      <c r="W59" s="60"/>
      <c r="X59" s="60"/>
      <c r="Y59" s="60"/>
      <c r="Z59" s="60"/>
      <c r="AA59" s="60"/>
      <c r="AB59" s="60"/>
      <c r="AC59" s="60"/>
      <c r="AD59" s="60"/>
      <c r="AE59" s="30"/>
      <c r="AF59" s="30"/>
      <c r="AG59" s="30"/>
    </row>
    <row r="60" spans="1:33" x14ac:dyDescent="0.4">
      <c r="A60" s="30" t="s">
        <v>45</v>
      </c>
      <c r="B60" s="30"/>
      <c r="C60" s="87">
        <f>AE52/C59</f>
        <v>3.503968253968254</v>
      </c>
      <c r="D60" s="74"/>
      <c r="E60" s="60"/>
      <c r="F60" s="74"/>
      <c r="G60" s="64" t="s">
        <v>77</v>
      </c>
      <c r="H60" s="60"/>
      <c r="I60" s="60"/>
      <c r="J60" s="76" t="s">
        <v>82</v>
      </c>
      <c r="K60" s="60"/>
      <c r="L60" s="74">
        <v>0</v>
      </c>
      <c r="M60" s="60"/>
      <c r="N60" s="60"/>
      <c r="O60" s="60"/>
      <c r="P60" s="60"/>
      <c r="Q60" s="60"/>
      <c r="R60" s="60"/>
      <c r="S60" s="60"/>
      <c r="T60" s="60"/>
      <c r="U60" s="60"/>
      <c r="V60" s="60"/>
      <c r="W60" s="60"/>
      <c r="X60" s="60"/>
      <c r="Y60" s="60"/>
      <c r="Z60" s="60"/>
      <c r="AA60" s="60"/>
      <c r="AB60" s="60"/>
      <c r="AC60" s="60"/>
      <c r="AD60" s="60"/>
      <c r="AE60" s="30"/>
      <c r="AF60" s="30"/>
      <c r="AG60" s="30"/>
    </row>
    <row r="61" spans="1:33" x14ac:dyDescent="0.4">
      <c r="A61" s="30" t="s">
        <v>46</v>
      </c>
      <c r="B61" s="30"/>
      <c r="C61" s="74">
        <f>AE52/260</f>
        <v>6.7923076923076922</v>
      </c>
      <c r="D61" s="75"/>
      <c r="E61" s="60"/>
      <c r="F61" s="74"/>
      <c r="G61" s="64" t="s">
        <v>64</v>
      </c>
      <c r="H61" s="60"/>
      <c r="I61" s="60"/>
      <c r="J61" s="60"/>
      <c r="K61" s="60"/>
      <c r="L61" s="60"/>
      <c r="M61" s="60"/>
      <c r="N61" s="60"/>
      <c r="O61" s="60"/>
      <c r="P61" s="60"/>
      <c r="Q61" s="60"/>
      <c r="R61" s="60"/>
      <c r="S61" s="60"/>
      <c r="T61" s="60"/>
      <c r="U61" s="60"/>
      <c r="V61" s="60"/>
      <c r="W61" s="60"/>
      <c r="X61" s="60"/>
      <c r="Y61" s="60"/>
      <c r="Z61" s="60"/>
      <c r="AA61" s="60"/>
      <c r="AB61" s="60"/>
      <c r="AC61" s="60"/>
      <c r="AD61" s="60"/>
      <c r="AE61" s="30"/>
      <c r="AF61" s="30"/>
      <c r="AG61" s="30"/>
    </row>
    <row r="62" spans="1:33" x14ac:dyDescent="0.4">
      <c r="A62" s="5" t="s">
        <v>49</v>
      </c>
      <c r="B62" s="30"/>
      <c r="C62" s="60"/>
      <c r="D62" s="7"/>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30"/>
      <c r="AF62" s="30"/>
      <c r="AG62" s="30"/>
    </row>
    <row r="63" spans="1:33" x14ac:dyDescent="0.4">
      <c r="A63" s="30" t="s">
        <v>128</v>
      </c>
      <c r="B63" s="3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30"/>
      <c r="AF63" s="30"/>
      <c r="AG63" s="30"/>
    </row>
    <row r="64" spans="1:33" x14ac:dyDescent="0.4">
      <c r="A64" s="5" t="s">
        <v>56</v>
      </c>
      <c r="B64" s="3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30"/>
      <c r="AF64" s="30"/>
      <c r="AG64" s="30"/>
    </row>
    <row r="65" spans="1:33" x14ac:dyDescent="0.4">
      <c r="A65" s="30" t="s">
        <v>127</v>
      </c>
      <c r="B65" s="3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30"/>
      <c r="AF65" s="30"/>
      <c r="AG65" s="30"/>
    </row>
    <row r="66" spans="1:33" x14ac:dyDescent="0.4">
      <c r="A66" s="30"/>
      <c r="B66" s="3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30"/>
      <c r="AF66" s="30"/>
      <c r="AG66" s="30"/>
    </row>
    <row r="67" spans="1:33" x14ac:dyDescent="0.4">
      <c r="B67" s="30"/>
      <c r="C67" s="60"/>
      <c r="D67" s="7"/>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30"/>
      <c r="AF67" s="30"/>
      <c r="AG67" s="30"/>
    </row>
    <row r="68" spans="1:33" x14ac:dyDescent="0.4">
      <c r="A68" s="30"/>
      <c r="B68" s="3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30"/>
      <c r="AF68" s="30"/>
      <c r="AG68" s="30"/>
    </row>
    <row r="69" spans="1:33" x14ac:dyDescent="0.4">
      <c r="A69" s="30"/>
      <c r="B69" s="3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30"/>
      <c r="AF69" s="30"/>
      <c r="AG69" s="30"/>
    </row>
    <row r="70" spans="1:33" x14ac:dyDescent="0.4">
      <c r="A70" s="30"/>
      <c r="B70" s="3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30"/>
      <c r="AF70" s="30"/>
      <c r="AG70" s="30"/>
    </row>
    <row r="71" spans="1:33" x14ac:dyDescent="0.4">
      <c r="A71" s="30"/>
      <c r="B71" s="3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30"/>
      <c r="AF71" s="30"/>
      <c r="AG71" s="30"/>
    </row>
  </sheetData>
  <phoneticPr fontId="0" type="noConversion"/>
  <printOptions horizontalCentered="1" verticalCentered="1" gridLines="1" gridLinesSet="0"/>
  <pageMargins left="0" right="0" top="0.75" bottom="0.75" header="0.5" footer="0.5"/>
  <pageSetup scale="59" orientation="landscape"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71"/>
  <sheetViews>
    <sheetView zoomScale="70" zoomScaleNormal="70" workbookViewId="0">
      <selection activeCell="C18" sqref="C18"/>
    </sheetView>
  </sheetViews>
  <sheetFormatPr defaultRowHeight="12.7" x14ac:dyDescent="0.4"/>
  <cols>
    <col min="1" max="1" width="18.87890625" customWidth="1"/>
    <col min="2" max="2" width="6.29296875" customWidth="1"/>
    <col min="3" max="3" width="7" customWidth="1"/>
    <col min="4" max="4" width="6.41015625" customWidth="1"/>
    <col min="5" max="5" width="6.87890625" customWidth="1"/>
    <col min="6" max="6" width="7.29296875" customWidth="1"/>
    <col min="7" max="7" width="7.1171875" customWidth="1"/>
    <col min="8" max="8" width="7.29296875" customWidth="1"/>
    <col min="9" max="9" width="6.703125" customWidth="1"/>
    <col min="10" max="10" width="6.41015625" customWidth="1"/>
    <col min="11" max="12" width="6.29296875" customWidth="1"/>
    <col min="13" max="13" width="6.1171875" customWidth="1"/>
    <col min="14" max="17" width="6.703125" customWidth="1"/>
    <col min="18" max="18" width="6.52734375" customWidth="1"/>
    <col min="19" max="19" width="6.29296875" customWidth="1"/>
    <col min="20" max="21" width="6.41015625" customWidth="1"/>
    <col min="22" max="22" width="6.703125" customWidth="1"/>
    <col min="23" max="23" width="7.41015625" customWidth="1"/>
    <col min="24" max="24" width="6.29296875" customWidth="1"/>
    <col min="25" max="25" width="6.41015625" customWidth="1"/>
    <col min="26" max="26" width="6.29296875" customWidth="1"/>
    <col min="27" max="27" width="6" customWidth="1"/>
    <col min="28" max="28" width="6.41015625" customWidth="1"/>
    <col min="29" max="29" width="6.52734375" customWidth="1"/>
    <col min="30" max="30" width="6.41015625" customWidth="1"/>
    <col min="31" max="31" width="6.1171875" customWidth="1"/>
    <col min="32" max="32" width="7.52734375" customWidth="1"/>
    <col min="33" max="33" width="7.87890625" customWidth="1"/>
  </cols>
  <sheetData>
    <row r="1" spans="1:33" ht="13" thickBot="1" x14ac:dyDescent="0.45">
      <c r="A1" s="5" t="s">
        <v>106</v>
      </c>
      <c r="B1" s="30"/>
      <c r="C1" s="82" t="s">
        <v>130</v>
      </c>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30"/>
      <c r="AF1" s="30"/>
      <c r="AG1" s="30"/>
    </row>
    <row r="2" spans="1:33"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30"/>
      <c r="AG2" s="30"/>
    </row>
    <row r="3" spans="1:33" x14ac:dyDescent="0.4">
      <c r="A3" s="30" t="s">
        <v>34</v>
      </c>
      <c r="B3" s="3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78">
        <f>SUM(C3:AD3)</f>
        <v>0</v>
      </c>
      <c r="AF3" s="30"/>
      <c r="AG3" s="30"/>
    </row>
    <row r="4" spans="1:33" x14ac:dyDescent="0.4">
      <c r="A4" s="30" t="s">
        <v>35</v>
      </c>
      <c r="B4" s="30"/>
      <c r="C4" s="60"/>
      <c r="D4" s="60"/>
      <c r="E4" s="60"/>
      <c r="F4" s="60"/>
      <c r="G4" s="60"/>
      <c r="H4" s="60">
        <v>1</v>
      </c>
      <c r="I4" s="60">
        <v>2</v>
      </c>
      <c r="J4" s="60"/>
      <c r="K4" s="60"/>
      <c r="L4" s="60"/>
      <c r="M4" s="60"/>
      <c r="N4" s="60"/>
      <c r="O4" s="60"/>
      <c r="P4" s="60"/>
      <c r="Q4" s="60"/>
      <c r="R4" s="60">
        <v>1</v>
      </c>
      <c r="S4" s="60"/>
      <c r="T4" s="60"/>
      <c r="U4" s="60"/>
      <c r="V4" s="60"/>
      <c r="W4" s="60"/>
      <c r="X4" s="60"/>
      <c r="Y4" s="60"/>
      <c r="Z4" s="60"/>
      <c r="AA4" s="60"/>
      <c r="AB4" s="60"/>
      <c r="AC4" s="60"/>
      <c r="AD4" s="60"/>
      <c r="AE4" s="78">
        <f t="shared" ref="AE4:AE16" si="0">SUM(C4:AD4)</f>
        <v>4</v>
      </c>
      <c r="AF4" s="30"/>
      <c r="AG4" s="30"/>
    </row>
    <row r="5" spans="1:33" x14ac:dyDescent="0.4">
      <c r="A5" s="30" t="s">
        <v>16</v>
      </c>
      <c r="B5" s="30"/>
      <c r="C5" s="60"/>
      <c r="D5" s="60"/>
      <c r="E5" s="60"/>
      <c r="F5" s="60">
        <v>1</v>
      </c>
      <c r="G5" s="60">
        <v>2</v>
      </c>
      <c r="H5" s="60">
        <v>3</v>
      </c>
      <c r="I5" s="60">
        <v>2</v>
      </c>
      <c r="J5" s="60"/>
      <c r="K5" s="60"/>
      <c r="L5" s="60"/>
      <c r="M5" s="60">
        <v>1</v>
      </c>
      <c r="N5" s="60"/>
      <c r="O5" s="60"/>
      <c r="P5" s="60"/>
      <c r="Q5" s="60"/>
      <c r="R5" s="60">
        <v>1</v>
      </c>
      <c r="S5" s="60"/>
      <c r="T5" s="60"/>
      <c r="U5" s="60"/>
      <c r="V5" s="60"/>
      <c r="W5" s="60">
        <v>2</v>
      </c>
      <c r="X5" s="60"/>
      <c r="Y5" s="60"/>
      <c r="Z5" s="60"/>
      <c r="AA5" s="60"/>
      <c r="AB5" s="60"/>
      <c r="AC5" s="60"/>
      <c r="AD5" s="60"/>
      <c r="AE5" s="78">
        <f t="shared" si="0"/>
        <v>12</v>
      </c>
      <c r="AF5" s="30"/>
      <c r="AG5" s="30"/>
    </row>
    <row r="6" spans="1:33" x14ac:dyDescent="0.4">
      <c r="A6" s="30" t="s">
        <v>29</v>
      </c>
      <c r="B6" s="30"/>
      <c r="C6" s="60"/>
      <c r="D6" s="60"/>
      <c r="E6" s="60"/>
      <c r="F6" s="60"/>
      <c r="G6" s="60"/>
      <c r="H6" s="60">
        <v>1</v>
      </c>
      <c r="I6" s="60"/>
      <c r="J6" s="60"/>
      <c r="K6" s="60"/>
      <c r="L6" s="60"/>
      <c r="M6" s="60"/>
      <c r="N6" s="60"/>
      <c r="O6" s="60"/>
      <c r="P6" s="60"/>
      <c r="Q6" s="60"/>
      <c r="R6" s="60"/>
      <c r="S6" s="60"/>
      <c r="T6" s="60"/>
      <c r="U6" s="60"/>
      <c r="V6" s="60"/>
      <c r="W6" s="60"/>
      <c r="X6" s="60"/>
      <c r="Y6" s="60"/>
      <c r="Z6" s="60"/>
      <c r="AA6" s="60"/>
      <c r="AB6" s="60"/>
      <c r="AC6" s="60"/>
      <c r="AD6" s="60"/>
      <c r="AE6" s="78">
        <f t="shared" si="0"/>
        <v>1</v>
      </c>
      <c r="AF6" s="30"/>
      <c r="AG6" s="30"/>
    </row>
    <row r="7" spans="1:33" x14ac:dyDescent="0.4">
      <c r="A7" s="30" t="s">
        <v>18</v>
      </c>
      <c r="B7" s="30"/>
      <c r="C7" s="60"/>
      <c r="D7" s="60"/>
      <c r="E7" s="60"/>
      <c r="F7" s="60">
        <v>2</v>
      </c>
      <c r="G7" s="60"/>
      <c r="H7" s="60">
        <v>7</v>
      </c>
      <c r="I7" s="60">
        <v>4</v>
      </c>
      <c r="J7" s="60"/>
      <c r="K7" s="60"/>
      <c r="L7" s="60"/>
      <c r="M7" s="60">
        <v>3</v>
      </c>
      <c r="N7" s="60"/>
      <c r="O7" s="60"/>
      <c r="P7" s="60"/>
      <c r="Q7" s="60"/>
      <c r="R7" s="60">
        <v>2</v>
      </c>
      <c r="S7" s="60"/>
      <c r="T7" s="60"/>
      <c r="U7" s="60"/>
      <c r="V7" s="60"/>
      <c r="W7" s="60"/>
      <c r="X7" s="60"/>
      <c r="Y7" s="60"/>
      <c r="Z7" s="60"/>
      <c r="AA7" s="60"/>
      <c r="AB7" s="60"/>
      <c r="AC7" s="60"/>
      <c r="AD7" s="60"/>
      <c r="AE7" s="78">
        <f t="shared" si="0"/>
        <v>18</v>
      </c>
      <c r="AF7" s="30"/>
      <c r="AG7" s="30"/>
    </row>
    <row r="8" spans="1:33" x14ac:dyDescent="0.4">
      <c r="A8" s="30" t="s">
        <v>19</v>
      </c>
      <c r="B8" s="30"/>
      <c r="C8" s="60">
        <v>4</v>
      </c>
      <c r="D8" s="60"/>
      <c r="E8" s="60"/>
      <c r="F8" s="60">
        <v>3</v>
      </c>
      <c r="G8" s="60">
        <v>3</v>
      </c>
      <c r="H8" s="60">
        <v>11</v>
      </c>
      <c r="I8" s="60">
        <v>1</v>
      </c>
      <c r="J8" s="60"/>
      <c r="K8" s="60"/>
      <c r="L8" s="60"/>
      <c r="M8" s="60">
        <v>1</v>
      </c>
      <c r="N8" s="60"/>
      <c r="O8" s="60"/>
      <c r="P8" s="60"/>
      <c r="Q8" s="60"/>
      <c r="R8" s="60">
        <v>5</v>
      </c>
      <c r="S8" s="60"/>
      <c r="T8" s="60"/>
      <c r="U8" s="60"/>
      <c r="V8" s="60">
        <v>1</v>
      </c>
      <c r="W8" s="60"/>
      <c r="X8" s="60"/>
      <c r="Y8" s="60"/>
      <c r="Z8" s="60"/>
      <c r="AA8" s="60"/>
      <c r="AB8" s="60"/>
      <c r="AC8" s="60"/>
      <c r="AD8" s="60"/>
      <c r="AE8" s="78">
        <f t="shared" si="0"/>
        <v>29</v>
      </c>
      <c r="AF8" s="30"/>
      <c r="AG8" s="30"/>
    </row>
    <row r="9" spans="1:33" x14ac:dyDescent="0.4">
      <c r="A9" s="30" t="s">
        <v>20</v>
      </c>
      <c r="B9" s="3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78">
        <f t="shared" si="0"/>
        <v>0</v>
      </c>
      <c r="AF9" s="30"/>
      <c r="AG9" s="30"/>
    </row>
    <row r="10" spans="1:33" x14ac:dyDescent="0.4">
      <c r="A10" s="30" t="s">
        <v>21</v>
      </c>
      <c r="B10" s="30"/>
      <c r="C10" s="60">
        <v>2</v>
      </c>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78">
        <f t="shared" si="0"/>
        <v>2</v>
      </c>
      <c r="AF10" s="30"/>
      <c r="AG10" s="30"/>
    </row>
    <row r="11" spans="1:33" x14ac:dyDescent="0.4">
      <c r="A11" s="30" t="s">
        <v>98</v>
      </c>
      <c r="B11" s="30"/>
      <c r="C11" s="60"/>
      <c r="D11" s="60"/>
      <c r="E11" s="60"/>
      <c r="F11" s="60"/>
      <c r="G11" s="60"/>
      <c r="H11" s="60">
        <v>1</v>
      </c>
      <c r="I11" s="60"/>
      <c r="J11" s="60"/>
      <c r="K11" s="60"/>
      <c r="L11" s="60"/>
      <c r="M11" s="60"/>
      <c r="N11" s="60"/>
      <c r="O11" s="60"/>
      <c r="P11" s="60"/>
      <c r="Q11" s="60"/>
      <c r="R11" s="60"/>
      <c r="S11" s="60"/>
      <c r="T11" s="60"/>
      <c r="U11" s="60"/>
      <c r="V11" s="60"/>
      <c r="W11" s="60"/>
      <c r="X11" s="60"/>
      <c r="Y11" s="60"/>
      <c r="Z11" s="60"/>
      <c r="AA11" s="60"/>
      <c r="AB11" s="60"/>
      <c r="AC11" s="60"/>
      <c r="AD11" s="60"/>
      <c r="AE11" s="78">
        <f t="shared" si="0"/>
        <v>1</v>
      </c>
      <c r="AF11" s="30"/>
      <c r="AG11" s="30"/>
    </row>
    <row r="12" spans="1:33" x14ac:dyDescent="0.4">
      <c r="A12" s="30" t="s">
        <v>22</v>
      </c>
      <c r="B12" s="30"/>
      <c r="C12" s="60">
        <v>6</v>
      </c>
      <c r="D12" s="60"/>
      <c r="E12" s="60">
        <v>13</v>
      </c>
      <c r="F12" s="60">
        <v>11</v>
      </c>
      <c r="G12" s="60">
        <v>22</v>
      </c>
      <c r="H12" s="60">
        <v>27</v>
      </c>
      <c r="I12" s="60">
        <v>11</v>
      </c>
      <c r="J12" s="60"/>
      <c r="K12" s="60">
        <v>1</v>
      </c>
      <c r="L12" s="60">
        <v>7</v>
      </c>
      <c r="M12" s="60">
        <v>7</v>
      </c>
      <c r="N12" s="60">
        <v>5</v>
      </c>
      <c r="O12" s="60"/>
      <c r="P12" s="60">
        <v>1</v>
      </c>
      <c r="Q12" s="60"/>
      <c r="R12" s="60">
        <v>3</v>
      </c>
      <c r="S12" s="60"/>
      <c r="T12" s="60"/>
      <c r="U12" s="60"/>
      <c r="V12" s="60">
        <v>4</v>
      </c>
      <c r="W12" s="60">
        <v>13</v>
      </c>
      <c r="X12" s="60"/>
      <c r="Y12" s="60"/>
      <c r="Z12" s="60"/>
      <c r="AA12" s="60">
        <v>2</v>
      </c>
      <c r="AB12" s="60"/>
      <c r="AC12" s="60"/>
      <c r="AD12" s="60"/>
      <c r="AE12" s="78">
        <f t="shared" si="0"/>
        <v>133</v>
      </c>
      <c r="AF12" s="30"/>
      <c r="AG12" s="30"/>
    </row>
    <row r="13" spans="1:33" x14ac:dyDescent="0.4">
      <c r="A13" s="30" t="s">
        <v>23</v>
      </c>
      <c r="B13" s="30"/>
      <c r="C13" s="60">
        <v>3</v>
      </c>
      <c r="D13" s="60"/>
      <c r="E13" s="60">
        <v>1</v>
      </c>
      <c r="F13" s="60">
        <v>6</v>
      </c>
      <c r="G13" s="60">
        <v>13</v>
      </c>
      <c r="H13" s="60">
        <v>10</v>
      </c>
      <c r="I13" s="60">
        <v>2</v>
      </c>
      <c r="J13" s="60"/>
      <c r="K13" s="60"/>
      <c r="L13" s="60"/>
      <c r="M13" s="60">
        <v>2</v>
      </c>
      <c r="N13" s="60">
        <v>2</v>
      </c>
      <c r="O13" s="60"/>
      <c r="P13" s="60">
        <v>3</v>
      </c>
      <c r="Q13" s="60"/>
      <c r="R13" s="60">
        <v>2</v>
      </c>
      <c r="S13" s="60"/>
      <c r="T13" s="60"/>
      <c r="U13" s="60"/>
      <c r="V13" s="60"/>
      <c r="W13" s="60">
        <v>2</v>
      </c>
      <c r="X13" s="60"/>
      <c r="Y13" s="60"/>
      <c r="Z13" s="60"/>
      <c r="AA13" s="60"/>
      <c r="AB13" s="60"/>
      <c r="AC13" s="60"/>
      <c r="AD13" s="60"/>
      <c r="AE13" s="78">
        <f t="shared" si="0"/>
        <v>46</v>
      </c>
      <c r="AF13" s="30"/>
      <c r="AG13" s="30"/>
    </row>
    <row r="14" spans="1:33" x14ac:dyDescent="0.4">
      <c r="A14" s="30" t="s">
        <v>24</v>
      </c>
      <c r="B14" s="30"/>
      <c r="C14" s="60"/>
      <c r="D14" s="60"/>
      <c r="E14" s="60">
        <v>1</v>
      </c>
      <c r="F14" s="60">
        <v>4</v>
      </c>
      <c r="G14" s="60">
        <v>3</v>
      </c>
      <c r="H14" s="60">
        <v>6</v>
      </c>
      <c r="I14" s="60">
        <v>2</v>
      </c>
      <c r="J14" s="60"/>
      <c r="K14" s="60"/>
      <c r="L14" s="60"/>
      <c r="M14" s="60"/>
      <c r="N14" s="60"/>
      <c r="O14" s="60"/>
      <c r="P14" s="60"/>
      <c r="Q14" s="60"/>
      <c r="R14" s="60">
        <v>2</v>
      </c>
      <c r="S14" s="60"/>
      <c r="T14" s="60"/>
      <c r="U14" s="60"/>
      <c r="V14" s="60">
        <v>2</v>
      </c>
      <c r="W14" s="60">
        <v>2</v>
      </c>
      <c r="X14" s="60"/>
      <c r="Y14" s="60"/>
      <c r="Z14" s="60"/>
      <c r="AA14" s="60"/>
      <c r="AB14" s="60"/>
      <c r="AC14" s="60"/>
      <c r="AD14" s="60"/>
      <c r="AE14" s="78">
        <f t="shared" si="0"/>
        <v>22</v>
      </c>
      <c r="AF14" s="30"/>
      <c r="AG14" s="30"/>
    </row>
    <row r="15" spans="1:33" x14ac:dyDescent="0.4">
      <c r="A15" s="30" t="s">
        <v>111</v>
      </c>
      <c r="B15" s="3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78">
        <f t="shared" si="0"/>
        <v>0</v>
      </c>
      <c r="AF15" s="30"/>
      <c r="AG15" s="30"/>
    </row>
    <row r="16" spans="1:33" ht="13" thickBot="1" x14ac:dyDescent="0.45">
      <c r="A16" s="30" t="s">
        <v>36</v>
      </c>
      <c r="B16" s="30"/>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8">
        <f t="shared" si="0"/>
        <v>0</v>
      </c>
      <c r="AF16" s="30"/>
      <c r="AG16" s="30"/>
    </row>
    <row r="17" spans="1:33" x14ac:dyDescent="0.4">
      <c r="A17" s="30" t="s">
        <v>25</v>
      </c>
      <c r="B17" s="30"/>
      <c r="C17" s="60">
        <f>SUM(C3:C16)</f>
        <v>15</v>
      </c>
      <c r="D17" s="60">
        <f t="shared" ref="D17:AE17" si="1">SUM(D3:D16)</f>
        <v>0</v>
      </c>
      <c r="E17" s="60">
        <f t="shared" si="1"/>
        <v>15</v>
      </c>
      <c r="F17" s="60">
        <f t="shared" si="1"/>
        <v>27</v>
      </c>
      <c r="G17" s="60">
        <f t="shared" si="1"/>
        <v>43</v>
      </c>
      <c r="H17" s="60">
        <f t="shared" si="1"/>
        <v>67</v>
      </c>
      <c r="I17" s="60">
        <f t="shared" si="1"/>
        <v>24</v>
      </c>
      <c r="J17" s="60">
        <f t="shared" si="1"/>
        <v>0</v>
      </c>
      <c r="K17" s="60">
        <f t="shared" si="1"/>
        <v>1</v>
      </c>
      <c r="L17" s="60">
        <f t="shared" si="1"/>
        <v>7</v>
      </c>
      <c r="M17" s="60">
        <f t="shared" si="1"/>
        <v>14</v>
      </c>
      <c r="N17" s="60">
        <f t="shared" si="1"/>
        <v>7</v>
      </c>
      <c r="O17" s="60">
        <f t="shared" si="1"/>
        <v>0</v>
      </c>
      <c r="P17" s="60">
        <f t="shared" si="1"/>
        <v>4</v>
      </c>
      <c r="Q17" s="60">
        <f t="shared" si="1"/>
        <v>0</v>
      </c>
      <c r="R17" s="60">
        <f t="shared" si="1"/>
        <v>16</v>
      </c>
      <c r="S17" s="60">
        <f t="shared" si="1"/>
        <v>0</v>
      </c>
      <c r="T17" s="60">
        <f t="shared" si="1"/>
        <v>0</v>
      </c>
      <c r="U17" s="60">
        <f t="shared" si="1"/>
        <v>0</v>
      </c>
      <c r="V17" s="60">
        <f t="shared" si="1"/>
        <v>7</v>
      </c>
      <c r="W17" s="60">
        <f t="shared" si="1"/>
        <v>19</v>
      </c>
      <c r="X17" s="60">
        <f t="shared" si="1"/>
        <v>0</v>
      </c>
      <c r="Y17" s="60">
        <f t="shared" si="1"/>
        <v>0</v>
      </c>
      <c r="Z17" s="60">
        <f t="shared" si="1"/>
        <v>0</v>
      </c>
      <c r="AA17" s="60">
        <f t="shared" si="1"/>
        <v>2</v>
      </c>
      <c r="AB17" s="60">
        <f t="shared" si="1"/>
        <v>0</v>
      </c>
      <c r="AC17" s="60">
        <f t="shared" si="1"/>
        <v>0</v>
      </c>
      <c r="AD17" s="60">
        <f t="shared" si="1"/>
        <v>0</v>
      </c>
      <c r="AE17" s="30">
        <f t="shared" si="1"/>
        <v>268</v>
      </c>
      <c r="AF17" s="30"/>
      <c r="AG17" s="30"/>
    </row>
    <row r="18" spans="1:33" ht="13" thickBot="1" x14ac:dyDescent="0.45">
      <c r="A18" s="29" t="s">
        <v>107</v>
      </c>
      <c r="B18" s="30"/>
      <c r="C18" s="83" t="s">
        <v>131</v>
      </c>
      <c r="D18" s="64"/>
      <c r="E18" s="7"/>
      <c r="F18" s="29"/>
      <c r="G18" s="29" t="s">
        <v>126</v>
      </c>
      <c r="H18" s="60"/>
      <c r="I18" s="60"/>
      <c r="J18" s="82" t="s">
        <v>132</v>
      </c>
      <c r="K18" s="60"/>
      <c r="L18" s="60"/>
      <c r="M18" s="60"/>
      <c r="N18" s="60"/>
      <c r="O18" s="60"/>
      <c r="P18" s="60"/>
      <c r="Q18" s="60"/>
      <c r="R18" s="60"/>
      <c r="S18" s="60"/>
      <c r="T18" s="60"/>
      <c r="U18" s="60"/>
      <c r="V18" s="60"/>
      <c r="W18" s="60"/>
      <c r="X18" s="60"/>
      <c r="Y18" s="60"/>
      <c r="Z18" s="60"/>
      <c r="AA18" s="60"/>
      <c r="AB18" s="60"/>
      <c r="AC18" s="60"/>
      <c r="AD18" s="60"/>
      <c r="AE18" s="30"/>
      <c r="AF18" s="30"/>
      <c r="AG18" s="30"/>
    </row>
    <row r="19" spans="1:33" ht="13" thickBot="1" x14ac:dyDescent="0.45">
      <c r="A19" s="10" t="str">
        <f>A2</f>
        <v>BLIND #</v>
      </c>
      <c r="B19" s="14"/>
      <c r="C19" s="65">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30"/>
      <c r="AG19" s="30"/>
    </row>
    <row r="20" spans="1:33" x14ac:dyDescent="0.4">
      <c r="A20" s="30" t="str">
        <f>A3</f>
        <v>RUDDY</v>
      </c>
      <c r="B20" s="30"/>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78">
        <f>SUM(C20:AD20)</f>
        <v>0</v>
      </c>
      <c r="AF20" s="30"/>
      <c r="AG20" s="30"/>
    </row>
    <row r="21" spans="1:33" x14ac:dyDescent="0.4">
      <c r="A21" s="30" t="str">
        <f t="shared" ref="A21:A33" si="3">A4</f>
        <v>CANVASBACK</v>
      </c>
      <c r="B21" s="30"/>
      <c r="C21" s="60"/>
      <c r="D21" s="60"/>
      <c r="E21" s="60"/>
      <c r="F21" s="60"/>
      <c r="G21" s="60"/>
      <c r="H21" s="60">
        <v>2</v>
      </c>
      <c r="I21" s="60"/>
      <c r="J21" s="60"/>
      <c r="K21" s="60"/>
      <c r="L21" s="60"/>
      <c r="M21" s="60"/>
      <c r="N21" s="60"/>
      <c r="O21" s="60"/>
      <c r="P21" s="60"/>
      <c r="Q21" s="60"/>
      <c r="R21" s="60"/>
      <c r="S21" s="60"/>
      <c r="T21" s="60"/>
      <c r="U21" s="60"/>
      <c r="V21" s="60"/>
      <c r="W21" s="60">
        <v>1</v>
      </c>
      <c r="X21" s="60"/>
      <c r="Y21" s="60"/>
      <c r="Z21" s="60"/>
      <c r="AA21" s="60">
        <v>1</v>
      </c>
      <c r="AB21" s="60"/>
      <c r="AC21" s="60"/>
      <c r="AD21" s="60"/>
      <c r="AE21" s="78">
        <f t="shared" ref="AE21:AE33" si="4">SUM(C21:AD21)</f>
        <v>4</v>
      </c>
      <c r="AF21" s="30"/>
      <c r="AG21" s="30"/>
    </row>
    <row r="22" spans="1:33" x14ac:dyDescent="0.4">
      <c r="A22" s="30" t="str">
        <f t="shared" si="3"/>
        <v>GADWALL</v>
      </c>
      <c r="B22" s="30"/>
      <c r="C22" s="60">
        <v>2</v>
      </c>
      <c r="D22" s="60"/>
      <c r="E22" s="60">
        <v>1</v>
      </c>
      <c r="F22" s="60"/>
      <c r="G22" s="60">
        <v>3</v>
      </c>
      <c r="H22" s="60">
        <v>5</v>
      </c>
      <c r="I22" s="60">
        <v>2</v>
      </c>
      <c r="J22" s="60"/>
      <c r="K22" s="60"/>
      <c r="L22" s="60"/>
      <c r="M22" s="60"/>
      <c r="N22" s="60"/>
      <c r="O22" s="60"/>
      <c r="P22" s="60"/>
      <c r="Q22" s="60"/>
      <c r="R22" s="60">
        <v>1</v>
      </c>
      <c r="S22" s="60"/>
      <c r="T22" s="60"/>
      <c r="U22" s="60"/>
      <c r="V22" s="60"/>
      <c r="W22" s="60">
        <v>1</v>
      </c>
      <c r="X22" s="60"/>
      <c r="Y22" s="60"/>
      <c r="Z22" s="60"/>
      <c r="AA22" s="60">
        <v>1</v>
      </c>
      <c r="AB22" s="60"/>
      <c r="AC22" s="60"/>
      <c r="AD22" s="60"/>
      <c r="AE22" s="78">
        <f t="shared" si="4"/>
        <v>16</v>
      </c>
      <c r="AF22" s="30"/>
      <c r="AG22" s="30"/>
    </row>
    <row r="23" spans="1:33" x14ac:dyDescent="0.4">
      <c r="A23" s="30" t="str">
        <f t="shared" si="3"/>
        <v>GEESE</v>
      </c>
      <c r="B23" s="30"/>
      <c r="C23" s="60"/>
      <c r="D23" s="60"/>
      <c r="E23" s="60"/>
      <c r="F23" s="60"/>
      <c r="G23" s="60"/>
      <c r="H23" s="60"/>
      <c r="I23" s="60"/>
      <c r="J23" s="60"/>
      <c r="K23" s="60"/>
      <c r="L23" s="60"/>
      <c r="M23" s="60"/>
      <c r="N23" s="60"/>
      <c r="O23" s="60"/>
      <c r="P23" s="60"/>
      <c r="Q23" s="60"/>
      <c r="R23" s="60">
        <v>1</v>
      </c>
      <c r="S23" s="60"/>
      <c r="T23" s="60"/>
      <c r="U23" s="60"/>
      <c r="V23" s="60"/>
      <c r="W23" s="60"/>
      <c r="X23" s="60"/>
      <c r="Y23" s="60"/>
      <c r="Z23" s="60"/>
      <c r="AA23" s="60"/>
      <c r="AB23" s="60">
        <v>2</v>
      </c>
      <c r="AC23" s="60"/>
      <c r="AD23" s="60"/>
      <c r="AE23" s="78">
        <f t="shared" si="4"/>
        <v>3</v>
      </c>
      <c r="AF23" s="30"/>
      <c r="AG23" s="30"/>
    </row>
    <row r="24" spans="1:33" x14ac:dyDescent="0.4">
      <c r="A24" s="30" t="str">
        <f t="shared" si="3"/>
        <v>MALLARD</v>
      </c>
      <c r="B24" s="30"/>
      <c r="C24" s="60"/>
      <c r="D24" s="60"/>
      <c r="E24" s="60"/>
      <c r="F24" s="60"/>
      <c r="G24" s="60"/>
      <c r="H24" s="60">
        <v>1</v>
      </c>
      <c r="I24" s="60"/>
      <c r="J24" s="60"/>
      <c r="K24" s="60"/>
      <c r="L24" s="60"/>
      <c r="M24" s="60"/>
      <c r="N24" s="60"/>
      <c r="O24" s="60"/>
      <c r="P24" s="60"/>
      <c r="Q24" s="60"/>
      <c r="R24" s="60"/>
      <c r="S24" s="60"/>
      <c r="T24" s="60"/>
      <c r="U24" s="60"/>
      <c r="V24" s="60"/>
      <c r="W24" s="60"/>
      <c r="X24" s="60"/>
      <c r="Y24" s="60"/>
      <c r="Z24" s="60"/>
      <c r="AA24" s="60"/>
      <c r="AB24" s="60"/>
      <c r="AC24" s="60"/>
      <c r="AD24" s="60"/>
      <c r="AE24" s="78">
        <f t="shared" si="4"/>
        <v>1</v>
      </c>
      <c r="AF24" s="30"/>
      <c r="AG24" s="30"/>
    </row>
    <row r="25" spans="1:33" x14ac:dyDescent="0.4">
      <c r="A25" s="30" t="str">
        <f t="shared" si="3"/>
        <v>PINTAIL</v>
      </c>
      <c r="B25" s="30"/>
      <c r="C25" s="60">
        <v>1</v>
      </c>
      <c r="D25" s="60"/>
      <c r="E25" s="60">
        <v>1</v>
      </c>
      <c r="F25" s="60">
        <v>6</v>
      </c>
      <c r="G25" s="60">
        <v>1</v>
      </c>
      <c r="H25" s="60">
        <v>11</v>
      </c>
      <c r="I25" s="60">
        <v>5</v>
      </c>
      <c r="J25" s="60"/>
      <c r="K25" s="60"/>
      <c r="L25" s="60"/>
      <c r="M25" s="60">
        <v>1</v>
      </c>
      <c r="N25" s="60">
        <v>2</v>
      </c>
      <c r="O25" s="60">
        <v>2</v>
      </c>
      <c r="P25" s="60"/>
      <c r="Q25" s="60"/>
      <c r="R25" s="60">
        <v>5</v>
      </c>
      <c r="S25" s="60"/>
      <c r="T25" s="60"/>
      <c r="U25" s="60"/>
      <c r="V25" s="60">
        <v>7</v>
      </c>
      <c r="W25" s="60">
        <v>12</v>
      </c>
      <c r="X25" s="60"/>
      <c r="Y25" s="60"/>
      <c r="Z25" s="60"/>
      <c r="AA25" s="60">
        <v>6</v>
      </c>
      <c r="AB25" s="60"/>
      <c r="AC25" s="60"/>
      <c r="AD25" s="60"/>
      <c r="AE25" s="78">
        <f t="shared" si="4"/>
        <v>60</v>
      </c>
      <c r="AF25" s="30"/>
      <c r="AG25" s="30"/>
    </row>
    <row r="26" spans="1:33" x14ac:dyDescent="0.4">
      <c r="A26" s="30" t="str">
        <f t="shared" si="3"/>
        <v>REDHEAD</v>
      </c>
      <c r="B26" s="3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78">
        <f t="shared" si="4"/>
        <v>0</v>
      </c>
      <c r="AF26" s="30"/>
      <c r="AG26" s="30"/>
    </row>
    <row r="27" spans="1:33" x14ac:dyDescent="0.4">
      <c r="A27" s="30" t="str">
        <f t="shared" si="3"/>
        <v>RINGNECK</v>
      </c>
      <c r="B27" s="3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78">
        <f t="shared" si="4"/>
        <v>0</v>
      </c>
      <c r="AF27" s="30"/>
      <c r="AG27" s="30"/>
    </row>
    <row r="28" spans="1:33" x14ac:dyDescent="0.4">
      <c r="A28" s="30" t="str">
        <f t="shared" si="3"/>
        <v>B'HEAD</v>
      </c>
      <c r="B28" s="30"/>
      <c r="C28" s="60"/>
      <c r="D28" s="60"/>
      <c r="E28" s="60"/>
      <c r="F28" s="60">
        <v>2</v>
      </c>
      <c r="G28" s="60"/>
      <c r="H28" s="60"/>
      <c r="I28" s="60">
        <v>1</v>
      </c>
      <c r="J28" s="60"/>
      <c r="K28" s="60">
        <v>3</v>
      </c>
      <c r="L28" s="60"/>
      <c r="M28" s="60"/>
      <c r="N28" s="60"/>
      <c r="O28" s="60"/>
      <c r="P28" s="60"/>
      <c r="Q28" s="60"/>
      <c r="R28" s="60"/>
      <c r="S28" s="60"/>
      <c r="T28" s="60"/>
      <c r="U28" s="60"/>
      <c r="V28" s="60"/>
      <c r="W28" s="60">
        <v>1</v>
      </c>
      <c r="X28" s="60"/>
      <c r="Y28" s="60"/>
      <c r="Z28" s="60"/>
      <c r="AA28" s="60"/>
      <c r="AB28" s="60"/>
      <c r="AC28" s="60"/>
      <c r="AD28" s="60"/>
      <c r="AE28" s="78">
        <f t="shared" si="4"/>
        <v>7</v>
      </c>
      <c r="AF28" s="30"/>
      <c r="AG28" s="30"/>
    </row>
    <row r="29" spans="1:33" x14ac:dyDescent="0.4">
      <c r="A29" s="30" t="str">
        <f t="shared" si="3"/>
        <v>SPOONY</v>
      </c>
      <c r="B29" s="30"/>
      <c r="C29" s="60">
        <v>1</v>
      </c>
      <c r="D29" s="60"/>
      <c r="E29" s="60">
        <v>7</v>
      </c>
      <c r="F29" s="60">
        <v>5</v>
      </c>
      <c r="G29" s="60">
        <v>9</v>
      </c>
      <c r="H29" s="60">
        <v>15</v>
      </c>
      <c r="I29" s="60">
        <v>2</v>
      </c>
      <c r="J29" s="60"/>
      <c r="K29" s="60"/>
      <c r="L29" s="60">
        <v>2</v>
      </c>
      <c r="M29" s="60">
        <v>7</v>
      </c>
      <c r="N29" s="60">
        <v>1</v>
      </c>
      <c r="O29" s="60">
        <v>11</v>
      </c>
      <c r="P29" s="60">
        <v>4</v>
      </c>
      <c r="Q29" s="60"/>
      <c r="R29" s="60">
        <v>7</v>
      </c>
      <c r="S29" s="60">
        <v>2</v>
      </c>
      <c r="T29" s="60"/>
      <c r="U29" s="60">
        <v>1</v>
      </c>
      <c r="V29" s="60">
        <v>8</v>
      </c>
      <c r="W29" s="60">
        <v>22</v>
      </c>
      <c r="X29" s="60"/>
      <c r="Y29" s="60">
        <v>2</v>
      </c>
      <c r="Z29" s="60"/>
      <c r="AA29" s="60">
        <v>3</v>
      </c>
      <c r="AB29" s="60"/>
      <c r="AC29" s="60"/>
      <c r="AD29" s="60"/>
      <c r="AE29" s="78">
        <f t="shared" si="4"/>
        <v>109</v>
      </c>
      <c r="AF29" s="30"/>
      <c r="AG29" s="30"/>
    </row>
    <row r="30" spans="1:33" x14ac:dyDescent="0.4">
      <c r="A30" s="30" t="str">
        <f t="shared" si="3"/>
        <v>TEAL</v>
      </c>
      <c r="B30" s="30"/>
      <c r="C30" s="60">
        <v>34</v>
      </c>
      <c r="D30" s="60">
        <v>3</v>
      </c>
      <c r="E30" s="60">
        <v>27</v>
      </c>
      <c r="F30" s="60">
        <v>52</v>
      </c>
      <c r="G30" s="60">
        <v>28</v>
      </c>
      <c r="H30" s="60">
        <v>40</v>
      </c>
      <c r="I30" s="60">
        <v>27</v>
      </c>
      <c r="J30" s="60"/>
      <c r="K30" s="60">
        <v>2</v>
      </c>
      <c r="L30" s="60">
        <v>6</v>
      </c>
      <c r="M30" s="60">
        <v>21</v>
      </c>
      <c r="N30" s="60">
        <v>3</v>
      </c>
      <c r="O30" s="60">
        <v>27</v>
      </c>
      <c r="P30" s="60">
        <v>6</v>
      </c>
      <c r="Q30" s="60"/>
      <c r="R30" s="60">
        <v>43</v>
      </c>
      <c r="S30" s="60"/>
      <c r="T30" s="60"/>
      <c r="U30" s="60"/>
      <c r="V30" s="60">
        <v>27</v>
      </c>
      <c r="W30" s="60">
        <v>52</v>
      </c>
      <c r="X30" s="60">
        <v>2</v>
      </c>
      <c r="Y30" s="60"/>
      <c r="Z30" s="60"/>
      <c r="AA30" s="60">
        <v>27</v>
      </c>
      <c r="AB30" s="60">
        <v>3</v>
      </c>
      <c r="AC30" s="60"/>
      <c r="AD30" s="60"/>
      <c r="AE30" s="78">
        <f t="shared" si="4"/>
        <v>430</v>
      </c>
      <c r="AF30" s="30"/>
      <c r="AG30" s="30"/>
    </row>
    <row r="31" spans="1:33" x14ac:dyDescent="0.4">
      <c r="A31" s="30" t="str">
        <f t="shared" si="3"/>
        <v>WIDGEON</v>
      </c>
      <c r="B31" s="30"/>
      <c r="C31" s="60"/>
      <c r="D31" s="60">
        <v>1</v>
      </c>
      <c r="E31" s="60"/>
      <c r="F31" s="60">
        <v>2</v>
      </c>
      <c r="G31" s="60">
        <v>2</v>
      </c>
      <c r="H31" s="60">
        <v>5</v>
      </c>
      <c r="I31" s="60">
        <v>3</v>
      </c>
      <c r="J31" s="60"/>
      <c r="K31" s="60">
        <v>1</v>
      </c>
      <c r="L31" s="60"/>
      <c r="M31" s="60">
        <v>5</v>
      </c>
      <c r="N31" s="60">
        <v>1</v>
      </c>
      <c r="O31" s="60">
        <v>5</v>
      </c>
      <c r="P31" s="60">
        <v>1</v>
      </c>
      <c r="Q31" s="60"/>
      <c r="R31" s="60">
        <v>12</v>
      </c>
      <c r="S31" s="60"/>
      <c r="T31" s="60"/>
      <c r="U31" s="60"/>
      <c r="V31" s="60">
        <v>10</v>
      </c>
      <c r="W31" s="60">
        <v>21</v>
      </c>
      <c r="X31" s="60"/>
      <c r="Y31" s="60"/>
      <c r="Z31" s="60"/>
      <c r="AA31" s="60">
        <v>6</v>
      </c>
      <c r="AB31" s="60"/>
      <c r="AC31" s="60"/>
      <c r="AD31" s="60"/>
      <c r="AE31" s="78">
        <f t="shared" si="4"/>
        <v>75</v>
      </c>
      <c r="AF31" s="30"/>
      <c r="AG31" s="30"/>
    </row>
    <row r="32" spans="1:33" x14ac:dyDescent="0.4">
      <c r="A32" s="30" t="s">
        <v>111</v>
      </c>
      <c r="B32" s="30"/>
      <c r="C32" s="60"/>
      <c r="D32" s="60"/>
      <c r="E32" s="60">
        <v>1</v>
      </c>
      <c r="F32" s="60"/>
      <c r="G32" s="60">
        <v>1</v>
      </c>
      <c r="H32" s="60"/>
      <c r="I32" s="60"/>
      <c r="J32" s="60"/>
      <c r="K32" s="60"/>
      <c r="L32" s="60"/>
      <c r="M32" s="60"/>
      <c r="N32" s="60"/>
      <c r="O32" s="60"/>
      <c r="P32" s="60"/>
      <c r="Q32" s="60"/>
      <c r="R32" s="60"/>
      <c r="S32" s="60">
        <v>1</v>
      </c>
      <c r="T32" s="60"/>
      <c r="U32" s="60"/>
      <c r="V32" s="60"/>
      <c r="W32" s="60"/>
      <c r="X32" s="60"/>
      <c r="Y32" s="60"/>
      <c r="Z32" s="60"/>
      <c r="AA32" s="60"/>
      <c r="AB32" s="60"/>
      <c r="AC32" s="60"/>
      <c r="AD32" s="60"/>
      <c r="AE32" s="78">
        <f t="shared" si="4"/>
        <v>3</v>
      </c>
      <c r="AF32" s="30"/>
      <c r="AG32" s="30"/>
    </row>
    <row r="33" spans="1:33" ht="13" thickBot="1" x14ac:dyDescent="0.45">
      <c r="A33" s="30" t="str">
        <f t="shared" si="3"/>
        <v>MISC</v>
      </c>
      <c r="B33" s="30"/>
      <c r="C33" s="62"/>
      <c r="D33" s="62"/>
      <c r="E33" s="62"/>
      <c r="F33" s="62"/>
      <c r="G33" s="62"/>
      <c r="H33" s="62"/>
      <c r="I33" s="62"/>
      <c r="J33" s="62"/>
      <c r="K33" s="62"/>
      <c r="L33" s="62"/>
      <c r="M33" s="62"/>
      <c r="N33" s="62"/>
      <c r="O33" s="62"/>
      <c r="P33" s="62"/>
      <c r="Q33" s="62"/>
      <c r="R33" s="62">
        <v>1</v>
      </c>
      <c r="S33" s="62"/>
      <c r="T33" s="62"/>
      <c r="U33" s="62"/>
      <c r="V33" s="62"/>
      <c r="W33" s="62"/>
      <c r="X33" s="62"/>
      <c r="Y33" s="62">
        <v>2</v>
      </c>
      <c r="Z33" s="62"/>
      <c r="AA33" s="62"/>
      <c r="AB33" s="62"/>
      <c r="AC33" s="62"/>
      <c r="AD33" s="62"/>
      <c r="AE33" s="68">
        <f t="shared" si="4"/>
        <v>3</v>
      </c>
      <c r="AF33" s="30"/>
      <c r="AG33" s="30"/>
    </row>
    <row r="34" spans="1:33" x14ac:dyDescent="0.4">
      <c r="A34" s="30" t="s">
        <v>25</v>
      </c>
      <c r="B34" s="30"/>
      <c r="C34" s="60">
        <f>0+SUM(C20:C33)</f>
        <v>38</v>
      </c>
      <c r="D34" s="60">
        <f t="shared" ref="D34:AD34" si="5">0+SUM(D20:D33)</f>
        <v>4</v>
      </c>
      <c r="E34" s="60">
        <f t="shared" si="5"/>
        <v>37</v>
      </c>
      <c r="F34" s="60">
        <f t="shared" si="5"/>
        <v>67</v>
      </c>
      <c r="G34" s="60">
        <f t="shared" si="5"/>
        <v>44</v>
      </c>
      <c r="H34" s="60">
        <f t="shared" si="5"/>
        <v>79</v>
      </c>
      <c r="I34" s="60">
        <f t="shared" si="5"/>
        <v>40</v>
      </c>
      <c r="J34" s="60">
        <f t="shared" si="5"/>
        <v>0</v>
      </c>
      <c r="K34" s="60">
        <f t="shared" si="5"/>
        <v>6</v>
      </c>
      <c r="L34" s="60">
        <f t="shared" si="5"/>
        <v>8</v>
      </c>
      <c r="M34" s="60">
        <f t="shared" si="5"/>
        <v>34</v>
      </c>
      <c r="N34" s="60">
        <f t="shared" si="5"/>
        <v>7</v>
      </c>
      <c r="O34" s="60">
        <f t="shared" si="5"/>
        <v>45</v>
      </c>
      <c r="P34" s="60">
        <f t="shared" si="5"/>
        <v>11</v>
      </c>
      <c r="Q34" s="60">
        <f t="shared" si="5"/>
        <v>0</v>
      </c>
      <c r="R34" s="60">
        <f t="shared" si="5"/>
        <v>70</v>
      </c>
      <c r="S34" s="60">
        <f t="shared" si="5"/>
        <v>3</v>
      </c>
      <c r="T34" s="60">
        <f t="shared" si="5"/>
        <v>0</v>
      </c>
      <c r="U34" s="60">
        <f t="shared" si="5"/>
        <v>1</v>
      </c>
      <c r="V34" s="60">
        <f t="shared" si="5"/>
        <v>52</v>
      </c>
      <c r="W34" s="60">
        <f t="shared" si="5"/>
        <v>110</v>
      </c>
      <c r="X34" s="60">
        <f t="shared" si="5"/>
        <v>2</v>
      </c>
      <c r="Y34" s="60">
        <f t="shared" si="5"/>
        <v>4</v>
      </c>
      <c r="Z34" s="60">
        <f t="shared" si="5"/>
        <v>0</v>
      </c>
      <c r="AA34" s="60">
        <f t="shared" si="5"/>
        <v>44</v>
      </c>
      <c r="AB34" s="60">
        <f t="shared" si="5"/>
        <v>5</v>
      </c>
      <c r="AC34" s="60">
        <f t="shared" si="5"/>
        <v>0</v>
      </c>
      <c r="AD34" s="60">
        <f t="shared" si="5"/>
        <v>0</v>
      </c>
      <c r="AE34" s="30">
        <f>SUM(AE20:AE33)</f>
        <v>711</v>
      </c>
      <c r="AF34" s="30"/>
      <c r="AG34" s="30"/>
    </row>
    <row r="35" spans="1:33" ht="13" thickBot="1" x14ac:dyDescent="0.45">
      <c r="A35" s="30"/>
      <c r="B35" s="3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30"/>
      <c r="AF35" s="30"/>
      <c r="AG35" s="30"/>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65">
        <v>24</v>
      </c>
      <c r="AA37" s="65">
        <v>25</v>
      </c>
      <c r="AB37" s="65">
        <v>26</v>
      </c>
      <c r="AC37" s="65">
        <v>27</v>
      </c>
      <c r="AD37" s="65">
        <v>28</v>
      </c>
      <c r="AE37" s="13" t="s">
        <v>2</v>
      </c>
      <c r="AF37" s="26" t="s">
        <v>61</v>
      </c>
      <c r="AG37" s="27" t="s">
        <v>59</v>
      </c>
    </row>
    <row r="38" spans="1:33" x14ac:dyDescent="0.4">
      <c r="A38" s="30" t="str">
        <f>A20</f>
        <v>RUDDY</v>
      </c>
      <c r="B38" s="30"/>
      <c r="C38" s="60">
        <f t="shared" ref="C38:AD47" si="7">C3+C20</f>
        <v>0</v>
      </c>
      <c r="D38" s="60">
        <f t="shared" si="7"/>
        <v>0</v>
      </c>
      <c r="E38" s="60">
        <f t="shared" si="7"/>
        <v>0</v>
      </c>
      <c r="F38" s="60">
        <f t="shared" si="7"/>
        <v>0</v>
      </c>
      <c r="G38" s="60">
        <f t="shared" si="7"/>
        <v>0</v>
      </c>
      <c r="H38" s="60">
        <f t="shared" si="7"/>
        <v>0</v>
      </c>
      <c r="I38" s="60">
        <f t="shared" si="7"/>
        <v>0</v>
      </c>
      <c r="J38" s="60">
        <f t="shared" si="7"/>
        <v>0</v>
      </c>
      <c r="K38" s="60">
        <f t="shared" si="7"/>
        <v>0</v>
      </c>
      <c r="L38" s="60">
        <f t="shared" si="7"/>
        <v>0</v>
      </c>
      <c r="M38" s="60">
        <f t="shared" si="7"/>
        <v>0</v>
      </c>
      <c r="N38" s="60">
        <f t="shared" si="7"/>
        <v>0</v>
      </c>
      <c r="O38" s="60">
        <f t="shared" si="7"/>
        <v>0</v>
      </c>
      <c r="P38" s="60">
        <f t="shared" si="7"/>
        <v>0</v>
      </c>
      <c r="Q38" s="60">
        <f t="shared" si="7"/>
        <v>0</v>
      </c>
      <c r="R38" s="60">
        <f t="shared" si="7"/>
        <v>0</v>
      </c>
      <c r="S38" s="60">
        <f t="shared" si="7"/>
        <v>0</v>
      </c>
      <c r="T38" s="60">
        <f t="shared" si="7"/>
        <v>0</v>
      </c>
      <c r="U38" s="60">
        <f t="shared" si="7"/>
        <v>0</v>
      </c>
      <c r="V38" s="60">
        <f t="shared" si="7"/>
        <v>0</v>
      </c>
      <c r="W38" s="60">
        <f t="shared" si="7"/>
        <v>0</v>
      </c>
      <c r="X38" s="60">
        <f t="shared" si="7"/>
        <v>0</v>
      </c>
      <c r="Y38" s="60">
        <f t="shared" si="7"/>
        <v>0</v>
      </c>
      <c r="Z38" s="60">
        <f t="shared" si="7"/>
        <v>0</v>
      </c>
      <c r="AA38" s="60">
        <f t="shared" si="7"/>
        <v>0</v>
      </c>
      <c r="AB38" s="60">
        <f t="shared" si="7"/>
        <v>0</v>
      </c>
      <c r="AC38" s="60">
        <f t="shared" si="7"/>
        <v>0</v>
      </c>
      <c r="AD38" s="60">
        <f t="shared" si="7"/>
        <v>0</v>
      </c>
      <c r="AE38" s="77">
        <f>SUM(C38:AD38)</f>
        <v>0</v>
      </c>
      <c r="AF38" s="84">
        <f>AE38/$AE$52</f>
        <v>0</v>
      </c>
      <c r="AG38" s="67">
        <f>0/10068</f>
        <v>0</v>
      </c>
    </row>
    <row r="39" spans="1:33" x14ac:dyDescent="0.4">
      <c r="A39" s="30" t="str">
        <f t="shared" ref="A39:A50" si="8">A21</f>
        <v>CANVASBACK</v>
      </c>
      <c r="B39" s="30"/>
      <c r="C39" s="60">
        <f t="shared" si="7"/>
        <v>0</v>
      </c>
      <c r="D39" s="60">
        <f t="shared" si="7"/>
        <v>0</v>
      </c>
      <c r="E39" s="60">
        <f t="shared" si="7"/>
        <v>0</v>
      </c>
      <c r="F39" s="60">
        <f t="shared" si="7"/>
        <v>0</v>
      </c>
      <c r="G39" s="60">
        <f t="shared" si="7"/>
        <v>0</v>
      </c>
      <c r="H39" s="60">
        <f t="shared" si="7"/>
        <v>3</v>
      </c>
      <c r="I39" s="60">
        <f t="shared" si="7"/>
        <v>2</v>
      </c>
      <c r="J39" s="60">
        <f t="shared" si="7"/>
        <v>0</v>
      </c>
      <c r="K39" s="60">
        <f t="shared" si="7"/>
        <v>0</v>
      </c>
      <c r="L39" s="60">
        <f t="shared" si="7"/>
        <v>0</v>
      </c>
      <c r="M39" s="60">
        <f t="shared" si="7"/>
        <v>0</v>
      </c>
      <c r="N39" s="60">
        <f t="shared" si="7"/>
        <v>0</v>
      </c>
      <c r="O39" s="60">
        <f t="shared" si="7"/>
        <v>0</v>
      </c>
      <c r="P39" s="60">
        <f t="shared" si="7"/>
        <v>0</v>
      </c>
      <c r="Q39" s="60">
        <f t="shared" si="7"/>
        <v>0</v>
      </c>
      <c r="R39" s="60">
        <f t="shared" si="7"/>
        <v>1</v>
      </c>
      <c r="S39" s="60">
        <f t="shared" si="7"/>
        <v>0</v>
      </c>
      <c r="T39" s="60">
        <f t="shared" si="7"/>
        <v>0</v>
      </c>
      <c r="U39" s="60">
        <f t="shared" si="7"/>
        <v>0</v>
      </c>
      <c r="V39" s="60">
        <f t="shared" si="7"/>
        <v>0</v>
      </c>
      <c r="W39" s="60">
        <f t="shared" si="7"/>
        <v>1</v>
      </c>
      <c r="X39" s="60">
        <f t="shared" si="7"/>
        <v>0</v>
      </c>
      <c r="Y39" s="60">
        <f t="shared" si="7"/>
        <v>0</v>
      </c>
      <c r="Z39" s="60">
        <f t="shared" si="7"/>
        <v>0</v>
      </c>
      <c r="AA39" s="60">
        <f t="shared" si="7"/>
        <v>1</v>
      </c>
      <c r="AB39" s="60">
        <f t="shared" si="7"/>
        <v>0</v>
      </c>
      <c r="AC39" s="60">
        <f t="shared" si="7"/>
        <v>0</v>
      </c>
      <c r="AD39" s="60">
        <f t="shared" si="7"/>
        <v>0</v>
      </c>
      <c r="AE39" s="78">
        <f t="shared" ref="AE39:AE51" si="9">SUM(C39:AD39)</f>
        <v>8</v>
      </c>
      <c r="AF39" s="84">
        <f>AE39/$AE$52</f>
        <v>8.171603677221655E-3</v>
      </c>
      <c r="AG39" s="67">
        <v>0</v>
      </c>
    </row>
    <row r="40" spans="1:33" x14ac:dyDescent="0.4">
      <c r="A40" s="30" t="str">
        <f t="shared" si="8"/>
        <v>GADWALL</v>
      </c>
      <c r="B40" s="30"/>
      <c r="C40" s="60">
        <f t="shared" si="7"/>
        <v>2</v>
      </c>
      <c r="D40" s="60">
        <f t="shared" si="7"/>
        <v>0</v>
      </c>
      <c r="E40" s="60">
        <f t="shared" si="7"/>
        <v>1</v>
      </c>
      <c r="F40" s="60">
        <f t="shared" si="7"/>
        <v>1</v>
      </c>
      <c r="G40" s="60">
        <f t="shared" si="7"/>
        <v>5</v>
      </c>
      <c r="H40" s="60">
        <f t="shared" si="7"/>
        <v>8</v>
      </c>
      <c r="I40" s="60">
        <f t="shared" si="7"/>
        <v>4</v>
      </c>
      <c r="J40" s="60">
        <f t="shared" si="7"/>
        <v>0</v>
      </c>
      <c r="K40" s="60">
        <f t="shared" si="7"/>
        <v>0</v>
      </c>
      <c r="L40" s="60">
        <f t="shared" si="7"/>
        <v>0</v>
      </c>
      <c r="M40" s="60">
        <f t="shared" si="7"/>
        <v>1</v>
      </c>
      <c r="N40" s="60">
        <f t="shared" si="7"/>
        <v>0</v>
      </c>
      <c r="O40" s="60">
        <f t="shared" si="7"/>
        <v>0</v>
      </c>
      <c r="P40" s="60">
        <f t="shared" si="7"/>
        <v>0</v>
      </c>
      <c r="Q40" s="60">
        <f t="shared" si="7"/>
        <v>0</v>
      </c>
      <c r="R40" s="60">
        <f t="shared" si="7"/>
        <v>2</v>
      </c>
      <c r="S40" s="60">
        <f t="shared" si="7"/>
        <v>0</v>
      </c>
      <c r="T40" s="60">
        <f t="shared" si="7"/>
        <v>0</v>
      </c>
      <c r="U40" s="60">
        <f t="shared" si="7"/>
        <v>0</v>
      </c>
      <c r="V40" s="60">
        <f t="shared" si="7"/>
        <v>0</v>
      </c>
      <c r="W40" s="60">
        <f t="shared" si="7"/>
        <v>3</v>
      </c>
      <c r="X40" s="60">
        <f t="shared" si="7"/>
        <v>0</v>
      </c>
      <c r="Y40" s="60">
        <f t="shared" si="7"/>
        <v>0</v>
      </c>
      <c r="Z40" s="60">
        <f t="shared" si="7"/>
        <v>0</v>
      </c>
      <c r="AA40" s="60">
        <f t="shared" si="7"/>
        <v>1</v>
      </c>
      <c r="AB40" s="60">
        <f t="shared" si="7"/>
        <v>0</v>
      </c>
      <c r="AC40" s="60">
        <f t="shared" si="7"/>
        <v>0</v>
      </c>
      <c r="AD40" s="60">
        <f t="shared" si="7"/>
        <v>0</v>
      </c>
      <c r="AE40" s="78">
        <f t="shared" si="9"/>
        <v>28</v>
      </c>
      <c r="AF40" s="84">
        <f>AE40/$AE$52</f>
        <v>2.8600612870275793E-2</v>
      </c>
      <c r="AG40" s="67">
        <v>0</v>
      </c>
    </row>
    <row r="41" spans="1:33" x14ac:dyDescent="0.4">
      <c r="A41" s="30" t="str">
        <f t="shared" si="8"/>
        <v>GEESE</v>
      </c>
      <c r="B41" s="30"/>
      <c r="C41" s="60">
        <f t="shared" si="7"/>
        <v>0</v>
      </c>
      <c r="D41" s="60">
        <f t="shared" si="7"/>
        <v>0</v>
      </c>
      <c r="E41" s="60">
        <f t="shared" si="7"/>
        <v>0</v>
      </c>
      <c r="F41" s="60">
        <f t="shared" si="7"/>
        <v>0</v>
      </c>
      <c r="G41" s="60">
        <f t="shared" si="7"/>
        <v>0</v>
      </c>
      <c r="H41" s="60">
        <f t="shared" si="7"/>
        <v>1</v>
      </c>
      <c r="I41" s="60">
        <f t="shared" si="7"/>
        <v>0</v>
      </c>
      <c r="J41" s="60">
        <f t="shared" si="7"/>
        <v>0</v>
      </c>
      <c r="K41" s="60">
        <f t="shared" si="7"/>
        <v>0</v>
      </c>
      <c r="L41" s="60">
        <f t="shared" si="7"/>
        <v>0</v>
      </c>
      <c r="M41" s="60">
        <f t="shared" si="7"/>
        <v>0</v>
      </c>
      <c r="N41" s="60">
        <f t="shared" si="7"/>
        <v>0</v>
      </c>
      <c r="O41" s="60">
        <f t="shared" si="7"/>
        <v>0</v>
      </c>
      <c r="P41" s="60">
        <f t="shared" si="7"/>
        <v>0</v>
      </c>
      <c r="Q41" s="60">
        <f t="shared" si="7"/>
        <v>0</v>
      </c>
      <c r="R41" s="60">
        <f t="shared" si="7"/>
        <v>1</v>
      </c>
      <c r="S41" s="60">
        <f t="shared" si="7"/>
        <v>0</v>
      </c>
      <c r="T41" s="60">
        <f t="shared" si="7"/>
        <v>0</v>
      </c>
      <c r="U41" s="60">
        <f t="shared" si="7"/>
        <v>0</v>
      </c>
      <c r="V41" s="60">
        <f t="shared" si="7"/>
        <v>0</v>
      </c>
      <c r="W41" s="60">
        <f t="shared" si="7"/>
        <v>0</v>
      </c>
      <c r="X41" s="60">
        <f t="shared" si="7"/>
        <v>0</v>
      </c>
      <c r="Y41" s="60">
        <f t="shared" si="7"/>
        <v>0</v>
      </c>
      <c r="Z41" s="60">
        <f t="shared" si="7"/>
        <v>0</v>
      </c>
      <c r="AA41" s="60">
        <f t="shared" si="7"/>
        <v>0</v>
      </c>
      <c r="AB41" s="60">
        <f t="shared" si="7"/>
        <v>2</v>
      </c>
      <c r="AC41" s="60">
        <f t="shared" si="7"/>
        <v>0</v>
      </c>
      <c r="AD41" s="60">
        <f t="shared" si="7"/>
        <v>0</v>
      </c>
      <c r="AE41" s="78">
        <f t="shared" si="9"/>
        <v>4</v>
      </c>
      <c r="AF41" s="84">
        <f>AE41/$AE$52</f>
        <v>4.0858018386108275E-3</v>
      </c>
      <c r="AG41" s="67">
        <v>0</v>
      </c>
    </row>
    <row r="42" spans="1:33" x14ac:dyDescent="0.4">
      <c r="A42" s="30" t="str">
        <f t="shared" si="8"/>
        <v>MALLARD</v>
      </c>
      <c r="B42" s="30"/>
      <c r="C42" s="60">
        <f t="shared" si="7"/>
        <v>0</v>
      </c>
      <c r="D42" s="60">
        <f t="shared" si="7"/>
        <v>0</v>
      </c>
      <c r="E42" s="60">
        <f t="shared" si="7"/>
        <v>0</v>
      </c>
      <c r="F42" s="60">
        <f t="shared" si="7"/>
        <v>2</v>
      </c>
      <c r="G42" s="60">
        <f t="shared" si="7"/>
        <v>0</v>
      </c>
      <c r="H42" s="60">
        <f t="shared" si="7"/>
        <v>8</v>
      </c>
      <c r="I42" s="60">
        <f t="shared" si="7"/>
        <v>4</v>
      </c>
      <c r="J42" s="60">
        <f t="shared" si="7"/>
        <v>0</v>
      </c>
      <c r="K42" s="60">
        <f t="shared" si="7"/>
        <v>0</v>
      </c>
      <c r="L42" s="60">
        <f t="shared" si="7"/>
        <v>0</v>
      </c>
      <c r="M42" s="60">
        <f t="shared" si="7"/>
        <v>3</v>
      </c>
      <c r="N42" s="60">
        <f t="shared" si="7"/>
        <v>0</v>
      </c>
      <c r="O42" s="60">
        <f t="shared" si="7"/>
        <v>0</v>
      </c>
      <c r="P42" s="60">
        <f t="shared" si="7"/>
        <v>0</v>
      </c>
      <c r="Q42" s="60">
        <f t="shared" si="7"/>
        <v>0</v>
      </c>
      <c r="R42" s="60">
        <f t="shared" si="7"/>
        <v>2</v>
      </c>
      <c r="S42" s="60">
        <f t="shared" si="7"/>
        <v>0</v>
      </c>
      <c r="T42" s="60">
        <f t="shared" si="7"/>
        <v>0</v>
      </c>
      <c r="U42" s="60">
        <f t="shared" si="7"/>
        <v>0</v>
      </c>
      <c r="V42" s="60">
        <f t="shared" si="7"/>
        <v>0</v>
      </c>
      <c r="W42" s="60">
        <f t="shared" si="7"/>
        <v>0</v>
      </c>
      <c r="X42" s="60">
        <f t="shared" si="7"/>
        <v>0</v>
      </c>
      <c r="Y42" s="60">
        <f t="shared" si="7"/>
        <v>0</v>
      </c>
      <c r="Z42" s="60">
        <f t="shared" si="7"/>
        <v>0</v>
      </c>
      <c r="AA42" s="60">
        <f t="shared" si="7"/>
        <v>0</v>
      </c>
      <c r="AB42" s="60">
        <f t="shared" si="7"/>
        <v>0</v>
      </c>
      <c r="AC42" s="60">
        <f t="shared" si="7"/>
        <v>0</v>
      </c>
      <c r="AD42" s="60">
        <f t="shared" si="7"/>
        <v>0</v>
      </c>
      <c r="AE42" s="78">
        <f t="shared" si="9"/>
        <v>19</v>
      </c>
      <c r="AF42" s="84">
        <f t="shared" ref="AF42:AF51" si="10">AE42/$AE$52</f>
        <v>1.9407558733401432E-2</v>
      </c>
      <c r="AG42" s="67">
        <v>0</v>
      </c>
    </row>
    <row r="43" spans="1:33" x14ac:dyDescent="0.4">
      <c r="A43" s="30" t="str">
        <f t="shared" si="8"/>
        <v>PINTAIL</v>
      </c>
      <c r="B43" s="30"/>
      <c r="C43" s="60">
        <f t="shared" si="7"/>
        <v>5</v>
      </c>
      <c r="D43" s="60">
        <f t="shared" si="7"/>
        <v>0</v>
      </c>
      <c r="E43" s="60">
        <f t="shared" si="7"/>
        <v>1</v>
      </c>
      <c r="F43" s="60">
        <f t="shared" si="7"/>
        <v>9</v>
      </c>
      <c r="G43" s="60">
        <f t="shared" si="7"/>
        <v>4</v>
      </c>
      <c r="H43" s="60">
        <f t="shared" si="7"/>
        <v>22</v>
      </c>
      <c r="I43" s="60">
        <f t="shared" si="7"/>
        <v>6</v>
      </c>
      <c r="J43" s="60">
        <f t="shared" si="7"/>
        <v>0</v>
      </c>
      <c r="K43" s="60">
        <f t="shared" si="7"/>
        <v>0</v>
      </c>
      <c r="L43" s="60">
        <f t="shared" si="7"/>
        <v>0</v>
      </c>
      <c r="M43" s="60">
        <f t="shared" si="7"/>
        <v>2</v>
      </c>
      <c r="N43" s="60">
        <f t="shared" si="7"/>
        <v>2</v>
      </c>
      <c r="O43" s="60">
        <f t="shared" si="7"/>
        <v>2</v>
      </c>
      <c r="P43" s="60">
        <f t="shared" si="7"/>
        <v>0</v>
      </c>
      <c r="Q43" s="60">
        <f t="shared" si="7"/>
        <v>0</v>
      </c>
      <c r="R43" s="60">
        <f t="shared" si="7"/>
        <v>10</v>
      </c>
      <c r="S43" s="60">
        <f t="shared" si="7"/>
        <v>0</v>
      </c>
      <c r="T43" s="60">
        <f t="shared" si="7"/>
        <v>0</v>
      </c>
      <c r="U43" s="60">
        <f t="shared" si="7"/>
        <v>0</v>
      </c>
      <c r="V43" s="60">
        <f t="shared" si="7"/>
        <v>8</v>
      </c>
      <c r="W43" s="60">
        <f t="shared" si="7"/>
        <v>12</v>
      </c>
      <c r="X43" s="60">
        <f t="shared" si="7"/>
        <v>0</v>
      </c>
      <c r="Y43" s="60">
        <f t="shared" si="7"/>
        <v>0</v>
      </c>
      <c r="Z43" s="60">
        <f t="shared" si="7"/>
        <v>0</v>
      </c>
      <c r="AA43" s="60">
        <f t="shared" si="7"/>
        <v>6</v>
      </c>
      <c r="AB43" s="60">
        <f t="shared" si="7"/>
        <v>0</v>
      </c>
      <c r="AC43" s="60">
        <f t="shared" si="7"/>
        <v>0</v>
      </c>
      <c r="AD43" s="60">
        <f t="shared" si="7"/>
        <v>0</v>
      </c>
      <c r="AE43" s="78">
        <f t="shared" si="9"/>
        <v>89</v>
      </c>
      <c r="AF43" s="84">
        <f t="shared" si="10"/>
        <v>9.0909090909090912E-2</v>
      </c>
      <c r="AG43" s="67">
        <v>0</v>
      </c>
    </row>
    <row r="44" spans="1:33" x14ac:dyDescent="0.4">
      <c r="A44" s="30" t="str">
        <f t="shared" si="8"/>
        <v>REDHEAD</v>
      </c>
      <c r="B44" s="30"/>
      <c r="C44" s="60">
        <f t="shared" si="7"/>
        <v>0</v>
      </c>
      <c r="D44" s="60">
        <f t="shared" si="7"/>
        <v>0</v>
      </c>
      <c r="E44" s="60">
        <f t="shared" si="7"/>
        <v>0</v>
      </c>
      <c r="F44" s="60">
        <f t="shared" si="7"/>
        <v>0</v>
      </c>
      <c r="G44" s="60">
        <f t="shared" si="7"/>
        <v>0</v>
      </c>
      <c r="H44" s="60">
        <f t="shared" si="7"/>
        <v>0</v>
      </c>
      <c r="I44" s="60">
        <f t="shared" si="7"/>
        <v>0</v>
      </c>
      <c r="J44" s="60">
        <f t="shared" si="7"/>
        <v>0</v>
      </c>
      <c r="K44" s="60">
        <f t="shared" si="7"/>
        <v>0</v>
      </c>
      <c r="L44" s="60">
        <f t="shared" si="7"/>
        <v>0</v>
      </c>
      <c r="M44" s="60">
        <f t="shared" si="7"/>
        <v>0</v>
      </c>
      <c r="N44" s="60">
        <f t="shared" si="7"/>
        <v>0</v>
      </c>
      <c r="O44" s="60">
        <f t="shared" si="7"/>
        <v>0</v>
      </c>
      <c r="P44" s="60">
        <f t="shared" si="7"/>
        <v>0</v>
      </c>
      <c r="Q44" s="60">
        <f t="shared" si="7"/>
        <v>0</v>
      </c>
      <c r="R44" s="60">
        <f t="shared" si="7"/>
        <v>0</v>
      </c>
      <c r="S44" s="60">
        <f t="shared" si="7"/>
        <v>0</v>
      </c>
      <c r="T44" s="60">
        <f t="shared" si="7"/>
        <v>0</v>
      </c>
      <c r="U44" s="60">
        <f t="shared" si="7"/>
        <v>0</v>
      </c>
      <c r="V44" s="60">
        <f t="shared" si="7"/>
        <v>0</v>
      </c>
      <c r="W44" s="60">
        <f t="shared" si="7"/>
        <v>0</v>
      </c>
      <c r="X44" s="60">
        <f t="shared" si="7"/>
        <v>0</v>
      </c>
      <c r="Y44" s="60">
        <f t="shared" si="7"/>
        <v>0</v>
      </c>
      <c r="Z44" s="60">
        <f t="shared" si="7"/>
        <v>0</v>
      </c>
      <c r="AA44" s="60">
        <f t="shared" si="7"/>
        <v>0</v>
      </c>
      <c r="AB44" s="60">
        <f t="shared" si="7"/>
        <v>0</v>
      </c>
      <c r="AC44" s="60">
        <f t="shared" si="7"/>
        <v>0</v>
      </c>
      <c r="AD44" s="60">
        <f t="shared" si="7"/>
        <v>0</v>
      </c>
      <c r="AE44" s="78">
        <f t="shared" si="9"/>
        <v>0</v>
      </c>
      <c r="AF44" s="84">
        <f t="shared" si="10"/>
        <v>0</v>
      </c>
      <c r="AG44" s="67">
        <v>0</v>
      </c>
    </row>
    <row r="45" spans="1:33" x14ac:dyDescent="0.4">
      <c r="A45" s="30" t="str">
        <f t="shared" si="8"/>
        <v>RINGNECK</v>
      </c>
      <c r="B45" s="30"/>
      <c r="C45" s="60">
        <f t="shared" si="7"/>
        <v>2</v>
      </c>
      <c r="D45" s="60">
        <f t="shared" si="7"/>
        <v>0</v>
      </c>
      <c r="E45" s="60">
        <f t="shared" si="7"/>
        <v>0</v>
      </c>
      <c r="F45" s="60">
        <f t="shared" si="7"/>
        <v>0</v>
      </c>
      <c r="G45" s="60">
        <f t="shared" si="7"/>
        <v>0</v>
      </c>
      <c r="H45" s="60">
        <f t="shared" si="7"/>
        <v>0</v>
      </c>
      <c r="I45" s="60">
        <f t="shared" si="7"/>
        <v>0</v>
      </c>
      <c r="J45" s="60">
        <f t="shared" si="7"/>
        <v>0</v>
      </c>
      <c r="K45" s="60">
        <f t="shared" si="7"/>
        <v>0</v>
      </c>
      <c r="L45" s="60">
        <f t="shared" si="7"/>
        <v>0</v>
      </c>
      <c r="M45" s="60">
        <f t="shared" si="7"/>
        <v>0</v>
      </c>
      <c r="N45" s="60">
        <f t="shared" si="7"/>
        <v>0</v>
      </c>
      <c r="O45" s="60">
        <f t="shared" si="7"/>
        <v>0</v>
      </c>
      <c r="P45" s="60">
        <f t="shared" si="7"/>
        <v>0</v>
      </c>
      <c r="Q45" s="60">
        <f t="shared" si="7"/>
        <v>0</v>
      </c>
      <c r="R45" s="60">
        <f t="shared" si="7"/>
        <v>0</v>
      </c>
      <c r="S45" s="60">
        <f t="shared" si="7"/>
        <v>0</v>
      </c>
      <c r="T45" s="60">
        <f t="shared" si="7"/>
        <v>0</v>
      </c>
      <c r="U45" s="60">
        <f t="shared" si="7"/>
        <v>0</v>
      </c>
      <c r="V45" s="60">
        <f t="shared" si="7"/>
        <v>0</v>
      </c>
      <c r="W45" s="60">
        <f t="shared" si="7"/>
        <v>0</v>
      </c>
      <c r="X45" s="60">
        <f t="shared" si="7"/>
        <v>0</v>
      </c>
      <c r="Y45" s="60">
        <f t="shared" si="7"/>
        <v>0</v>
      </c>
      <c r="Z45" s="60">
        <f t="shared" si="7"/>
        <v>0</v>
      </c>
      <c r="AA45" s="60">
        <f t="shared" si="7"/>
        <v>0</v>
      </c>
      <c r="AB45" s="60">
        <f t="shared" si="7"/>
        <v>0</v>
      </c>
      <c r="AC45" s="60">
        <f t="shared" si="7"/>
        <v>0</v>
      </c>
      <c r="AD45" s="60">
        <f t="shared" si="7"/>
        <v>0</v>
      </c>
      <c r="AE45" s="78">
        <f t="shared" si="9"/>
        <v>2</v>
      </c>
      <c r="AF45" s="84">
        <f t="shared" si="10"/>
        <v>2.0429009193054137E-3</v>
      </c>
      <c r="AG45" s="67">
        <v>0</v>
      </c>
    </row>
    <row r="46" spans="1:33" x14ac:dyDescent="0.4">
      <c r="A46" s="30" t="str">
        <f t="shared" si="8"/>
        <v>B'HEAD</v>
      </c>
      <c r="B46" s="30"/>
      <c r="C46" s="60">
        <f t="shared" si="7"/>
        <v>0</v>
      </c>
      <c r="D46" s="60">
        <f t="shared" si="7"/>
        <v>0</v>
      </c>
      <c r="E46" s="60">
        <f t="shared" si="7"/>
        <v>0</v>
      </c>
      <c r="F46" s="60">
        <f t="shared" si="7"/>
        <v>2</v>
      </c>
      <c r="G46" s="60">
        <f t="shared" si="7"/>
        <v>0</v>
      </c>
      <c r="H46" s="60">
        <f t="shared" si="7"/>
        <v>1</v>
      </c>
      <c r="I46" s="60">
        <f t="shared" si="7"/>
        <v>1</v>
      </c>
      <c r="J46" s="60">
        <f t="shared" si="7"/>
        <v>0</v>
      </c>
      <c r="K46" s="60">
        <f t="shared" si="7"/>
        <v>3</v>
      </c>
      <c r="L46" s="60">
        <f t="shared" si="7"/>
        <v>0</v>
      </c>
      <c r="M46" s="60">
        <f t="shared" si="7"/>
        <v>0</v>
      </c>
      <c r="N46" s="60">
        <f t="shared" si="7"/>
        <v>0</v>
      </c>
      <c r="O46" s="60">
        <f t="shared" si="7"/>
        <v>0</v>
      </c>
      <c r="P46" s="60">
        <f t="shared" si="7"/>
        <v>0</v>
      </c>
      <c r="Q46" s="60">
        <f t="shared" si="7"/>
        <v>0</v>
      </c>
      <c r="R46" s="60">
        <f t="shared" si="7"/>
        <v>0</v>
      </c>
      <c r="S46" s="60">
        <f t="shared" si="7"/>
        <v>0</v>
      </c>
      <c r="T46" s="60">
        <f t="shared" si="7"/>
        <v>0</v>
      </c>
      <c r="U46" s="60">
        <f t="shared" si="7"/>
        <v>0</v>
      </c>
      <c r="V46" s="60">
        <f t="shared" si="7"/>
        <v>0</v>
      </c>
      <c r="W46" s="60">
        <f t="shared" si="7"/>
        <v>1</v>
      </c>
      <c r="X46" s="60">
        <f t="shared" si="7"/>
        <v>0</v>
      </c>
      <c r="Y46" s="60">
        <f t="shared" si="7"/>
        <v>0</v>
      </c>
      <c r="Z46" s="60">
        <f t="shared" si="7"/>
        <v>0</v>
      </c>
      <c r="AA46" s="60">
        <f t="shared" si="7"/>
        <v>0</v>
      </c>
      <c r="AB46" s="60">
        <f t="shared" si="7"/>
        <v>0</v>
      </c>
      <c r="AC46" s="60">
        <f t="shared" si="7"/>
        <v>0</v>
      </c>
      <c r="AD46" s="60">
        <f t="shared" si="7"/>
        <v>0</v>
      </c>
      <c r="AE46" s="78">
        <f t="shared" si="9"/>
        <v>8</v>
      </c>
      <c r="AF46" s="84">
        <f t="shared" si="10"/>
        <v>8.171603677221655E-3</v>
      </c>
      <c r="AG46" s="67">
        <v>0</v>
      </c>
    </row>
    <row r="47" spans="1:33" x14ac:dyDescent="0.4">
      <c r="A47" s="30" t="str">
        <f t="shared" si="8"/>
        <v>SPOONY</v>
      </c>
      <c r="B47" s="30"/>
      <c r="C47" s="60">
        <f t="shared" si="7"/>
        <v>7</v>
      </c>
      <c r="D47" s="60">
        <f t="shared" si="7"/>
        <v>0</v>
      </c>
      <c r="E47" s="60">
        <f t="shared" si="7"/>
        <v>20</v>
      </c>
      <c r="F47" s="60">
        <f t="shared" ref="C47:AD51" si="11">F12+F29</f>
        <v>16</v>
      </c>
      <c r="G47" s="60">
        <f t="shared" si="11"/>
        <v>31</v>
      </c>
      <c r="H47" s="60">
        <f t="shared" si="11"/>
        <v>42</v>
      </c>
      <c r="I47" s="60">
        <f t="shared" si="11"/>
        <v>13</v>
      </c>
      <c r="J47" s="60">
        <f t="shared" si="11"/>
        <v>0</v>
      </c>
      <c r="K47" s="60">
        <f t="shared" si="11"/>
        <v>1</v>
      </c>
      <c r="L47" s="60">
        <f t="shared" si="11"/>
        <v>9</v>
      </c>
      <c r="M47" s="60">
        <f t="shared" si="11"/>
        <v>14</v>
      </c>
      <c r="N47" s="60">
        <f t="shared" si="11"/>
        <v>6</v>
      </c>
      <c r="O47" s="60">
        <f t="shared" si="11"/>
        <v>11</v>
      </c>
      <c r="P47" s="60">
        <f t="shared" si="11"/>
        <v>5</v>
      </c>
      <c r="Q47" s="60">
        <f t="shared" si="11"/>
        <v>0</v>
      </c>
      <c r="R47" s="60">
        <f t="shared" si="11"/>
        <v>10</v>
      </c>
      <c r="S47" s="60">
        <f t="shared" si="11"/>
        <v>2</v>
      </c>
      <c r="T47" s="60">
        <f t="shared" si="11"/>
        <v>0</v>
      </c>
      <c r="U47" s="60">
        <f t="shared" si="11"/>
        <v>1</v>
      </c>
      <c r="V47" s="60">
        <f t="shared" si="11"/>
        <v>12</v>
      </c>
      <c r="W47" s="60">
        <f t="shared" si="11"/>
        <v>35</v>
      </c>
      <c r="X47" s="60">
        <f t="shared" si="11"/>
        <v>0</v>
      </c>
      <c r="Y47" s="60">
        <f t="shared" si="11"/>
        <v>2</v>
      </c>
      <c r="Z47" s="60">
        <f t="shared" si="11"/>
        <v>0</v>
      </c>
      <c r="AA47" s="60">
        <f t="shared" si="11"/>
        <v>5</v>
      </c>
      <c r="AB47" s="60">
        <f t="shared" si="11"/>
        <v>0</v>
      </c>
      <c r="AC47" s="60">
        <f t="shared" si="11"/>
        <v>0</v>
      </c>
      <c r="AD47" s="60">
        <f t="shared" si="11"/>
        <v>0</v>
      </c>
      <c r="AE47" s="78">
        <f t="shared" si="9"/>
        <v>242</v>
      </c>
      <c r="AF47" s="84">
        <f>AE47/$AE$52</f>
        <v>0.24719101123595505</v>
      </c>
      <c r="AG47" s="67">
        <v>0</v>
      </c>
    </row>
    <row r="48" spans="1:33" x14ac:dyDescent="0.4">
      <c r="A48" s="30" t="str">
        <f t="shared" si="8"/>
        <v>TEAL</v>
      </c>
      <c r="B48" s="30"/>
      <c r="C48" s="60">
        <f t="shared" si="11"/>
        <v>37</v>
      </c>
      <c r="D48" s="60">
        <f t="shared" si="11"/>
        <v>3</v>
      </c>
      <c r="E48" s="60">
        <f t="shared" si="11"/>
        <v>28</v>
      </c>
      <c r="F48" s="60">
        <f t="shared" si="11"/>
        <v>58</v>
      </c>
      <c r="G48" s="60">
        <f t="shared" si="11"/>
        <v>41</v>
      </c>
      <c r="H48" s="60">
        <f t="shared" si="11"/>
        <v>50</v>
      </c>
      <c r="I48" s="60">
        <f t="shared" si="11"/>
        <v>29</v>
      </c>
      <c r="J48" s="60">
        <f t="shared" si="11"/>
        <v>0</v>
      </c>
      <c r="K48" s="60">
        <f t="shared" si="11"/>
        <v>2</v>
      </c>
      <c r="L48" s="60">
        <f t="shared" si="11"/>
        <v>6</v>
      </c>
      <c r="M48" s="60">
        <f t="shared" si="11"/>
        <v>23</v>
      </c>
      <c r="N48" s="60">
        <f t="shared" si="11"/>
        <v>5</v>
      </c>
      <c r="O48" s="60">
        <f t="shared" si="11"/>
        <v>27</v>
      </c>
      <c r="P48" s="60">
        <f t="shared" si="11"/>
        <v>9</v>
      </c>
      <c r="Q48" s="60">
        <f t="shared" si="11"/>
        <v>0</v>
      </c>
      <c r="R48" s="60">
        <f t="shared" si="11"/>
        <v>45</v>
      </c>
      <c r="S48" s="60">
        <f t="shared" si="11"/>
        <v>0</v>
      </c>
      <c r="T48" s="60">
        <f t="shared" si="11"/>
        <v>0</v>
      </c>
      <c r="U48" s="60">
        <f t="shared" si="11"/>
        <v>0</v>
      </c>
      <c r="V48" s="60">
        <f t="shared" si="11"/>
        <v>27</v>
      </c>
      <c r="W48" s="60">
        <f t="shared" si="11"/>
        <v>54</v>
      </c>
      <c r="X48" s="60">
        <f t="shared" si="11"/>
        <v>2</v>
      </c>
      <c r="Y48" s="60">
        <f t="shared" si="11"/>
        <v>0</v>
      </c>
      <c r="Z48" s="60">
        <f t="shared" si="11"/>
        <v>0</v>
      </c>
      <c r="AA48" s="60">
        <f t="shared" si="11"/>
        <v>27</v>
      </c>
      <c r="AB48" s="60">
        <f t="shared" si="11"/>
        <v>3</v>
      </c>
      <c r="AC48" s="60">
        <f t="shared" si="11"/>
        <v>0</v>
      </c>
      <c r="AD48" s="60">
        <f t="shared" si="11"/>
        <v>0</v>
      </c>
      <c r="AE48" s="78">
        <f t="shared" si="9"/>
        <v>476</v>
      </c>
      <c r="AF48" s="84">
        <f t="shared" si="10"/>
        <v>0.48621041879468846</v>
      </c>
      <c r="AG48" s="67">
        <v>0</v>
      </c>
    </row>
    <row r="49" spans="1:33" x14ac:dyDescent="0.4">
      <c r="A49" s="30" t="str">
        <f t="shared" si="8"/>
        <v>WIDGEON</v>
      </c>
      <c r="B49" s="30"/>
      <c r="C49" s="60">
        <f t="shared" si="11"/>
        <v>0</v>
      </c>
      <c r="D49" s="60">
        <f t="shared" si="11"/>
        <v>1</v>
      </c>
      <c r="E49" s="60">
        <f t="shared" si="11"/>
        <v>1</v>
      </c>
      <c r="F49" s="60">
        <f t="shared" si="11"/>
        <v>6</v>
      </c>
      <c r="G49" s="60">
        <f t="shared" si="11"/>
        <v>5</v>
      </c>
      <c r="H49" s="60">
        <f t="shared" si="11"/>
        <v>11</v>
      </c>
      <c r="I49" s="60">
        <f t="shared" si="11"/>
        <v>5</v>
      </c>
      <c r="J49" s="60">
        <f t="shared" si="11"/>
        <v>0</v>
      </c>
      <c r="K49" s="60">
        <f t="shared" si="11"/>
        <v>1</v>
      </c>
      <c r="L49" s="60">
        <f t="shared" si="11"/>
        <v>0</v>
      </c>
      <c r="M49" s="60">
        <f t="shared" si="11"/>
        <v>5</v>
      </c>
      <c r="N49" s="60">
        <f t="shared" si="11"/>
        <v>1</v>
      </c>
      <c r="O49" s="60">
        <f t="shared" si="11"/>
        <v>5</v>
      </c>
      <c r="P49" s="60">
        <f t="shared" si="11"/>
        <v>1</v>
      </c>
      <c r="Q49" s="60">
        <f t="shared" si="11"/>
        <v>0</v>
      </c>
      <c r="R49" s="60">
        <f t="shared" si="11"/>
        <v>14</v>
      </c>
      <c r="S49" s="60">
        <f t="shared" si="11"/>
        <v>0</v>
      </c>
      <c r="T49" s="60">
        <f t="shared" si="11"/>
        <v>0</v>
      </c>
      <c r="U49" s="60">
        <f t="shared" si="11"/>
        <v>0</v>
      </c>
      <c r="V49" s="60">
        <f t="shared" si="11"/>
        <v>12</v>
      </c>
      <c r="W49" s="60">
        <f t="shared" si="11"/>
        <v>23</v>
      </c>
      <c r="X49" s="60">
        <f t="shared" si="11"/>
        <v>0</v>
      </c>
      <c r="Y49" s="60">
        <f t="shared" si="11"/>
        <v>0</v>
      </c>
      <c r="Z49" s="60">
        <f t="shared" si="11"/>
        <v>0</v>
      </c>
      <c r="AA49" s="60">
        <f t="shared" si="11"/>
        <v>6</v>
      </c>
      <c r="AB49" s="60">
        <f t="shared" si="11"/>
        <v>0</v>
      </c>
      <c r="AC49" s="60">
        <f t="shared" si="11"/>
        <v>0</v>
      </c>
      <c r="AD49" s="60">
        <f t="shared" si="11"/>
        <v>0</v>
      </c>
      <c r="AE49" s="78">
        <f t="shared" si="9"/>
        <v>97</v>
      </c>
      <c r="AF49" s="84">
        <f t="shared" si="10"/>
        <v>9.9080694586312565E-2</v>
      </c>
      <c r="AG49" s="67">
        <v>0</v>
      </c>
    </row>
    <row r="50" spans="1:33" x14ac:dyDescent="0.4">
      <c r="A50" s="30" t="str">
        <f t="shared" si="8"/>
        <v>SCAUP</v>
      </c>
      <c r="B50" s="30"/>
      <c r="C50" s="60">
        <f t="shared" si="11"/>
        <v>0</v>
      </c>
      <c r="D50" s="60">
        <f t="shared" si="11"/>
        <v>0</v>
      </c>
      <c r="E50" s="60">
        <f t="shared" si="11"/>
        <v>1</v>
      </c>
      <c r="F50" s="60">
        <f t="shared" si="11"/>
        <v>0</v>
      </c>
      <c r="G50" s="60">
        <f t="shared" si="11"/>
        <v>1</v>
      </c>
      <c r="H50" s="60">
        <f t="shared" si="11"/>
        <v>0</v>
      </c>
      <c r="I50" s="60">
        <f t="shared" si="11"/>
        <v>0</v>
      </c>
      <c r="J50" s="60">
        <f t="shared" si="11"/>
        <v>0</v>
      </c>
      <c r="K50" s="60">
        <f t="shared" si="11"/>
        <v>0</v>
      </c>
      <c r="L50" s="60">
        <f t="shared" si="11"/>
        <v>0</v>
      </c>
      <c r="M50" s="60">
        <f t="shared" si="11"/>
        <v>0</v>
      </c>
      <c r="N50" s="60">
        <f t="shared" si="11"/>
        <v>0</v>
      </c>
      <c r="O50" s="60">
        <f t="shared" si="11"/>
        <v>0</v>
      </c>
      <c r="P50" s="60">
        <f t="shared" si="11"/>
        <v>0</v>
      </c>
      <c r="Q50" s="60">
        <f t="shared" si="11"/>
        <v>0</v>
      </c>
      <c r="R50" s="60">
        <f t="shared" si="11"/>
        <v>0</v>
      </c>
      <c r="S50" s="60">
        <f t="shared" si="11"/>
        <v>1</v>
      </c>
      <c r="T50" s="60">
        <f t="shared" si="11"/>
        <v>0</v>
      </c>
      <c r="U50" s="60">
        <f t="shared" si="11"/>
        <v>0</v>
      </c>
      <c r="V50" s="60">
        <f t="shared" si="11"/>
        <v>0</v>
      </c>
      <c r="W50" s="60">
        <f t="shared" si="11"/>
        <v>0</v>
      </c>
      <c r="X50" s="60">
        <f>X15+X32</f>
        <v>0</v>
      </c>
      <c r="Y50" s="60">
        <f>Y15+Y32</f>
        <v>0</v>
      </c>
      <c r="Z50" s="60">
        <f t="shared" si="11"/>
        <v>0</v>
      </c>
      <c r="AA50" s="60">
        <f t="shared" si="11"/>
        <v>0</v>
      </c>
      <c r="AB50" s="60">
        <f t="shared" si="11"/>
        <v>0</v>
      </c>
      <c r="AC50" s="60">
        <f t="shared" si="11"/>
        <v>0</v>
      </c>
      <c r="AD50" s="60">
        <f t="shared" si="11"/>
        <v>0</v>
      </c>
      <c r="AE50" s="78">
        <f t="shared" si="9"/>
        <v>3</v>
      </c>
      <c r="AF50" s="84">
        <f t="shared" si="10"/>
        <v>3.0643513789581204E-3</v>
      </c>
      <c r="AG50" s="67">
        <v>0</v>
      </c>
    </row>
    <row r="51" spans="1:33" ht="13" thickBot="1" x14ac:dyDescent="0.45">
      <c r="A51" s="30" t="s">
        <v>58</v>
      </c>
      <c r="B51" s="30"/>
      <c r="C51" s="62">
        <f t="shared" si="11"/>
        <v>0</v>
      </c>
      <c r="D51" s="62">
        <f t="shared" si="11"/>
        <v>0</v>
      </c>
      <c r="E51" s="62">
        <f t="shared" si="11"/>
        <v>0</v>
      </c>
      <c r="F51" s="62">
        <f t="shared" si="11"/>
        <v>0</v>
      </c>
      <c r="G51" s="62">
        <f t="shared" si="11"/>
        <v>0</v>
      </c>
      <c r="H51" s="62">
        <f t="shared" si="11"/>
        <v>0</v>
      </c>
      <c r="I51" s="62">
        <f t="shared" si="11"/>
        <v>0</v>
      </c>
      <c r="J51" s="62">
        <f t="shared" si="11"/>
        <v>0</v>
      </c>
      <c r="K51" s="62">
        <f t="shared" si="11"/>
        <v>0</v>
      </c>
      <c r="L51" s="62">
        <f t="shared" si="11"/>
        <v>0</v>
      </c>
      <c r="M51" s="62">
        <f t="shared" si="11"/>
        <v>0</v>
      </c>
      <c r="N51" s="62">
        <f t="shared" si="11"/>
        <v>0</v>
      </c>
      <c r="O51" s="62">
        <f t="shared" si="11"/>
        <v>0</v>
      </c>
      <c r="P51" s="62">
        <f t="shared" si="11"/>
        <v>0</v>
      </c>
      <c r="Q51" s="62">
        <f t="shared" si="11"/>
        <v>0</v>
      </c>
      <c r="R51" s="62">
        <f t="shared" si="11"/>
        <v>1</v>
      </c>
      <c r="S51" s="62">
        <f t="shared" si="11"/>
        <v>0</v>
      </c>
      <c r="T51" s="62">
        <f t="shared" si="11"/>
        <v>0</v>
      </c>
      <c r="U51" s="62">
        <f t="shared" si="11"/>
        <v>0</v>
      </c>
      <c r="V51" s="62">
        <f>V16+V33</f>
        <v>0</v>
      </c>
      <c r="W51" s="62">
        <f>W16+W33</f>
        <v>0</v>
      </c>
      <c r="X51" s="62">
        <f>X16+X33</f>
        <v>0</v>
      </c>
      <c r="Y51" s="62">
        <f>Y16+Y33</f>
        <v>2</v>
      </c>
      <c r="Z51" s="62">
        <f t="shared" si="11"/>
        <v>0</v>
      </c>
      <c r="AA51" s="62">
        <f t="shared" si="11"/>
        <v>0</v>
      </c>
      <c r="AB51" s="62">
        <f t="shared" si="11"/>
        <v>0</v>
      </c>
      <c r="AC51" s="62">
        <f t="shared" si="11"/>
        <v>0</v>
      </c>
      <c r="AD51" s="62">
        <f t="shared" si="11"/>
        <v>0</v>
      </c>
      <c r="AE51" s="68">
        <f t="shared" si="9"/>
        <v>3</v>
      </c>
      <c r="AF51" s="86">
        <f t="shared" si="10"/>
        <v>3.0643513789581204E-3</v>
      </c>
      <c r="AG51" s="70">
        <v>0</v>
      </c>
    </row>
    <row r="52" spans="1:33" x14ac:dyDescent="0.4">
      <c r="A52" s="30" t="s">
        <v>25</v>
      </c>
      <c r="B52" s="30"/>
      <c r="C52" s="60">
        <f>0+SUM(C38:C51)</f>
        <v>53</v>
      </c>
      <c r="D52" s="60">
        <f t="shared" ref="D52:U52" si="12">0+SUM(D38:D51)</f>
        <v>4</v>
      </c>
      <c r="E52" s="60">
        <f t="shared" si="12"/>
        <v>52</v>
      </c>
      <c r="F52" s="60">
        <f t="shared" si="12"/>
        <v>94</v>
      </c>
      <c r="G52" s="60">
        <f t="shared" si="12"/>
        <v>87</v>
      </c>
      <c r="H52" s="60">
        <f t="shared" si="12"/>
        <v>146</v>
      </c>
      <c r="I52" s="60">
        <f t="shared" si="12"/>
        <v>64</v>
      </c>
      <c r="J52" s="60">
        <f t="shared" si="12"/>
        <v>0</v>
      </c>
      <c r="K52" s="60">
        <f t="shared" si="12"/>
        <v>7</v>
      </c>
      <c r="L52" s="60">
        <f t="shared" si="12"/>
        <v>15</v>
      </c>
      <c r="M52" s="60">
        <f t="shared" si="12"/>
        <v>48</v>
      </c>
      <c r="N52" s="60">
        <f t="shared" si="12"/>
        <v>14</v>
      </c>
      <c r="O52" s="60">
        <f t="shared" si="12"/>
        <v>45</v>
      </c>
      <c r="P52" s="60">
        <f t="shared" si="12"/>
        <v>15</v>
      </c>
      <c r="Q52" s="60">
        <f t="shared" si="12"/>
        <v>0</v>
      </c>
      <c r="R52" s="60">
        <f t="shared" si="12"/>
        <v>86</v>
      </c>
      <c r="S52" s="60">
        <f t="shared" si="12"/>
        <v>3</v>
      </c>
      <c r="T52" s="60">
        <f t="shared" si="12"/>
        <v>0</v>
      </c>
      <c r="U52" s="60">
        <f t="shared" si="12"/>
        <v>1</v>
      </c>
      <c r="V52" s="60">
        <f>0+SUM(V38:V51)</f>
        <v>59</v>
      </c>
      <c r="W52" s="60">
        <f>0+SUM(W38:W51)</f>
        <v>129</v>
      </c>
      <c r="X52" s="60">
        <f>SUM(X17,X34)</f>
        <v>2</v>
      </c>
      <c r="Y52" s="60">
        <f t="shared" ref="Y52:AD52" si="13">0+SUM(Y38:Y51)</f>
        <v>4</v>
      </c>
      <c r="Z52" s="60">
        <f t="shared" si="13"/>
        <v>0</v>
      </c>
      <c r="AA52" s="60">
        <f t="shared" si="13"/>
        <v>46</v>
      </c>
      <c r="AB52" s="60">
        <f t="shared" si="13"/>
        <v>5</v>
      </c>
      <c r="AC52" s="60">
        <f t="shared" si="13"/>
        <v>0</v>
      </c>
      <c r="AD52" s="60">
        <f t="shared" si="13"/>
        <v>0</v>
      </c>
      <c r="AE52" s="30">
        <f>SUM(AE38:AE51)</f>
        <v>979</v>
      </c>
      <c r="AF52" s="71"/>
      <c r="AG52" s="71"/>
    </row>
    <row r="53" spans="1:33" x14ac:dyDescent="0.4">
      <c r="A53" s="30" t="s">
        <v>48</v>
      </c>
      <c r="B53" s="30"/>
      <c r="C53" s="72">
        <f t="shared" ref="C53:AD53" si="14">C52/$AE$52</f>
        <v>5.4136874361593465E-2</v>
      </c>
      <c r="D53" s="72">
        <f t="shared" si="14"/>
        <v>4.0858018386108275E-3</v>
      </c>
      <c r="E53" s="72">
        <f t="shared" si="14"/>
        <v>5.3115423901940753E-2</v>
      </c>
      <c r="F53" s="72">
        <f t="shared" si="14"/>
        <v>9.6016343207354443E-2</v>
      </c>
      <c r="G53" s="72">
        <f t="shared" si="14"/>
        <v>8.8866189989785502E-2</v>
      </c>
      <c r="H53" s="72">
        <f t="shared" si="14"/>
        <v>0.14913176710929521</v>
      </c>
      <c r="I53" s="72">
        <f t="shared" si="14"/>
        <v>6.537282941777324E-2</v>
      </c>
      <c r="J53" s="72">
        <f t="shared" si="14"/>
        <v>0</v>
      </c>
      <c r="K53" s="72">
        <f t="shared" si="14"/>
        <v>7.1501532175689483E-3</v>
      </c>
      <c r="L53" s="72">
        <f t="shared" si="14"/>
        <v>1.5321756894790603E-2</v>
      </c>
      <c r="M53" s="72">
        <f t="shared" si="14"/>
        <v>4.9029622063329927E-2</v>
      </c>
      <c r="N53" s="72">
        <f t="shared" si="14"/>
        <v>1.4300306435137897E-2</v>
      </c>
      <c r="O53" s="72">
        <f t="shared" si="14"/>
        <v>4.5965270684371805E-2</v>
      </c>
      <c r="P53" s="72">
        <f t="shared" si="14"/>
        <v>1.5321756894790603E-2</v>
      </c>
      <c r="Q53" s="72">
        <f t="shared" si="14"/>
        <v>0</v>
      </c>
      <c r="R53" s="72">
        <f t="shared" si="14"/>
        <v>8.784473953013279E-2</v>
      </c>
      <c r="S53" s="72">
        <f t="shared" si="14"/>
        <v>3.0643513789581204E-3</v>
      </c>
      <c r="T53" s="72">
        <f t="shared" si="14"/>
        <v>0</v>
      </c>
      <c r="U53" s="72">
        <f t="shared" si="14"/>
        <v>1.0214504596527069E-3</v>
      </c>
      <c r="V53" s="72">
        <f t="shared" si="14"/>
        <v>6.0265577119509701E-2</v>
      </c>
      <c r="W53" s="72">
        <f t="shared" si="14"/>
        <v>0.13176710929519919</v>
      </c>
      <c r="X53" s="72">
        <f t="shared" si="14"/>
        <v>2.0429009193054137E-3</v>
      </c>
      <c r="Y53" s="72">
        <f t="shared" si="14"/>
        <v>4.0858018386108275E-3</v>
      </c>
      <c r="Z53" s="72">
        <f t="shared" si="14"/>
        <v>0</v>
      </c>
      <c r="AA53" s="72">
        <f t="shared" si="14"/>
        <v>4.6986721144024517E-2</v>
      </c>
      <c r="AB53" s="72">
        <f t="shared" si="14"/>
        <v>5.1072522982635342E-3</v>
      </c>
      <c r="AC53" s="72">
        <f t="shared" si="14"/>
        <v>0</v>
      </c>
      <c r="AD53" s="72">
        <f t="shared" si="14"/>
        <v>0</v>
      </c>
      <c r="AE53" s="30"/>
      <c r="AF53" s="30"/>
      <c r="AG53" s="30"/>
    </row>
    <row r="54" spans="1:33" x14ac:dyDescent="0.4">
      <c r="A54" s="5" t="s">
        <v>47</v>
      </c>
      <c r="B54" s="3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30"/>
      <c r="AF54" s="30"/>
      <c r="AG54" s="30"/>
    </row>
    <row r="55" spans="1:33" x14ac:dyDescent="0.4">
      <c r="A55" s="30" t="s">
        <v>40</v>
      </c>
      <c r="B55" s="30"/>
      <c r="C55" s="85">
        <v>162</v>
      </c>
      <c r="D55" s="73"/>
      <c r="E55" s="60"/>
      <c r="F55" s="60"/>
      <c r="G55" s="60"/>
      <c r="H55" s="60"/>
      <c r="I55" s="60"/>
      <c r="J55" s="60"/>
      <c r="K55" s="60"/>
      <c r="L55" s="60"/>
      <c r="M55" s="60"/>
      <c r="N55" s="60">
        <f>SUM(O52:Y52)</f>
        <v>344</v>
      </c>
      <c r="O55" s="60"/>
      <c r="P55" s="60"/>
      <c r="Q55" s="60"/>
      <c r="R55" s="60"/>
      <c r="S55" s="60"/>
      <c r="T55" s="60"/>
      <c r="U55" s="60"/>
      <c r="V55" s="60"/>
      <c r="W55" s="60"/>
      <c r="X55" s="60"/>
      <c r="Y55" s="60"/>
      <c r="Z55" s="60"/>
      <c r="AA55" s="60"/>
      <c r="AB55" s="60"/>
      <c r="AC55" s="60"/>
      <c r="AD55" s="60"/>
      <c r="AE55" s="30"/>
      <c r="AF55" s="30"/>
      <c r="AG55" s="30"/>
    </row>
    <row r="56" spans="1:33" x14ac:dyDescent="0.4">
      <c r="A56" s="30" t="s">
        <v>41</v>
      </c>
      <c r="B56" s="30"/>
      <c r="C56" s="87">
        <f>AE17/C55</f>
        <v>1.654320987654321</v>
      </c>
      <c r="D56" s="74"/>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30"/>
      <c r="AF56" s="30"/>
      <c r="AG56" s="30"/>
    </row>
    <row r="57" spans="1:33" x14ac:dyDescent="0.4">
      <c r="A57" s="30" t="s">
        <v>42</v>
      </c>
      <c r="B57" s="30"/>
      <c r="C57" s="85">
        <v>308</v>
      </c>
      <c r="D57" s="73"/>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30"/>
      <c r="AF57" s="30"/>
      <c r="AG57" s="30"/>
    </row>
    <row r="58" spans="1:33" x14ac:dyDescent="0.4">
      <c r="A58" s="30" t="s">
        <v>43</v>
      </c>
      <c r="B58" s="30"/>
      <c r="C58" s="87">
        <f>AE34/C57</f>
        <v>2.3084415584415585</v>
      </c>
      <c r="D58" s="74"/>
      <c r="E58" s="60"/>
      <c r="F58" s="29" t="s">
        <v>62</v>
      </c>
      <c r="G58" s="60"/>
      <c r="H58" s="60"/>
      <c r="I58" s="60"/>
      <c r="J58" s="60"/>
      <c r="K58" s="60"/>
      <c r="L58" s="60"/>
      <c r="M58" s="60"/>
      <c r="N58" s="60"/>
      <c r="O58" s="60"/>
      <c r="P58" s="60"/>
      <c r="Q58" s="60"/>
      <c r="R58" s="60"/>
      <c r="S58" s="60"/>
      <c r="T58" s="60"/>
      <c r="U58" s="60"/>
      <c r="V58" s="60"/>
      <c r="W58" s="60"/>
      <c r="X58" s="60"/>
      <c r="Y58" s="60"/>
      <c r="Z58" s="60"/>
      <c r="AA58" s="60"/>
      <c r="AB58" s="60"/>
      <c r="AC58" s="60"/>
      <c r="AD58" s="60"/>
      <c r="AE58" s="30"/>
      <c r="AF58" s="30"/>
      <c r="AG58" s="30"/>
    </row>
    <row r="59" spans="1:33" x14ac:dyDescent="0.4">
      <c r="A59" s="30" t="s">
        <v>44</v>
      </c>
      <c r="B59" s="30"/>
      <c r="C59" s="85">
        <v>504</v>
      </c>
      <c r="D59" s="73"/>
      <c r="E59" s="60"/>
      <c r="F59" s="74"/>
      <c r="G59" s="60"/>
      <c r="H59" s="60"/>
      <c r="I59" s="60"/>
      <c r="J59" s="76" t="s">
        <v>86</v>
      </c>
      <c r="K59" s="60"/>
      <c r="L59" s="85">
        <v>0</v>
      </c>
      <c r="M59" s="60"/>
      <c r="N59" s="60"/>
      <c r="O59" s="60"/>
      <c r="P59" s="60"/>
      <c r="Q59" s="60"/>
      <c r="R59" s="60"/>
      <c r="S59" s="60"/>
      <c r="T59" s="60"/>
      <c r="U59" s="60"/>
      <c r="V59" s="60"/>
      <c r="W59" s="60"/>
      <c r="X59" s="60"/>
      <c r="Y59" s="60"/>
      <c r="Z59" s="60"/>
      <c r="AA59" s="60"/>
      <c r="AB59" s="60"/>
      <c r="AC59" s="60"/>
      <c r="AD59" s="60"/>
      <c r="AE59" s="30"/>
      <c r="AF59" s="30"/>
      <c r="AG59" s="30"/>
    </row>
    <row r="60" spans="1:33" x14ac:dyDescent="0.4">
      <c r="A60" s="30" t="s">
        <v>45</v>
      </c>
      <c r="B60" s="30"/>
      <c r="C60" s="87">
        <f>AE52/C59</f>
        <v>1.9424603174603174</v>
      </c>
      <c r="D60" s="74"/>
      <c r="E60" s="60"/>
      <c r="F60" s="74"/>
      <c r="G60" s="64" t="s">
        <v>77</v>
      </c>
      <c r="H60" s="60"/>
      <c r="I60" s="60"/>
      <c r="J60" s="76" t="s">
        <v>82</v>
      </c>
      <c r="K60" s="60"/>
      <c r="L60" s="74">
        <v>0</v>
      </c>
      <c r="M60" s="60"/>
      <c r="N60" s="60"/>
      <c r="O60" s="60"/>
      <c r="P60" s="60"/>
      <c r="Q60" s="60"/>
      <c r="R60" s="60"/>
      <c r="S60" s="60"/>
      <c r="T60" s="60"/>
      <c r="U60" s="60"/>
      <c r="V60" s="60"/>
      <c r="W60" s="60"/>
      <c r="X60" s="60"/>
      <c r="Y60" s="60"/>
      <c r="Z60" s="60"/>
      <c r="AA60" s="60"/>
      <c r="AB60" s="60"/>
      <c r="AC60" s="60"/>
      <c r="AD60" s="60"/>
      <c r="AE60" s="30"/>
      <c r="AF60" s="30"/>
      <c r="AG60" s="30"/>
    </row>
    <row r="61" spans="1:33" x14ac:dyDescent="0.4">
      <c r="A61" s="30" t="s">
        <v>46</v>
      </c>
      <c r="B61" s="30"/>
      <c r="C61" s="74">
        <f>AE52/300</f>
        <v>3.2633333333333332</v>
      </c>
      <c r="D61" s="75"/>
      <c r="E61" s="60"/>
      <c r="F61" s="74"/>
      <c r="G61" s="64" t="s">
        <v>64</v>
      </c>
      <c r="H61" s="60"/>
      <c r="I61" s="60"/>
      <c r="J61" s="60"/>
      <c r="K61" s="60"/>
      <c r="L61" s="60"/>
      <c r="M61" s="60"/>
      <c r="N61" s="60"/>
      <c r="O61" s="60"/>
      <c r="P61" s="60"/>
      <c r="Q61" s="60"/>
      <c r="R61" s="60"/>
      <c r="S61" s="60"/>
      <c r="T61" s="60"/>
      <c r="U61" s="60"/>
      <c r="V61" s="60"/>
      <c r="W61" s="60"/>
      <c r="X61" s="60"/>
      <c r="Y61" s="60"/>
      <c r="Z61" s="60"/>
      <c r="AA61" s="60"/>
      <c r="AB61" s="60"/>
      <c r="AC61" s="60"/>
      <c r="AD61" s="60"/>
      <c r="AE61" s="30"/>
      <c r="AF61" s="30"/>
      <c r="AG61" s="30"/>
    </row>
    <row r="62" spans="1:33" x14ac:dyDescent="0.4">
      <c r="A62" s="5" t="s">
        <v>49</v>
      </c>
      <c r="B62" s="30"/>
      <c r="C62" s="60"/>
      <c r="D62" s="7"/>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30"/>
      <c r="AF62" s="30"/>
      <c r="AG62" s="30"/>
    </row>
    <row r="63" spans="1:33" x14ac:dyDescent="0.4">
      <c r="A63" s="30" t="s">
        <v>128</v>
      </c>
      <c r="B63" s="3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30"/>
      <c r="AF63" s="30"/>
      <c r="AG63" s="30"/>
    </row>
    <row r="64" spans="1:33" x14ac:dyDescent="0.4">
      <c r="A64" s="5" t="s">
        <v>56</v>
      </c>
      <c r="B64" s="3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30"/>
      <c r="AF64" s="30"/>
      <c r="AG64" s="30"/>
    </row>
    <row r="65" spans="1:33" x14ac:dyDescent="0.4">
      <c r="A65" s="30" t="s">
        <v>129</v>
      </c>
      <c r="B65" s="3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30"/>
      <c r="AF65" s="30"/>
      <c r="AG65" s="30"/>
    </row>
    <row r="66" spans="1:33" x14ac:dyDescent="0.4">
      <c r="A66" s="30"/>
      <c r="B66" s="3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30"/>
      <c r="AF66" s="30"/>
      <c r="AG66" s="30"/>
    </row>
    <row r="67" spans="1:33" x14ac:dyDescent="0.4">
      <c r="B67" s="30"/>
      <c r="C67" s="60"/>
      <c r="D67" s="7"/>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30"/>
      <c r="AF67" s="30"/>
      <c r="AG67" s="30"/>
    </row>
    <row r="68" spans="1:33" x14ac:dyDescent="0.4">
      <c r="A68" s="30"/>
      <c r="B68" s="3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30"/>
      <c r="AF68" s="30"/>
      <c r="AG68" s="30"/>
    </row>
    <row r="69" spans="1:33" x14ac:dyDescent="0.4">
      <c r="A69" s="30"/>
      <c r="B69" s="3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30"/>
      <c r="AF69" s="30"/>
      <c r="AG69" s="30"/>
    </row>
    <row r="70" spans="1:33" x14ac:dyDescent="0.4">
      <c r="A70" s="30"/>
      <c r="B70" s="3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30"/>
      <c r="AF70" s="30"/>
      <c r="AG70" s="30"/>
    </row>
    <row r="71" spans="1:33" x14ac:dyDescent="0.4">
      <c r="A71" s="30"/>
      <c r="B71" s="3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30"/>
      <c r="AF71" s="30"/>
      <c r="AG71" s="30"/>
    </row>
  </sheetData>
  <printOptions horizontalCentered="1"/>
  <pageMargins left="0" right="0" top="0.5" bottom="0.5" header="0.3" footer="0.3"/>
  <pageSetup scale="60" orientation="landscape" horizontalDpi="300" verticalDpi="300" r:id="rId1"/>
  <headerFooter>
    <oddHeader>&amp;C&amp;A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G71"/>
  <sheetViews>
    <sheetView zoomScale="70" zoomScaleNormal="70" workbookViewId="0">
      <selection activeCell="S1" sqref="S1"/>
    </sheetView>
  </sheetViews>
  <sheetFormatPr defaultRowHeight="12.7" x14ac:dyDescent="0.4"/>
  <cols>
    <col min="1" max="1" width="18.87890625" customWidth="1"/>
    <col min="2" max="2" width="6.29296875" customWidth="1"/>
    <col min="3" max="3" width="7" customWidth="1"/>
    <col min="4" max="4" width="6.41015625" customWidth="1"/>
    <col min="5" max="5" width="6.87890625" customWidth="1"/>
    <col min="6" max="6" width="7.29296875" customWidth="1"/>
    <col min="7" max="7" width="7.1171875" customWidth="1"/>
    <col min="8" max="8" width="7.29296875" customWidth="1"/>
    <col min="9" max="9" width="6.703125" customWidth="1"/>
    <col min="10" max="10" width="6.41015625" customWidth="1"/>
    <col min="11" max="12" width="6.29296875" customWidth="1"/>
    <col min="13" max="13" width="6.1171875" customWidth="1"/>
    <col min="14" max="17" width="6.703125" customWidth="1"/>
    <col min="18" max="18" width="6.87890625" customWidth="1"/>
    <col min="19" max="19" width="6.29296875" customWidth="1"/>
    <col min="20" max="21" width="6.41015625" customWidth="1"/>
    <col min="22" max="22" width="6.703125" customWidth="1"/>
    <col min="23" max="23" width="7.41015625" customWidth="1"/>
    <col min="24" max="24" width="6.29296875" customWidth="1"/>
    <col min="25" max="25" width="6.41015625" customWidth="1"/>
    <col min="26" max="26" width="6.29296875" customWidth="1"/>
    <col min="27" max="27" width="6" customWidth="1"/>
    <col min="28" max="28" width="6.41015625" customWidth="1"/>
    <col min="29" max="29" width="6.52734375" customWidth="1"/>
    <col min="30" max="30" width="6.9375" customWidth="1"/>
    <col min="31" max="31" width="6.1171875" customWidth="1"/>
    <col min="32" max="32" width="7.52734375" customWidth="1"/>
    <col min="33" max="33" width="7.87890625" customWidth="1"/>
  </cols>
  <sheetData>
    <row r="1" spans="1:33" ht="13" thickBot="1" x14ac:dyDescent="0.45">
      <c r="A1" s="5" t="s">
        <v>106</v>
      </c>
      <c r="B1" s="30"/>
      <c r="C1" s="64" t="s">
        <v>137</v>
      </c>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30"/>
      <c r="AF1" s="30"/>
      <c r="AG1" s="30"/>
    </row>
    <row r="2" spans="1:33"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30"/>
      <c r="AG2" s="30"/>
    </row>
    <row r="3" spans="1:33" x14ac:dyDescent="0.4">
      <c r="A3" s="30" t="s">
        <v>34</v>
      </c>
      <c r="B3" s="30"/>
      <c r="C3" s="60"/>
      <c r="D3" s="60"/>
      <c r="E3" s="60"/>
      <c r="F3" s="60"/>
      <c r="G3" s="60"/>
      <c r="H3" s="60"/>
      <c r="I3" s="60"/>
      <c r="J3" s="60"/>
      <c r="K3" s="60"/>
      <c r="L3" s="60"/>
      <c r="M3" s="60">
        <v>2</v>
      </c>
      <c r="N3" s="60"/>
      <c r="O3" s="60"/>
      <c r="P3" s="60"/>
      <c r="Q3" s="60"/>
      <c r="R3" s="60"/>
      <c r="S3" s="60"/>
      <c r="T3" s="60"/>
      <c r="U3" s="60"/>
      <c r="V3" s="60"/>
      <c r="W3" s="60"/>
      <c r="X3" s="60"/>
      <c r="Y3" s="60"/>
      <c r="Z3" s="60"/>
      <c r="AA3" s="60"/>
      <c r="AB3" s="60"/>
      <c r="AC3" s="60"/>
      <c r="AD3" s="60"/>
      <c r="AE3" s="78">
        <f>SUM(C3:AD3)</f>
        <v>2</v>
      </c>
      <c r="AF3" s="30"/>
      <c r="AG3" s="30"/>
    </row>
    <row r="4" spans="1:33" x14ac:dyDescent="0.4">
      <c r="A4" s="30" t="s">
        <v>35</v>
      </c>
      <c r="B4" s="30"/>
      <c r="C4" s="60"/>
      <c r="D4" s="60"/>
      <c r="E4" s="60"/>
      <c r="F4" s="60">
        <v>1</v>
      </c>
      <c r="G4" s="60"/>
      <c r="H4" s="60">
        <v>1</v>
      </c>
      <c r="I4" s="60"/>
      <c r="J4" s="60"/>
      <c r="K4" s="60"/>
      <c r="L4" s="60"/>
      <c r="M4" s="60"/>
      <c r="N4" s="60"/>
      <c r="O4" s="60"/>
      <c r="P4" s="60"/>
      <c r="Q4" s="60"/>
      <c r="R4" s="60"/>
      <c r="S4" s="60"/>
      <c r="T4" s="60"/>
      <c r="U4" s="60"/>
      <c r="V4" s="60"/>
      <c r="W4" s="60">
        <v>3</v>
      </c>
      <c r="X4" s="60"/>
      <c r="Y4" s="60"/>
      <c r="Z4" s="60"/>
      <c r="AA4" s="60"/>
      <c r="AB4" s="60"/>
      <c r="AC4" s="60"/>
      <c r="AD4" s="60"/>
      <c r="AE4" s="78">
        <f t="shared" ref="AE4:AE16" si="0">SUM(C4:AD4)</f>
        <v>5</v>
      </c>
      <c r="AF4" s="30"/>
      <c r="AG4" s="30"/>
    </row>
    <row r="5" spans="1:33" x14ac:dyDescent="0.4">
      <c r="A5" s="30" t="s">
        <v>16</v>
      </c>
      <c r="B5" s="30"/>
      <c r="C5" s="60"/>
      <c r="D5" s="60"/>
      <c r="E5" s="60"/>
      <c r="F5" s="60"/>
      <c r="G5" s="60">
        <v>1</v>
      </c>
      <c r="H5" s="60">
        <v>1</v>
      </c>
      <c r="I5" s="60"/>
      <c r="J5" s="60"/>
      <c r="K5" s="60"/>
      <c r="L5" s="60"/>
      <c r="M5" s="60"/>
      <c r="N5" s="60"/>
      <c r="O5" s="60"/>
      <c r="P5" s="60"/>
      <c r="Q5" s="60"/>
      <c r="R5" s="60">
        <v>1</v>
      </c>
      <c r="S5" s="60"/>
      <c r="T5" s="60"/>
      <c r="U5" s="60"/>
      <c r="V5" s="60"/>
      <c r="W5" s="60">
        <v>1</v>
      </c>
      <c r="X5" s="60"/>
      <c r="Y5" s="60"/>
      <c r="Z5" s="60">
        <v>1</v>
      </c>
      <c r="AA5" s="60"/>
      <c r="AB5" s="60"/>
      <c r="AC5" s="60"/>
      <c r="AD5" s="60"/>
      <c r="AE5" s="78">
        <f t="shared" si="0"/>
        <v>5</v>
      </c>
      <c r="AF5" s="30"/>
      <c r="AG5" s="30"/>
    </row>
    <row r="6" spans="1:33" x14ac:dyDescent="0.4">
      <c r="A6" s="30" t="s">
        <v>29</v>
      </c>
      <c r="B6" s="30"/>
      <c r="C6" s="60"/>
      <c r="D6" s="60"/>
      <c r="E6" s="60"/>
      <c r="F6" s="60"/>
      <c r="G6" s="60"/>
      <c r="H6" s="60">
        <v>1</v>
      </c>
      <c r="I6" s="60"/>
      <c r="J6" s="60"/>
      <c r="K6" s="60"/>
      <c r="L6" s="60"/>
      <c r="M6" s="60"/>
      <c r="N6" s="60"/>
      <c r="O6" s="60"/>
      <c r="P6" s="60"/>
      <c r="Q6" s="60"/>
      <c r="R6" s="60"/>
      <c r="S6" s="60"/>
      <c r="T6" s="60"/>
      <c r="U6" s="60"/>
      <c r="V6" s="60"/>
      <c r="W6" s="60">
        <v>2</v>
      </c>
      <c r="X6" s="60"/>
      <c r="Y6" s="60"/>
      <c r="Z6" s="60"/>
      <c r="AA6" s="60"/>
      <c r="AB6" s="60"/>
      <c r="AC6" s="60"/>
      <c r="AD6" s="60"/>
      <c r="AE6" s="78">
        <f t="shared" si="0"/>
        <v>3</v>
      </c>
      <c r="AF6" s="30"/>
      <c r="AG6" s="30"/>
    </row>
    <row r="7" spans="1:33" x14ac:dyDescent="0.4">
      <c r="A7" s="30" t="s">
        <v>18</v>
      </c>
      <c r="B7" s="30"/>
      <c r="C7" s="60">
        <v>1</v>
      </c>
      <c r="D7" s="60"/>
      <c r="E7" s="60"/>
      <c r="F7" s="60"/>
      <c r="G7" s="60"/>
      <c r="H7" s="60">
        <v>2</v>
      </c>
      <c r="I7" s="60"/>
      <c r="J7" s="60"/>
      <c r="K7" s="60"/>
      <c r="L7" s="60"/>
      <c r="M7" s="60"/>
      <c r="N7" s="60"/>
      <c r="O7" s="60"/>
      <c r="P7" s="60"/>
      <c r="Q7" s="60"/>
      <c r="R7" s="60"/>
      <c r="S7" s="60"/>
      <c r="T7" s="60"/>
      <c r="U7" s="60"/>
      <c r="V7" s="60"/>
      <c r="W7" s="60"/>
      <c r="X7" s="60"/>
      <c r="Y7" s="60"/>
      <c r="Z7" s="60"/>
      <c r="AA7" s="60"/>
      <c r="AB7" s="60"/>
      <c r="AC7" s="60"/>
      <c r="AD7" s="60"/>
      <c r="AE7" s="78">
        <f t="shared" si="0"/>
        <v>3</v>
      </c>
      <c r="AF7" s="30"/>
      <c r="AG7" s="30"/>
    </row>
    <row r="8" spans="1:33" x14ac:dyDescent="0.4">
      <c r="A8" s="30" t="s">
        <v>19</v>
      </c>
      <c r="B8" s="30"/>
      <c r="C8" s="60"/>
      <c r="D8" s="60"/>
      <c r="E8" s="60"/>
      <c r="F8" s="60">
        <v>5</v>
      </c>
      <c r="G8" s="60"/>
      <c r="H8" s="60">
        <v>4</v>
      </c>
      <c r="I8" s="60"/>
      <c r="J8" s="60"/>
      <c r="K8" s="60"/>
      <c r="L8" s="60"/>
      <c r="M8" s="60"/>
      <c r="N8" s="60"/>
      <c r="O8" s="60"/>
      <c r="P8" s="60"/>
      <c r="Q8" s="60"/>
      <c r="R8" s="60">
        <v>2</v>
      </c>
      <c r="S8" s="60"/>
      <c r="T8" s="60"/>
      <c r="U8" s="60"/>
      <c r="V8" s="60"/>
      <c r="W8" s="60">
        <v>2</v>
      </c>
      <c r="X8" s="60"/>
      <c r="Y8" s="60"/>
      <c r="Z8" s="60"/>
      <c r="AA8" s="60"/>
      <c r="AB8" s="60"/>
      <c r="AC8" s="60"/>
      <c r="AD8" s="60"/>
      <c r="AE8" s="78">
        <f t="shared" si="0"/>
        <v>13</v>
      </c>
      <c r="AF8" s="30"/>
      <c r="AG8" s="30"/>
    </row>
    <row r="9" spans="1:33" x14ac:dyDescent="0.4">
      <c r="A9" s="30" t="s">
        <v>20</v>
      </c>
      <c r="B9" s="3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78">
        <f t="shared" si="0"/>
        <v>0</v>
      </c>
      <c r="AF9" s="30"/>
      <c r="AG9" s="30"/>
    </row>
    <row r="10" spans="1:33" x14ac:dyDescent="0.4">
      <c r="A10" s="30" t="s">
        <v>136</v>
      </c>
      <c r="B10" s="30"/>
      <c r="C10" s="60"/>
      <c r="D10" s="60"/>
      <c r="E10" s="60"/>
      <c r="F10" s="60"/>
      <c r="G10" s="60"/>
      <c r="H10" s="60"/>
      <c r="I10" s="60"/>
      <c r="J10" s="60"/>
      <c r="K10" s="60"/>
      <c r="L10" s="60"/>
      <c r="M10" s="60">
        <v>1</v>
      </c>
      <c r="N10" s="60"/>
      <c r="O10" s="60"/>
      <c r="P10" s="60"/>
      <c r="Q10" s="60"/>
      <c r="R10" s="60"/>
      <c r="S10" s="60"/>
      <c r="T10" s="60"/>
      <c r="U10" s="60"/>
      <c r="V10" s="60"/>
      <c r="W10" s="60"/>
      <c r="X10" s="60"/>
      <c r="Y10" s="60"/>
      <c r="Z10" s="60"/>
      <c r="AA10" s="60"/>
      <c r="AB10" s="60"/>
      <c r="AC10" s="60"/>
      <c r="AD10" s="60"/>
      <c r="AE10" s="78">
        <f t="shared" si="0"/>
        <v>1</v>
      </c>
      <c r="AF10" s="30"/>
      <c r="AG10" s="30"/>
    </row>
    <row r="11" spans="1:33" x14ac:dyDescent="0.4">
      <c r="A11" s="30" t="s">
        <v>98</v>
      </c>
      <c r="B11" s="30"/>
      <c r="C11" s="60"/>
      <c r="D11" s="60"/>
      <c r="E11" s="60"/>
      <c r="F11" s="60"/>
      <c r="G11" s="60"/>
      <c r="H11" s="60">
        <v>1</v>
      </c>
      <c r="I11" s="60"/>
      <c r="J11" s="60"/>
      <c r="K11" s="60"/>
      <c r="L11" s="60"/>
      <c r="M11" s="60"/>
      <c r="N11" s="60"/>
      <c r="O11" s="60"/>
      <c r="P11" s="60"/>
      <c r="Q11" s="60"/>
      <c r="R11" s="60"/>
      <c r="S11" s="60"/>
      <c r="T11" s="60"/>
      <c r="U11" s="60"/>
      <c r="V11" s="60"/>
      <c r="W11" s="60"/>
      <c r="X11" s="60"/>
      <c r="Y11" s="60"/>
      <c r="Z11" s="60"/>
      <c r="AA11" s="60"/>
      <c r="AB11" s="60"/>
      <c r="AC11" s="60"/>
      <c r="AD11" s="60"/>
      <c r="AE11" s="78">
        <f t="shared" si="0"/>
        <v>1</v>
      </c>
      <c r="AF11" s="30"/>
      <c r="AG11" s="30"/>
    </row>
    <row r="12" spans="1:33" x14ac:dyDescent="0.4">
      <c r="A12" s="30" t="s">
        <v>22</v>
      </c>
      <c r="B12" s="30"/>
      <c r="C12" s="60">
        <v>19</v>
      </c>
      <c r="D12" s="60">
        <v>5</v>
      </c>
      <c r="E12" s="60">
        <v>2</v>
      </c>
      <c r="F12" s="60">
        <v>14</v>
      </c>
      <c r="G12" s="60">
        <v>16</v>
      </c>
      <c r="H12" s="60">
        <v>34</v>
      </c>
      <c r="I12" s="60">
        <v>7</v>
      </c>
      <c r="J12" s="60"/>
      <c r="K12" s="60">
        <v>6</v>
      </c>
      <c r="L12" s="60"/>
      <c r="M12" s="60">
        <v>27</v>
      </c>
      <c r="N12" s="60">
        <v>3</v>
      </c>
      <c r="O12" s="60"/>
      <c r="P12" s="60">
        <v>4</v>
      </c>
      <c r="Q12" s="60"/>
      <c r="R12" s="60">
        <v>22</v>
      </c>
      <c r="S12" s="60"/>
      <c r="T12" s="60"/>
      <c r="U12" s="60"/>
      <c r="V12" s="60"/>
      <c r="W12" s="60">
        <v>9</v>
      </c>
      <c r="X12" s="60"/>
      <c r="Y12" s="60">
        <v>3</v>
      </c>
      <c r="Z12" s="60">
        <v>1</v>
      </c>
      <c r="AA12" s="60"/>
      <c r="AB12" s="60">
        <v>1</v>
      </c>
      <c r="AC12" s="60"/>
      <c r="AD12" s="60"/>
      <c r="AE12" s="78">
        <f t="shared" si="0"/>
        <v>173</v>
      </c>
      <c r="AF12" s="30"/>
      <c r="AG12" s="30"/>
    </row>
    <row r="13" spans="1:33" x14ac:dyDescent="0.4">
      <c r="A13" s="30" t="s">
        <v>23</v>
      </c>
      <c r="B13" s="30"/>
      <c r="C13" s="60">
        <v>10</v>
      </c>
      <c r="D13" s="60">
        <v>1</v>
      </c>
      <c r="E13" s="60">
        <v>2</v>
      </c>
      <c r="F13" s="60"/>
      <c r="G13" s="60">
        <v>3</v>
      </c>
      <c r="H13" s="60">
        <v>4</v>
      </c>
      <c r="I13" s="60">
        <v>1</v>
      </c>
      <c r="J13" s="60"/>
      <c r="K13" s="60"/>
      <c r="L13" s="60"/>
      <c r="M13" s="60">
        <v>3</v>
      </c>
      <c r="N13" s="60">
        <v>4</v>
      </c>
      <c r="O13" s="60"/>
      <c r="P13" s="60"/>
      <c r="Q13" s="60"/>
      <c r="R13" s="60">
        <v>4</v>
      </c>
      <c r="S13" s="60"/>
      <c r="T13" s="60"/>
      <c r="U13" s="60"/>
      <c r="V13" s="60"/>
      <c r="W13" s="60">
        <v>1</v>
      </c>
      <c r="X13" s="60"/>
      <c r="Y13" s="60"/>
      <c r="Z13" s="60"/>
      <c r="AA13" s="60"/>
      <c r="AB13" s="60"/>
      <c r="AC13" s="60"/>
      <c r="AD13" s="60"/>
      <c r="AE13" s="78">
        <f t="shared" si="0"/>
        <v>33</v>
      </c>
      <c r="AF13" s="30"/>
      <c r="AG13" s="30"/>
    </row>
    <row r="14" spans="1:33" x14ac:dyDescent="0.4">
      <c r="A14" s="30" t="s">
        <v>24</v>
      </c>
      <c r="B14" s="30"/>
      <c r="C14" s="60"/>
      <c r="D14" s="60">
        <v>1</v>
      </c>
      <c r="E14" s="60"/>
      <c r="F14" s="60"/>
      <c r="G14" s="60"/>
      <c r="H14" s="60">
        <v>1</v>
      </c>
      <c r="I14" s="60"/>
      <c r="J14" s="60"/>
      <c r="K14" s="60">
        <v>2</v>
      </c>
      <c r="L14" s="60"/>
      <c r="M14" s="60"/>
      <c r="N14" s="60"/>
      <c r="O14" s="60"/>
      <c r="P14" s="60"/>
      <c r="Q14" s="60"/>
      <c r="R14" s="60">
        <v>2</v>
      </c>
      <c r="S14" s="60"/>
      <c r="T14" s="60"/>
      <c r="U14" s="60"/>
      <c r="V14" s="60"/>
      <c r="W14" s="60">
        <v>1</v>
      </c>
      <c r="X14" s="60"/>
      <c r="Y14" s="60"/>
      <c r="Z14" s="60"/>
      <c r="AA14" s="60"/>
      <c r="AB14" s="60">
        <v>2</v>
      </c>
      <c r="AC14" s="60"/>
      <c r="AD14" s="60"/>
      <c r="AE14" s="78">
        <f t="shared" si="0"/>
        <v>9</v>
      </c>
      <c r="AF14" s="30"/>
      <c r="AG14" s="30"/>
    </row>
    <row r="15" spans="1:33" x14ac:dyDescent="0.4">
      <c r="A15" s="30" t="s">
        <v>111</v>
      </c>
      <c r="B15" s="30"/>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78">
        <f t="shared" si="0"/>
        <v>0</v>
      </c>
      <c r="AF15" s="30"/>
      <c r="AG15" s="30"/>
    </row>
    <row r="16" spans="1:33" ht="13" thickBot="1" x14ac:dyDescent="0.45">
      <c r="A16" s="30" t="s">
        <v>36</v>
      </c>
      <c r="B16" s="30"/>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8">
        <f t="shared" si="0"/>
        <v>0</v>
      </c>
      <c r="AF16" s="30"/>
      <c r="AG16" s="30"/>
    </row>
    <row r="17" spans="1:33" x14ac:dyDescent="0.4">
      <c r="A17" s="30" t="s">
        <v>25</v>
      </c>
      <c r="B17" s="30"/>
      <c r="C17" s="60">
        <f>SUM(C3:C16)</f>
        <v>30</v>
      </c>
      <c r="D17" s="60">
        <f t="shared" ref="D17:AE17" si="1">SUM(D3:D16)</f>
        <v>7</v>
      </c>
      <c r="E17" s="60">
        <f t="shared" si="1"/>
        <v>4</v>
      </c>
      <c r="F17" s="60">
        <f t="shared" si="1"/>
        <v>20</v>
      </c>
      <c r="G17" s="60">
        <f t="shared" si="1"/>
        <v>20</v>
      </c>
      <c r="H17" s="60">
        <f t="shared" si="1"/>
        <v>49</v>
      </c>
      <c r="I17" s="60">
        <f t="shared" si="1"/>
        <v>8</v>
      </c>
      <c r="J17" s="60">
        <f t="shared" si="1"/>
        <v>0</v>
      </c>
      <c r="K17" s="60">
        <f t="shared" si="1"/>
        <v>8</v>
      </c>
      <c r="L17" s="60">
        <f t="shared" si="1"/>
        <v>0</v>
      </c>
      <c r="M17" s="60">
        <f t="shared" si="1"/>
        <v>33</v>
      </c>
      <c r="N17" s="60">
        <f t="shared" si="1"/>
        <v>7</v>
      </c>
      <c r="O17" s="60">
        <f t="shared" si="1"/>
        <v>0</v>
      </c>
      <c r="P17" s="60">
        <f t="shared" si="1"/>
        <v>4</v>
      </c>
      <c r="Q17" s="60">
        <f t="shared" si="1"/>
        <v>0</v>
      </c>
      <c r="R17" s="60">
        <f t="shared" si="1"/>
        <v>31</v>
      </c>
      <c r="S17" s="60">
        <f t="shared" si="1"/>
        <v>0</v>
      </c>
      <c r="T17" s="60">
        <f t="shared" si="1"/>
        <v>0</v>
      </c>
      <c r="U17" s="60">
        <f t="shared" si="1"/>
        <v>0</v>
      </c>
      <c r="V17" s="60">
        <f t="shared" si="1"/>
        <v>0</v>
      </c>
      <c r="W17" s="60">
        <f t="shared" si="1"/>
        <v>19</v>
      </c>
      <c r="X17" s="60">
        <f t="shared" si="1"/>
        <v>0</v>
      </c>
      <c r="Y17" s="60">
        <f t="shared" si="1"/>
        <v>3</v>
      </c>
      <c r="Z17" s="60">
        <f t="shared" si="1"/>
        <v>2</v>
      </c>
      <c r="AA17" s="60">
        <f t="shared" si="1"/>
        <v>0</v>
      </c>
      <c r="AB17" s="60">
        <f t="shared" si="1"/>
        <v>3</v>
      </c>
      <c r="AC17" s="60">
        <f t="shared" si="1"/>
        <v>0</v>
      </c>
      <c r="AD17" s="60">
        <f t="shared" si="1"/>
        <v>0</v>
      </c>
      <c r="AE17" s="30">
        <f t="shared" si="1"/>
        <v>248</v>
      </c>
      <c r="AF17" s="30"/>
      <c r="AG17" s="30"/>
    </row>
    <row r="18" spans="1:33" ht="13" thickBot="1" x14ac:dyDescent="0.45">
      <c r="A18" s="29" t="s">
        <v>107</v>
      </c>
      <c r="B18" s="30"/>
      <c r="C18" s="88" t="s">
        <v>138</v>
      </c>
      <c r="D18" s="64"/>
      <c r="E18" s="7"/>
      <c r="F18" s="29"/>
      <c r="G18" s="29" t="s">
        <v>126</v>
      </c>
      <c r="H18" s="60"/>
      <c r="I18" s="60"/>
      <c r="J18" s="64" t="s">
        <v>139</v>
      </c>
      <c r="K18" s="60"/>
      <c r="L18" s="60"/>
      <c r="M18" s="60"/>
      <c r="N18" s="60"/>
      <c r="O18" s="60"/>
      <c r="P18" s="60"/>
      <c r="Q18" s="60"/>
      <c r="R18" s="60"/>
      <c r="S18" s="60"/>
      <c r="T18" s="60"/>
      <c r="U18" s="60"/>
      <c r="V18" s="60"/>
      <c r="W18" s="60"/>
      <c r="X18" s="60"/>
      <c r="Y18" s="60"/>
      <c r="Z18" s="60"/>
      <c r="AA18" s="60"/>
      <c r="AB18" s="60"/>
      <c r="AC18" s="60"/>
      <c r="AD18" s="60"/>
      <c r="AE18" s="30"/>
      <c r="AF18" s="30"/>
      <c r="AG18" s="30"/>
    </row>
    <row r="19" spans="1:33" ht="13" thickBot="1" x14ac:dyDescent="0.45">
      <c r="A19" s="10" t="str">
        <f>A2</f>
        <v>BLIND #</v>
      </c>
      <c r="B19" s="14"/>
      <c r="C19" s="65">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30"/>
      <c r="AG19" s="30"/>
    </row>
    <row r="20" spans="1:33" x14ac:dyDescent="0.4">
      <c r="A20" s="30" t="str">
        <f>A3</f>
        <v>RUDDY</v>
      </c>
      <c r="B20" s="30"/>
      <c r="C20" s="60"/>
      <c r="D20" s="60"/>
      <c r="E20" s="60"/>
      <c r="F20" s="60"/>
      <c r="G20" s="60"/>
      <c r="H20" s="60"/>
      <c r="I20" s="60"/>
      <c r="J20" s="60"/>
      <c r="K20" s="60"/>
      <c r="L20" s="60"/>
      <c r="M20" s="60"/>
      <c r="N20" s="60"/>
      <c r="O20" s="60"/>
      <c r="P20" s="60"/>
      <c r="Q20" s="60"/>
      <c r="R20" s="60">
        <v>1</v>
      </c>
      <c r="S20" s="60"/>
      <c r="T20" s="60"/>
      <c r="U20" s="60"/>
      <c r="V20" s="60"/>
      <c r="W20" s="60"/>
      <c r="X20" s="60"/>
      <c r="Y20" s="60"/>
      <c r="Z20" s="60"/>
      <c r="AA20" s="60"/>
      <c r="AB20" s="60"/>
      <c r="AC20" s="60"/>
      <c r="AD20" s="60">
        <v>1</v>
      </c>
      <c r="AE20" s="78">
        <f>SUM(C20:AD20)</f>
        <v>2</v>
      </c>
      <c r="AF20" s="30"/>
      <c r="AG20" s="30"/>
    </row>
    <row r="21" spans="1:33" x14ac:dyDescent="0.4">
      <c r="A21" s="30" t="str">
        <f t="shared" ref="A21:A33" si="3">A4</f>
        <v>CANVASBACK</v>
      </c>
      <c r="B21" s="30"/>
      <c r="C21" s="60"/>
      <c r="D21" s="60"/>
      <c r="E21" s="60"/>
      <c r="F21" s="60"/>
      <c r="G21" s="60"/>
      <c r="H21" s="60"/>
      <c r="I21" s="60"/>
      <c r="J21" s="60"/>
      <c r="K21" s="60"/>
      <c r="L21" s="60"/>
      <c r="M21" s="60"/>
      <c r="N21" s="60"/>
      <c r="O21" s="60"/>
      <c r="P21" s="60"/>
      <c r="Q21" s="60"/>
      <c r="R21" s="60">
        <v>1</v>
      </c>
      <c r="S21" s="60"/>
      <c r="T21" s="60"/>
      <c r="U21" s="60"/>
      <c r="V21" s="60">
        <v>1</v>
      </c>
      <c r="W21" s="60"/>
      <c r="X21" s="60"/>
      <c r="Y21" s="60"/>
      <c r="Z21" s="60"/>
      <c r="AA21" s="60"/>
      <c r="AB21" s="60"/>
      <c r="AC21" s="60"/>
      <c r="AD21" s="60"/>
      <c r="AE21" s="78">
        <f t="shared" ref="AE21:AE33" si="4">SUM(C21:AD21)</f>
        <v>2</v>
      </c>
      <c r="AF21" s="30"/>
      <c r="AG21" s="30"/>
    </row>
    <row r="22" spans="1:33" x14ac:dyDescent="0.4">
      <c r="A22" s="30" t="str">
        <f t="shared" si="3"/>
        <v>GADWALL</v>
      </c>
      <c r="B22" s="30"/>
      <c r="C22" s="60"/>
      <c r="D22" s="60"/>
      <c r="E22" s="60"/>
      <c r="F22" s="60">
        <v>1</v>
      </c>
      <c r="G22" s="60"/>
      <c r="H22" s="60"/>
      <c r="I22" s="60"/>
      <c r="J22" s="60"/>
      <c r="K22" s="60"/>
      <c r="L22" s="60">
        <v>1</v>
      </c>
      <c r="M22" s="60">
        <v>2</v>
      </c>
      <c r="N22" s="60"/>
      <c r="O22" s="60">
        <v>1</v>
      </c>
      <c r="P22" s="60"/>
      <c r="Q22" s="60"/>
      <c r="R22" s="60">
        <v>1</v>
      </c>
      <c r="S22" s="60"/>
      <c r="T22" s="60"/>
      <c r="U22" s="60"/>
      <c r="V22" s="60">
        <v>4</v>
      </c>
      <c r="W22" s="60">
        <v>9</v>
      </c>
      <c r="X22" s="60"/>
      <c r="Y22" s="60"/>
      <c r="Z22" s="60"/>
      <c r="AA22" s="60"/>
      <c r="AB22" s="60">
        <v>2</v>
      </c>
      <c r="AC22" s="60"/>
      <c r="AD22" s="60">
        <v>2</v>
      </c>
      <c r="AE22" s="78">
        <f t="shared" si="4"/>
        <v>23</v>
      </c>
      <c r="AF22" s="30"/>
      <c r="AG22" s="30"/>
    </row>
    <row r="23" spans="1:33" x14ac:dyDescent="0.4">
      <c r="A23" s="30" t="str">
        <f t="shared" si="3"/>
        <v>GEESE</v>
      </c>
      <c r="B23" s="30"/>
      <c r="C23" s="60"/>
      <c r="D23" s="60"/>
      <c r="E23" s="60"/>
      <c r="F23" s="60"/>
      <c r="G23" s="60"/>
      <c r="H23" s="60"/>
      <c r="I23" s="60"/>
      <c r="J23" s="60"/>
      <c r="K23" s="60"/>
      <c r="L23" s="60"/>
      <c r="M23" s="60"/>
      <c r="N23" s="60"/>
      <c r="O23" s="60"/>
      <c r="P23" s="60"/>
      <c r="Q23" s="60"/>
      <c r="R23" s="60"/>
      <c r="S23" s="60"/>
      <c r="T23" s="60"/>
      <c r="U23" s="60"/>
      <c r="V23" s="60">
        <v>1</v>
      </c>
      <c r="W23" s="60"/>
      <c r="X23" s="60"/>
      <c r="Y23" s="60"/>
      <c r="Z23" s="60"/>
      <c r="AA23" s="60"/>
      <c r="AB23" s="60"/>
      <c r="AC23" s="60">
        <v>1</v>
      </c>
      <c r="AD23" s="60">
        <v>3</v>
      </c>
      <c r="AE23" s="78">
        <f t="shared" si="4"/>
        <v>5</v>
      </c>
      <c r="AF23" s="30"/>
      <c r="AG23" s="30"/>
    </row>
    <row r="24" spans="1:33" x14ac:dyDescent="0.4">
      <c r="A24" s="30" t="str">
        <f t="shared" si="3"/>
        <v>MALLARD</v>
      </c>
      <c r="B24" s="30"/>
      <c r="C24" s="60"/>
      <c r="D24" s="60"/>
      <c r="E24" s="60"/>
      <c r="F24" s="60">
        <v>1</v>
      </c>
      <c r="G24" s="60"/>
      <c r="H24" s="60">
        <v>2</v>
      </c>
      <c r="I24" s="60"/>
      <c r="J24" s="60"/>
      <c r="K24" s="60"/>
      <c r="L24" s="60"/>
      <c r="M24" s="60"/>
      <c r="N24" s="60"/>
      <c r="O24" s="60"/>
      <c r="P24" s="60"/>
      <c r="Q24" s="60"/>
      <c r="R24" s="60"/>
      <c r="S24" s="60"/>
      <c r="T24" s="60"/>
      <c r="U24" s="60"/>
      <c r="V24" s="60">
        <v>1</v>
      </c>
      <c r="W24" s="60">
        <v>1</v>
      </c>
      <c r="X24" s="60"/>
      <c r="Y24" s="60"/>
      <c r="Z24" s="60"/>
      <c r="AA24" s="60"/>
      <c r="AB24" s="60"/>
      <c r="AC24" s="60">
        <v>4</v>
      </c>
      <c r="AD24" s="60">
        <v>2</v>
      </c>
      <c r="AE24" s="78">
        <f t="shared" si="4"/>
        <v>11</v>
      </c>
      <c r="AF24" s="30"/>
      <c r="AG24" s="30"/>
    </row>
    <row r="25" spans="1:33" x14ac:dyDescent="0.4">
      <c r="A25" s="30" t="str">
        <f t="shared" si="3"/>
        <v>PINTAIL</v>
      </c>
      <c r="B25" s="30"/>
      <c r="C25" s="60"/>
      <c r="D25" s="60"/>
      <c r="E25" s="60"/>
      <c r="F25" s="60">
        <v>5</v>
      </c>
      <c r="G25" s="60">
        <v>2</v>
      </c>
      <c r="H25" s="60">
        <v>6</v>
      </c>
      <c r="I25" s="60"/>
      <c r="J25" s="60"/>
      <c r="K25" s="60">
        <v>1</v>
      </c>
      <c r="L25" s="60">
        <v>6</v>
      </c>
      <c r="M25" s="60">
        <v>1</v>
      </c>
      <c r="N25" s="60"/>
      <c r="O25" s="60">
        <v>7</v>
      </c>
      <c r="P25" s="60"/>
      <c r="Q25" s="60"/>
      <c r="R25" s="60">
        <v>6</v>
      </c>
      <c r="S25" s="60"/>
      <c r="T25" s="60"/>
      <c r="U25" s="60"/>
      <c r="V25" s="60">
        <v>7</v>
      </c>
      <c r="W25" s="60">
        <v>10</v>
      </c>
      <c r="X25" s="60">
        <v>1</v>
      </c>
      <c r="Y25" s="60">
        <v>2</v>
      </c>
      <c r="Z25" s="60">
        <v>5</v>
      </c>
      <c r="AA25" s="60">
        <v>2</v>
      </c>
      <c r="AB25" s="60">
        <v>11</v>
      </c>
      <c r="AC25" s="60">
        <v>5</v>
      </c>
      <c r="AD25" s="60">
        <v>15</v>
      </c>
      <c r="AE25" s="78">
        <f t="shared" si="4"/>
        <v>92</v>
      </c>
      <c r="AF25" s="30"/>
      <c r="AG25" s="30"/>
    </row>
    <row r="26" spans="1:33" x14ac:dyDescent="0.4">
      <c r="A26" s="30" t="str">
        <f t="shared" si="3"/>
        <v>REDHEAD</v>
      </c>
      <c r="B26" s="30"/>
      <c r="C26" s="60"/>
      <c r="D26" s="60"/>
      <c r="E26" s="60"/>
      <c r="F26" s="60"/>
      <c r="G26" s="60"/>
      <c r="H26" s="60"/>
      <c r="I26" s="60"/>
      <c r="J26" s="60"/>
      <c r="K26" s="60"/>
      <c r="L26" s="60"/>
      <c r="M26" s="60"/>
      <c r="N26" s="60"/>
      <c r="O26" s="60"/>
      <c r="P26" s="60"/>
      <c r="Q26" s="60"/>
      <c r="R26" s="60"/>
      <c r="S26" s="60"/>
      <c r="T26" s="60"/>
      <c r="U26" s="60"/>
      <c r="V26" s="60">
        <v>1</v>
      </c>
      <c r="W26" s="60"/>
      <c r="X26" s="60"/>
      <c r="Y26" s="60"/>
      <c r="Z26" s="60"/>
      <c r="AA26" s="60"/>
      <c r="AB26" s="60"/>
      <c r="AC26" s="60"/>
      <c r="AD26" s="60"/>
      <c r="AE26" s="78">
        <f t="shared" si="4"/>
        <v>1</v>
      </c>
      <c r="AF26" s="30"/>
      <c r="AG26" s="30"/>
    </row>
    <row r="27" spans="1:33" x14ac:dyDescent="0.4">
      <c r="A27" s="30" t="str">
        <f t="shared" si="3"/>
        <v>WOODY</v>
      </c>
      <c r="B27" s="3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78">
        <f t="shared" si="4"/>
        <v>0</v>
      </c>
      <c r="AF27" s="30"/>
      <c r="AG27" s="30"/>
    </row>
    <row r="28" spans="1:33" x14ac:dyDescent="0.4">
      <c r="A28" s="30" t="str">
        <f t="shared" si="3"/>
        <v>B'HEAD</v>
      </c>
      <c r="B28" s="30"/>
      <c r="C28" s="60"/>
      <c r="D28" s="60"/>
      <c r="E28" s="60"/>
      <c r="F28" s="60"/>
      <c r="G28" s="60"/>
      <c r="H28" s="60"/>
      <c r="I28" s="60"/>
      <c r="J28" s="60"/>
      <c r="K28" s="60"/>
      <c r="L28" s="60"/>
      <c r="M28" s="60"/>
      <c r="N28" s="60"/>
      <c r="O28" s="60"/>
      <c r="P28" s="60"/>
      <c r="Q28" s="60"/>
      <c r="R28" s="60">
        <v>1</v>
      </c>
      <c r="S28" s="60"/>
      <c r="T28" s="60"/>
      <c r="U28" s="60"/>
      <c r="V28" s="60"/>
      <c r="W28" s="60"/>
      <c r="X28" s="60"/>
      <c r="Y28" s="60"/>
      <c r="Z28" s="60"/>
      <c r="AA28" s="60"/>
      <c r="AB28" s="60"/>
      <c r="AC28" s="60"/>
      <c r="AD28" s="60"/>
      <c r="AE28" s="78">
        <f t="shared" si="4"/>
        <v>1</v>
      </c>
      <c r="AF28" s="30"/>
      <c r="AG28" s="30"/>
    </row>
    <row r="29" spans="1:33" x14ac:dyDescent="0.4">
      <c r="A29" s="30" t="str">
        <f t="shared" si="3"/>
        <v>SPOONY</v>
      </c>
      <c r="B29" s="30"/>
      <c r="C29" s="60"/>
      <c r="D29" s="60"/>
      <c r="E29" s="60"/>
      <c r="F29" s="60">
        <v>5</v>
      </c>
      <c r="G29" s="60">
        <v>5</v>
      </c>
      <c r="H29" s="60">
        <v>7</v>
      </c>
      <c r="I29" s="60"/>
      <c r="J29" s="60"/>
      <c r="K29" s="60">
        <v>2</v>
      </c>
      <c r="L29" s="60">
        <v>7</v>
      </c>
      <c r="M29" s="60">
        <v>5</v>
      </c>
      <c r="N29" s="60"/>
      <c r="O29" s="60">
        <v>8</v>
      </c>
      <c r="P29" s="60">
        <v>2</v>
      </c>
      <c r="Q29" s="60"/>
      <c r="R29" s="60">
        <v>15</v>
      </c>
      <c r="S29" s="60"/>
      <c r="T29" s="60"/>
      <c r="U29" s="60"/>
      <c r="V29" s="60">
        <v>7</v>
      </c>
      <c r="W29" s="60">
        <v>21</v>
      </c>
      <c r="X29" s="60">
        <v>1</v>
      </c>
      <c r="Y29" s="60">
        <v>3</v>
      </c>
      <c r="Z29" s="60">
        <v>1</v>
      </c>
      <c r="AA29" s="60">
        <v>1</v>
      </c>
      <c r="AB29" s="60">
        <v>8</v>
      </c>
      <c r="AC29" s="60"/>
      <c r="AD29" s="60">
        <v>11</v>
      </c>
      <c r="AE29" s="78">
        <f t="shared" si="4"/>
        <v>109</v>
      </c>
      <c r="AF29" s="30"/>
      <c r="AG29" s="30"/>
    </row>
    <row r="30" spans="1:33" x14ac:dyDescent="0.4">
      <c r="A30" s="30" t="str">
        <f t="shared" si="3"/>
        <v>TEAL</v>
      </c>
      <c r="B30" s="30"/>
      <c r="C30" s="60">
        <v>1</v>
      </c>
      <c r="D30" s="60"/>
      <c r="E30" s="60"/>
      <c r="F30" s="60">
        <v>44</v>
      </c>
      <c r="G30" s="60">
        <v>2</v>
      </c>
      <c r="H30" s="60">
        <v>15</v>
      </c>
      <c r="I30" s="60"/>
      <c r="J30" s="60"/>
      <c r="K30" s="60">
        <v>8</v>
      </c>
      <c r="L30" s="60">
        <v>7</v>
      </c>
      <c r="M30" s="60">
        <v>15</v>
      </c>
      <c r="N30" s="60">
        <v>4</v>
      </c>
      <c r="O30" s="60">
        <v>21</v>
      </c>
      <c r="P30" s="60"/>
      <c r="Q30" s="60"/>
      <c r="R30" s="60">
        <v>35</v>
      </c>
      <c r="S30" s="60"/>
      <c r="T30" s="60"/>
      <c r="U30" s="60"/>
      <c r="V30" s="60">
        <v>25</v>
      </c>
      <c r="W30" s="60">
        <v>15</v>
      </c>
      <c r="X30" s="60">
        <v>6</v>
      </c>
      <c r="Y30" s="60">
        <v>2</v>
      </c>
      <c r="Z30" s="60">
        <v>17</v>
      </c>
      <c r="AA30" s="60">
        <v>1</v>
      </c>
      <c r="AB30" s="60">
        <v>49</v>
      </c>
      <c r="AC30" s="60">
        <v>10</v>
      </c>
      <c r="AD30" s="60">
        <v>69</v>
      </c>
      <c r="AE30" s="78">
        <f t="shared" si="4"/>
        <v>346</v>
      </c>
      <c r="AF30" s="30"/>
      <c r="AG30" s="30"/>
    </row>
    <row r="31" spans="1:33" x14ac:dyDescent="0.4">
      <c r="A31" s="30" t="str">
        <f t="shared" si="3"/>
        <v>WIDGEON</v>
      </c>
      <c r="B31" s="30"/>
      <c r="C31" s="60"/>
      <c r="D31" s="60"/>
      <c r="E31" s="60"/>
      <c r="F31" s="60">
        <v>2</v>
      </c>
      <c r="G31" s="60"/>
      <c r="H31" s="60">
        <v>1</v>
      </c>
      <c r="I31" s="60"/>
      <c r="J31" s="60"/>
      <c r="K31" s="60"/>
      <c r="L31" s="60">
        <v>4</v>
      </c>
      <c r="M31" s="60">
        <v>2</v>
      </c>
      <c r="N31" s="60">
        <v>2</v>
      </c>
      <c r="O31" s="60">
        <v>4</v>
      </c>
      <c r="P31" s="60"/>
      <c r="Q31" s="60"/>
      <c r="R31" s="60">
        <v>4</v>
      </c>
      <c r="S31" s="60"/>
      <c r="T31" s="60"/>
      <c r="U31" s="60"/>
      <c r="V31" s="60">
        <v>16</v>
      </c>
      <c r="W31" s="60">
        <v>10</v>
      </c>
      <c r="X31" s="60">
        <v>4</v>
      </c>
      <c r="Y31" s="60">
        <v>4</v>
      </c>
      <c r="Z31" s="60">
        <v>1</v>
      </c>
      <c r="AA31" s="60"/>
      <c r="AB31" s="60">
        <v>15</v>
      </c>
      <c r="AC31" s="60">
        <v>2</v>
      </c>
      <c r="AD31" s="60">
        <v>9</v>
      </c>
      <c r="AE31" s="78">
        <f t="shared" si="4"/>
        <v>80</v>
      </c>
      <c r="AF31" s="30"/>
      <c r="AG31" s="30"/>
    </row>
    <row r="32" spans="1:33" x14ac:dyDescent="0.4">
      <c r="A32" s="30" t="s">
        <v>111</v>
      </c>
      <c r="B32" s="30"/>
      <c r="C32" s="60"/>
      <c r="D32" s="60"/>
      <c r="E32" s="60"/>
      <c r="F32" s="60"/>
      <c r="G32" s="60"/>
      <c r="H32" s="60"/>
      <c r="I32" s="60"/>
      <c r="J32" s="60"/>
      <c r="K32" s="60"/>
      <c r="L32" s="60">
        <v>2</v>
      </c>
      <c r="M32" s="60"/>
      <c r="N32" s="60"/>
      <c r="O32" s="60"/>
      <c r="P32" s="60"/>
      <c r="Q32" s="60"/>
      <c r="R32" s="60"/>
      <c r="S32" s="60"/>
      <c r="T32" s="60"/>
      <c r="U32" s="60"/>
      <c r="V32" s="60"/>
      <c r="W32" s="60"/>
      <c r="X32" s="60"/>
      <c r="Y32" s="60"/>
      <c r="Z32" s="60"/>
      <c r="AA32" s="60"/>
      <c r="AB32" s="60"/>
      <c r="AC32" s="60"/>
      <c r="AD32" s="60"/>
      <c r="AE32" s="78">
        <f t="shared" si="4"/>
        <v>2</v>
      </c>
      <c r="AF32" s="30"/>
      <c r="AG32" s="30"/>
    </row>
    <row r="33" spans="1:33" ht="13" thickBot="1" x14ac:dyDescent="0.45">
      <c r="A33" s="30" t="str">
        <f t="shared" si="3"/>
        <v>MISC</v>
      </c>
      <c r="B33" s="30"/>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8">
        <f t="shared" si="4"/>
        <v>0</v>
      </c>
      <c r="AF33" s="30"/>
      <c r="AG33" s="30"/>
    </row>
    <row r="34" spans="1:33" x14ac:dyDescent="0.4">
      <c r="A34" s="30" t="s">
        <v>25</v>
      </c>
      <c r="B34" s="30"/>
      <c r="C34" s="60">
        <f>0+SUM(C20:C33)</f>
        <v>1</v>
      </c>
      <c r="D34" s="60">
        <f t="shared" ref="D34:AD34" si="5">0+SUM(D20:D33)</f>
        <v>0</v>
      </c>
      <c r="E34" s="60">
        <f t="shared" si="5"/>
        <v>0</v>
      </c>
      <c r="F34" s="60">
        <f t="shared" si="5"/>
        <v>58</v>
      </c>
      <c r="G34" s="60">
        <f t="shared" si="5"/>
        <v>9</v>
      </c>
      <c r="H34" s="60">
        <f t="shared" si="5"/>
        <v>31</v>
      </c>
      <c r="I34" s="60">
        <f t="shared" si="5"/>
        <v>0</v>
      </c>
      <c r="J34" s="60">
        <f t="shared" si="5"/>
        <v>0</v>
      </c>
      <c r="K34" s="60">
        <f t="shared" si="5"/>
        <v>11</v>
      </c>
      <c r="L34" s="60">
        <f t="shared" si="5"/>
        <v>27</v>
      </c>
      <c r="M34" s="60">
        <f t="shared" si="5"/>
        <v>25</v>
      </c>
      <c r="N34" s="60">
        <f t="shared" si="5"/>
        <v>6</v>
      </c>
      <c r="O34" s="60">
        <f t="shared" si="5"/>
        <v>41</v>
      </c>
      <c r="P34" s="60">
        <f t="shared" si="5"/>
        <v>2</v>
      </c>
      <c r="Q34" s="60">
        <f t="shared" si="5"/>
        <v>0</v>
      </c>
      <c r="R34" s="60">
        <f t="shared" si="5"/>
        <v>64</v>
      </c>
      <c r="S34" s="60">
        <f t="shared" si="5"/>
        <v>0</v>
      </c>
      <c r="T34" s="60">
        <f t="shared" si="5"/>
        <v>0</v>
      </c>
      <c r="U34" s="60">
        <f t="shared" si="5"/>
        <v>0</v>
      </c>
      <c r="V34" s="60">
        <f t="shared" si="5"/>
        <v>63</v>
      </c>
      <c r="W34" s="60">
        <f t="shared" si="5"/>
        <v>66</v>
      </c>
      <c r="X34" s="60">
        <f t="shared" si="5"/>
        <v>12</v>
      </c>
      <c r="Y34" s="60">
        <f t="shared" si="5"/>
        <v>11</v>
      </c>
      <c r="Z34" s="60">
        <f t="shared" si="5"/>
        <v>24</v>
      </c>
      <c r="AA34" s="60">
        <f t="shared" si="5"/>
        <v>4</v>
      </c>
      <c r="AB34" s="60">
        <f t="shared" si="5"/>
        <v>85</v>
      </c>
      <c r="AC34" s="60">
        <f t="shared" si="5"/>
        <v>22</v>
      </c>
      <c r="AD34" s="60">
        <f t="shared" si="5"/>
        <v>112</v>
      </c>
      <c r="AE34" s="30">
        <f>SUM(AE20:AE33)</f>
        <v>674</v>
      </c>
      <c r="AF34" s="30"/>
      <c r="AG34" s="30"/>
    </row>
    <row r="35" spans="1:33" ht="13" thickBot="1" x14ac:dyDescent="0.45">
      <c r="A35" s="30"/>
      <c r="B35" s="3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30"/>
      <c r="AF35" s="30"/>
      <c r="AG35" s="30"/>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65">
        <v>24</v>
      </c>
      <c r="AA37" s="65">
        <v>25</v>
      </c>
      <c r="AB37" s="65">
        <v>26</v>
      </c>
      <c r="AC37" s="65">
        <v>27</v>
      </c>
      <c r="AD37" s="65">
        <v>28</v>
      </c>
      <c r="AE37" s="13" t="s">
        <v>2</v>
      </c>
      <c r="AF37" s="26" t="s">
        <v>61</v>
      </c>
      <c r="AG37" s="27" t="s">
        <v>59</v>
      </c>
    </row>
    <row r="38" spans="1:33" x14ac:dyDescent="0.4">
      <c r="A38" s="30" t="str">
        <f>A20</f>
        <v>RUDDY</v>
      </c>
      <c r="B38" s="30"/>
      <c r="C38" s="60">
        <f t="shared" ref="C38:AD47" si="7">C3+C20</f>
        <v>0</v>
      </c>
      <c r="D38" s="60">
        <f t="shared" si="7"/>
        <v>0</v>
      </c>
      <c r="E38" s="60">
        <f t="shared" si="7"/>
        <v>0</v>
      </c>
      <c r="F38" s="60">
        <f t="shared" si="7"/>
        <v>0</v>
      </c>
      <c r="G38" s="60">
        <f t="shared" si="7"/>
        <v>0</v>
      </c>
      <c r="H38" s="60">
        <f t="shared" si="7"/>
        <v>0</v>
      </c>
      <c r="I38" s="60">
        <f t="shared" si="7"/>
        <v>0</v>
      </c>
      <c r="J38" s="60">
        <f t="shared" si="7"/>
        <v>0</v>
      </c>
      <c r="K38" s="60">
        <f t="shared" si="7"/>
        <v>0</v>
      </c>
      <c r="L38" s="60">
        <f t="shared" si="7"/>
        <v>0</v>
      </c>
      <c r="M38" s="60">
        <f t="shared" si="7"/>
        <v>2</v>
      </c>
      <c r="N38" s="60">
        <f t="shared" si="7"/>
        <v>0</v>
      </c>
      <c r="O38" s="60">
        <f t="shared" si="7"/>
        <v>0</v>
      </c>
      <c r="P38" s="60">
        <f t="shared" si="7"/>
        <v>0</v>
      </c>
      <c r="Q38" s="60">
        <f t="shared" si="7"/>
        <v>0</v>
      </c>
      <c r="R38" s="60">
        <f t="shared" si="7"/>
        <v>1</v>
      </c>
      <c r="S38" s="60">
        <f t="shared" si="7"/>
        <v>0</v>
      </c>
      <c r="T38" s="60">
        <f t="shared" si="7"/>
        <v>0</v>
      </c>
      <c r="U38" s="60">
        <f t="shared" si="7"/>
        <v>0</v>
      </c>
      <c r="V38" s="60">
        <f t="shared" si="7"/>
        <v>0</v>
      </c>
      <c r="W38" s="60">
        <f t="shared" si="7"/>
        <v>0</v>
      </c>
      <c r="X38" s="60">
        <f t="shared" si="7"/>
        <v>0</v>
      </c>
      <c r="Y38" s="60">
        <f t="shared" si="7"/>
        <v>0</v>
      </c>
      <c r="Z38" s="60">
        <f t="shared" si="7"/>
        <v>0</v>
      </c>
      <c r="AA38" s="60">
        <f t="shared" si="7"/>
        <v>0</v>
      </c>
      <c r="AB38" s="60">
        <f t="shared" si="7"/>
        <v>0</v>
      </c>
      <c r="AC38" s="60">
        <f t="shared" si="7"/>
        <v>0</v>
      </c>
      <c r="AD38" s="60">
        <f t="shared" si="7"/>
        <v>1</v>
      </c>
      <c r="AE38" s="77">
        <f>SUM(C38:AD38)</f>
        <v>4</v>
      </c>
      <c r="AF38" s="84">
        <f>AE38/$AE$52</f>
        <v>4.3383947939262474E-3</v>
      </c>
      <c r="AG38" s="67">
        <f>[1]Species!$P$40</f>
        <v>5.5300623602776797E-3</v>
      </c>
    </row>
    <row r="39" spans="1:33" x14ac:dyDescent="0.4">
      <c r="A39" s="30" t="str">
        <f t="shared" ref="A39:A50" si="8">A21</f>
        <v>CANVASBACK</v>
      </c>
      <c r="B39" s="30"/>
      <c r="C39" s="60">
        <f t="shared" si="7"/>
        <v>0</v>
      </c>
      <c r="D39" s="60">
        <f t="shared" si="7"/>
        <v>0</v>
      </c>
      <c r="E39" s="60">
        <f t="shared" si="7"/>
        <v>0</v>
      </c>
      <c r="F39" s="60">
        <f t="shared" si="7"/>
        <v>1</v>
      </c>
      <c r="G39" s="60">
        <f t="shared" si="7"/>
        <v>0</v>
      </c>
      <c r="H39" s="60">
        <f t="shared" si="7"/>
        <v>1</v>
      </c>
      <c r="I39" s="60">
        <f t="shared" si="7"/>
        <v>0</v>
      </c>
      <c r="J39" s="60">
        <f t="shared" si="7"/>
        <v>0</v>
      </c>
      <c r="K39" s="60">
        <f t="shared" si="7"/>
        <v>0</v>
      </c>
      <c r="L39" s="60">
        <f t="shared" si="7"/>
        <v>0</v>
      </c>
      <c r="M39" s="60">
        <f t="shared" si="7"/>
        <v>0</v>
      </c>
      <c r="N39" s="60">
        <f t="shared" si="7"/>
        <v>0</v>
      </c>
      <c r="O39" s="60">
        <f t="shared" si="7"/>
        <v>0</v>
      </c>
      <c r="P39" s="60">
        <f t="shared" si="7"/>
        <v>0</v>
      </c>
      <c r="Q39" s="60">
        <f t="shared" si="7"/>
        <v>0</v>
      </c>
      <c r="R39" s="60">
        <f t="shared" si="7"/>
        <v>1</v>
      </c>
      <c r="S39" s="60">
        <f t="shared" si="7"/>
        <v>0</v>
      </c>
      <c r="T39" s="60">
        <f t="shared" si="7"/>
        <v>0</v>
      </c>
      <c r="U39" s="60">
        <f t="shared" si="7"/>
        <v>0</v>
      </c>
      <c r="V39" s="60">
        <f t="shared" si="7"/>
        <v>1</v>
      </c>
      <c r="W39" s="60">
        <f t="shared" si="7"/>
        <v>3</v>
      </c>
      <c r="X39" s="60">
        <f t="shared" si="7"/>
        <v>0</v>
      </c>
      <c r="Y39" s="60">
        <f t="shared" si="7"/>
        <v>0</v>
      </c>
      <c r="Z39" s="60">
        <f t="shared" si="7"/>
        <v>0</v>
      </c>
      <c r="AA39" s="60">
        <f t="shared" si="7"/>
        <v>0</v>
      </c>
      <c r="AB39" s="60">
        <f t="shared" si="7"/>
        <v>0</v>
      </c>
      <c r="AC39" s="60">
        <f t="shared" si="7"/>
        <v>0</v>
      </c>
      <c r="AD39" s="60">
        <f t="shared" si="7"/>
        <v>0</v>
      </c>
      <c r="AE39" s="78">
        <f t="shared" ref="AE39:AE51" si="9">SUM(C39:AD39)</f>
        <v>7</v>
      </c>
      <c r="AF39" s="84">
        <f>AE39/$AE$52</f>
        <v>7.5921908893709323E-3</v>
      </c>
      <c r="AG39" s="67">
        <f>[1]Species!$K$40</f>
        <v>4.8240969525826568E-3</v>
      </c>
    </row>
    <row r="40" spans="1:33" x14ac:dyDescent="0.4">
      <c r="A40" s="30" t="str">
        <f t="shared" si="8"/>
        <v>GADWALL</v>
      </c>
      <c r="B40" s="30"/>
      <c r="C40" s="60">
        <f t="shared" si="7"/>
        <v>0</v>
      </c>
      <c r="D40" s="60">
        <f t="shared" si="7"/>
        <v>0</v>
      </c>
      <c r="E40" s="60">
        <f t="shared" si="7"/>
        <v>0</v>
      </c>
      <c r="F40" s="60">
        <f t="shared" si="7"/>
        <v>1</v>
      </c>
      <c r="G40" s="60">
        <f t="shared" si="7"/>
        <v>1</v>
      </c>
      <c r="H40" s="60">
        <f t="shared" si="7"/>
        <v>1</v>
      </c>
      <c r="I40" s="60">
        <f t="shared" si="7"/>
        <v>0</v>
      </c>
      <c r="J40" s="60">
        <f t="shared" si="7"/>
        <v>0</v>
      </c>
      <c r="K40" s="60">
        <f t="shared" si="7"/>
        <v>0</v>
      </c>
      <c r="L40" s="60">
        <f t="shared" si="7"/>
        <v>1</v>
      </c>
      <c r="M40" s="60">
        <f t="shared" si="7"/>
        <v>2</v>
      </c>
      <c r="N40" s="60">
        <f t="shared" si="7"/>
        <v>0</v>
      </c>
      <c r="O40" s="60">
        <f t="shared" si="7"/>
        <v>1</v>
      </c>
      <c r="P40" s="60">
        <f t="shared" si="7"/>
        <v>0</v>
      </c>
      <c r="Q40" s="60">
        <f t="shared" si="7"/>
        <v>0</v>
      </c>
      <c r="R40" s="60">
        <f t="shared" si="7"/>
        <v>2</v>
      </c>
      <c r="S40" s="60">
        <f t="shared" si="7"/>
        <v>0</v>
      </c>
      <c r="T40" s="60">
        <f t="shared" si="7"/>
        <v>0</v>
      </c>
      <c r="U40" s="60">
        <f t="shared" si="7"/>
        <v>0</v>
      </c>
      <c r="V40" s="60">
        <f t="shared" si="7"/>
        <v>4</v>
      </c>
      <c r="W40" s="60">
        <f t="shared" si="7"/>
        <v>10</v>
      </c>
      <c r="X40" s="60">
        <f t="shared" si="7"/>
        <v>0</v>
      </c>
      <c r="Y40" s="60">
        <f t="shared" si="7"/>
        <v>0</v>
      </c>
      <c r="Z40" s="60">
        <f t="shared" si="7"/>
        <v>1</v>
      </c>
      <c r="AA40" s="60">
        <f t="shared" si="7"/>
        <v>0</v>
      </c>
      <c r="AB40" s="60">
        <f t="shared" si="7"/>
        <v>2</v>
      </c>
      <c r="AC40" s="60">
        <f t="shared" si="7"/>
        <v>0</v>
      </c>
      <c r="AD40" s="60">
        <f t="shared" si="7"/>
        <v>2</v>
      </c>
      <c r="AE40" s="78">
        <f t="shared" si="9"/>
        <v>28</v>
      </c>
      <c r="AF40" s="84">
        <f>AE40/$AE$52</f>
        <v>3.0368763557483729E-2</v>
      </c>
      <c r="AG40" s="67">
        <f>[1]Species!$D$40</f>
        <v>0.15837157312625014</v>
      </c>
    </row>
    <row r="41" spans="1:33" x14ac:dyDescent="0.4">
      <c r="A41" s="30" t="str">
        <f t="shared" si="8"/>
        <v>GEESE</v>
      </c>
      <c r="B41" s="30"/>
      <c r="C41" s="60">
        <f t="shared" si="7"/>
        <v>0</v>
      </c>
      <c r="D41" s="60">
        <f t="shared" si="7"/>
        <v>0</v>
      </c>
      <c r="E41" s="60">
        <f t="shared" si="7"/>
        <v>0</v>
      </c>
      <c r="F41" s="60">
        <f t="shared" si="7"/>
        <v>0</v>
      </c>
      <c r="G41" s="60">
        <f t="shared" si="7"/>
        <v>0</v>
      </c>
      <c r="H41" s="60">
        <f t="shared" si="7"/>
        <v>1</v>
      </c>
      <c r="I41" s="60">
        <f t="shared" si="7"/>
        <v>0</v>
      </c>
      <c r="J41" s="60">
        <f t="shared" si="7"/>
        <v>0</v>
      </c>
      <c r="K41" s="60">
        <f t="shared" si="7"/>
        <v>0</v>
      </c>
      <c r="L41" s="60">
        <f t="shared" si="7"/>
        <v>0</v>
      </c>
      <c r="M41" s="60">
        <f t="shared" si="7"/>
        <v>0</v>
      </c>
      <c r="N41" s="60">
        <f t="shared" si="7"/>
        <v>0</v>
      </c>
      <c r="O41" s="60">
        <f t="shared" si="7"/>
        <v>0</v>
      </c>
      <c r="P41" s="60">
        <f t="shared" si="7"/>
        <v>0</v>
      </c>
      <c r="Q41" s="60">
        <f t="shared" si="7"/>
        <v>0</v>
      </c>
      <c r="R41" s="60">
        <f t="shared" si="7"/>
        <v>0</v>
      </c>
      <c r="S41" s="60">
        <f t="shared" si="7"/>
        <v>0</v>
      </c>
      <c r="T41" s="60">
        <f t="shared" si="7"/>
        <v>0</v>
      </c>
      <c r="U41" s="60">
        <f t="shared" si="7"/>
        <v>0</v>
      </c>
      <c r="V41" s="60">
        <f t="shared" si="7"/>
        <v>1</v>
      </c>
      <c r="W41" s="60">
        <f t="shared" si="7"/>
        <v>2</v>
      </c>
      <c r="X41" s="60">
        <f t="shared" si="7"/>
        <v>0</v>
      </c>
      <c r="Y41" s="60">
        <f t="shared" si="7"/>
        <v>0</v>
      </c>
      <c r="Z41" s="60">
        <f t="shared" si="7"/>
        <v>0</v>
      </c>
      <c r="AA41" s="60">
        <f t="shared" si="7"/>
        <v>0</v>
      </c>
      <c r="AB41" s="60">
        <f t="shared" si="7"/>
        <v>0</v>
      </c>
      <c r="AC41" s="60">
        <f t="shared" si="7"/>
        <v>1</v>
      </c>
      <c r="AD41" s="60">
        <f t="shared" si="7"/>
        <v>3</v>
      </c>
      <c r="AE41" s="78">
        <f t="shared" si="9"/>
        <v>8</v>
      </c>
      <c r="AF41" s="84">
        <f>AE41/$AE$52</f>
        <v>8.6767895878524948E-3</v>
      </c>
      <c r="AG41" s="67">
        <f>[1]Species!$AC$40</f>
        <v>2.8238616307800918E-3</v>
      </c>
    </row>
    <row r="42" spans="1:33" x14ac:dyDescent="0.4">
      <c r="A42" s="30" t="str">
        <f t="shared" si="8"/>
        <v>MALLARD</v>
      </c>
      <c r="B42" s="30"/>
      <c r="C42" s="60">
        <f t="shared" si="7"/>
        <v>1</v>
      </c>
      <c r="D42" s="60">
        <f t="shared" si="7"/>
        <v>0</v>
      </c>
      <c r="E42" s="60">
        <f t="shared" si="7"/>
        <v>0</v>
      </c>
      <c r="F42" s="60">
        <f t="shared" si="7"/>
        <v>1</v>
      </c>
      <c r="G42" s="60">
        <f t="shared" si="7"/>
        <v>0</v>
      </c>
      <c r="H42" s="60">
        <f t="shared" si="7"/>
        <v>4</v>
      </c>
      <c r="I42" s="60">
        <f t="shared" si="7"/>
        <v>0</v>
      </c>
      <c r="J42" s="60">
        <f t="shared" si="7"/>
        <v>0</v>
      </c>
      <c r="K42" s="60">
        <f t="shared" si="7"/>
        <v>0</v>
      </c>
      <c r="L42" s="60">
        <f t="shared" si="7"/>
        <v>0</v>
      </c>
      <c r="M42" s="60">
        <f t="shared" si="7"/>
        <v>0</v>
      </c>
      <c r="N42" s="60">
        <f t="shared" si="7"/>
        <v>0</v>
      </c>
      <c r="O42" s="60">
        <f t="shared" si="7"/>
        <v>0</v>
      </c>
      <c r="P42" s="60">
        <f t="shared" si="7"/>
        <v>0</v>
      </c>
      <c r="Q42" s="60">
        <f t="shared" si="7"/>
        <v>0</v>
      </c>
      <c r="R42" s="60">
        <f t="shared" si="7"/>
        <v>0</v>
      </c>
      <c r="S42" s="60">
        <f t="shared" si="7"/>
        <v>0</v>
      </c>
      <c r="T42" s="60">
        <f t="shared" si="7"/>
        <v>0</v>
      </c>
      <c r="U42" s="60">
        <f t="shared" si="7"/>
        <v>0</v>
      </c>
      <c r="V42" s="60">
        <f t="shared" si="7"/>
        <v>1</v>
      </c>
      <c r="W42" s="60">
        <f t="shared" si="7"/>
        <v>1</v>
      </c>
      <c r="X42" s="60">
        <f t="shared" si="7"/>
        <v>0</v>
      </c>
      <c r="Y42" s="60">
        <f t="shared" si="7"/>
        <v>0</v>
      </c>
      <c r="Z42" s="60">
        <f t="shared" si="7"/>
        <v>0</v>
      </c>
      <c r="AA42" s="60">
        <f t="shared" si="7"/>
        <v>0</v>
      </c>
      <c r="AB42" s="60">
        <f t="shared" si="7"/>
        <v>0</v>
      </c>
      <c r="AC42" s="60">
        <f t="shared" si="7"/>
        <v>4</v>
      </c>
      <c r="AD42" s="60">
        <f t="shared" si="7"/>
        <v>2</v>
      </c>
      <c r="AE42" s="78">
        <f t="shared" si="9"/>
        <v>14</v>
      </c>
      <c r="AF42" s="84">
        <f t="shared" ref="AF42:AF51" si="10">AE42/$AE$52</f>
        <v>1.5184381778741865E-2</v>
      </c>
      <c r="AG42" s="67">
        <f>[1]Species!$C$40</f>
        <v>3.2474408753971055E-2</v>
      </c>
    </row>
    <row r="43" spans="1:33" x14ac:dyDescent="0.4">
      <c r="A43" s="30" t="str">
        <f t="shared" si="8"/>
        <v>PINTAIL</v>
      </c>
      <c r="B43" s="30"/>
      <c r="C43" s="60">
        <f t="shared" si="7"/>
        <v>0</v>
      </c>
      <c r="D43" s="60">
        <f t="shared" si="7"/>
        <v>0</v>
      </c>
      <c r="E43" s="60">
        <f t="shared" si="7"/>
        <v>0</v>
      </c>
      <c r="F43" s="60">
        <f t="shared" si="7"/>
        <v>10</v>
      </c>
      <c r="G43" s="60">
        <f t="shared" si="7"/>
        <v>2</v>
      </c>
      <c r="H43" s="60">
        <f t="shared" si="7"/>
        <v>10</v>
      </c>
      <c r="I43" s="60">
        <f t="shared" si="7"/>
        <v>0</v>
      </c>
      <c r="J43" s="60">
        <f t="shared" si="7"/>
        <v>0</v>
      </c>
      <c r="K43" s="60">
        <f t="shared" si="7"/>
        <v>1</v>
      </c>
      <c r="L43" s="60">
        <f t="shared" si="7"/>
        <v>6</v>
      </c>
      <c r="M43" s="60">
        <f t="shared" si="7"/>
        <v>1</v>
      </c>
      <c r="N43" s="60">
        <f t="shared" si="7"/>
        <v>0</v>
      </c>
      <c r="O43" s="60">
        <f t="shared" si="7"/>
        <v>7</v>
      </c>
      <c r="P43" s="60">
        <f t="shared" si="7"/>
        <v>0</v>
      </c>
      <c r="Q43" s="60">
        <f t="shared" si="7"/>
        <v>0</v>
      </c>
      <c r="R43" s="60">
        <f t="shared" si="7"/>
        <v>8</v>
      </c>
      <c r="S43" s="60">
        <f t="shared" si="7"/>
        <v>0</v>
      </c>
      <c r="T43" s="60">
        <f t="shared" si="7"/>
        <v>0</v>
      </c>
      <c r="U43" s="60">
        <f t="shared" si="7"/>
        <v>0</v>
      </c>
      <c r="V43" s="60">
        <f t="shared" si="7"/>
        <v>7</v>
      </c>
      <c r="W43" s="60">
        <f t="shared" si="7"/>
        <v>12</v>
      </c>
      <c r="X43" s="60">
        <f t="shared" si="7"/>
        <v>1</v>
      </c>
      <c r="Y43" s="60">
        <f t="shared" si="7"/>
        <v>2</v>
      </c>
      <c r="Z43" s="60">
        <f t="shared" si="7"/>
        <v>5</v>
      </c>
      <c r="AA43" s="60">
        <f t="shared" si="7"/>
        <v>2</v>
      </c>
      <c r="AB43" s="60">
        <f t="shared" si="7"/>
        <v>11</v>
      </c>
      <c r="AC43" s="60">
        <f t="shared" si="7"/>
        <v>5</v>
      </c>
      <c r="AD43" s="60">
        <f t="shared" si="7"/>
        <v>15</v>
      </c>
      <c r="AE43" s="78">
        <f t="shared" si="9"/>
        <v>105</v>
      </c>
      <c r="AF43" s="84">
        <f t="shared" si="10"/>
        <v>0.11388286334056399</v>
      </c>
      <c r="AG43" s="67">
        <f>[1]Species!$F$40</f>
        <v>6.6243087422049651E-2</v>
      </c>
    </row>
    <row r="44" spans="1:33" x14ac:dyDescent="0.4">
      <c r="A44" s="30" t="str">
        <f t="shared" si="8"/>
        <v>REDHEAD</v>
      </c>
      <c r="B44" s="30"/>
      <c r="C44" s="60">
        <f t="shared" si="7"/>
        <v>0</v>
      </c>
      <c r="D44" s="60">
        <f t="shared" si="7"/>
        <v>0</v>
      </c>
      <c r="E44" s="60">
        <f t="shared" si="7"/>
        <v>0</v>
      </c>
      <c r="F44" s="60">
        <f t="shared" si="7"/>
        <v>0</v>
      </c>
      <c r="G44" s="60">
        <f t="shared" si="7"/>
        <v>0</v>
      </c>
      <c r="H44" s="60">
        <f t="shared" si="7"/>
        <v>0</v>
      </c>
      <c r="I44" s="60">
        <f t="shared" si="7"/>
        <v>0</v>
      </c>
      <c r="J44" s="60">
        <f t="shared" si="7"/>
        <v>0</v>
      </c>
      <c r="K44" s="60">
        <f t="shared" si="7"/>
        <v>0</v>
      </c>
      <c r="L44" s="60">
        <f t="shared" si="7"/>
        <v>0</v>
      </c>
      <c r="M44" s="60">
        <f t="shared" si="7"/>
        <v>0</v>
      </c>
      <c r="N44" s="60">
        <f t="shared" si="7"/>
        <v>0</v>
      </c>
      <c r="O44" s="60">
        <f t="shared" si="7"/>
        <v>0</v>
      </c>
      <c r="P44" s="60">
        <f t="shared" si="7"/>
        <v>0</v>
      </c>
      <c r="Q44" s="60">
        <f t="shared" si="7"/>
        <v>0</v>
      </c>
      <c r="R44" s="60">
        <f t="shared" si="7"/>
        <v>0</v>
      </c>
      <c r="S44" s="60">
        <f t="shared" si="7"/>
        <v>0</v>
      </c>
      <c r="T44" s="60">
        <f t="shared" si="7"/>
        <v>0</v>
      </c>
      <c r="U44" s="60">
        <f t="shared" si="7"/>
        <v>0</v>
      </c>
      <c r="V44" s="60">
        <f t="shared" si="7"/>
        <v>1</v>
      </c>
      <c r="W44" s="60">
        <f t="shared" si="7"/>
        <v>0</v>
      </c>
      <c r="X44" s="60">
        <f t="shared" si="7"/>
        <v>0</v>
      </c>
      <c r="Y44" s="60">
        <f t="shared" si="7"/>
        <v>0</v>
      </c>
      <c r="Z44" s="60">
        <f t="shared" si="7"/>
        <v>0</v>
      </c>
      <c r="AA44" s="60">
        <f t="shared" si="7"/>
        <v>0</v>
      </c>
      <c r="AB44" s="60">
        <f t="shared" si="7"/>
        <v>0</v>
      </c>
      <c r="AC44" s="60">
        <f t="shared" si="7"/>
        <v>0</v>
      </c>
      <c r="AD44" s="60">
        <f t="shared" si="7"/>
        <v>0</v>
      </c>
      <c r="AE44" s="78">
        <f t="shared" si="9"/>
        <v>1</v>
      </c>
      <c r="AF44" s="84">
        <f t="shared" si="10"/>
        <v>1.0845986984815619E-3</v>
      </c>
      <c r="AG44" s="67">
        <f>[1]Species!$J$40</f>
        <v>6.6478409224614662E-2</v>
      </c>
    </row>
    <row r="45" spans="1:33" x14ac:dyDescent="0.4">
      <c r="A45" s="30" t="str">
        <f t="shared" si="8"/>
        <v>WOODY</v>
      </c>
      <c r="B45" s="30"/>
      <c r="C45" s="60">
        <f t="shared" si="7"/>
        <v>0</v>
      </c>
      <c r="D45" s="60">
        <f t="shared" si="7"/>
        <v>0</v>
      </c>
      <c r="E45" s="60">
        <f t="shared" si="7"/>
        <v>0</v>
      </c>
      <c r="F45" s="60">
        <f t="shared" si="7"/>
        <v>0</v>
      </c>
      <c r="G45" s="60">
        <f t="shared" si="7"/>
        <v>0</v>
      </c>
      <c r="H45" s="60">
        <f t="shared" si="7"/>
        <v>0</v>
      </c>
      <c r="I45" s="60">
        <f t="shared" si="7"/>
        <v>0</v>
      </c>
      <c r="J45" s="60">
        <f t="shared" si="7"/>
        <v>0</v>
      </c>
      <c r="K45" s="60">
        <f t="shared" si="7"/>
        <v>0</v>
      </c>
      <c r="L45" s="60">
        <f t="shared" si="7"/>
        <v>0</v>
      </c>
      <c r="M45" s="60">
        <f t="shared" si="7"/>
        <v>1</v>
      </c>
      <c r="N45" s="60">
        <f t="shared" si="7"/>
        <v>0</v>
      </c>
      <c r="O45" s="60">
        <f t="shared" si="7"/>
        <v>0</v>
      </c>
      <c r="P45" s="60">
        <f t="shared" si="7"/>
        <v>0</v>
      </c>
      <c r="Q45" s="60">
        <f t="shared" si="7"/>
        <v>0</v>
      </c>
      <c r="R45" s="60">
        <f t="shared" si="7"/>
        <v>0</v>
      </c>
      <c r="S45" s="60">
        <f t="shared" si="7"/>
        <v>0</v>
      </c>
      <c r="T45" s="60">
        <f t="shared" si="7"/>
        <v>0</v>
      </c>
      <c r="U45" s="60">
        <f t="shared" si="7"/>
        <v>0</v>
      </c>
      <c r="V45" s="60">
        <f t="shared" si="7"/>
        <v>0</v>
      </c>
      <c r="W45" s="60">
        <f t="shared" si="7"/>
        <v>0</v>
      </c>
      <c r="X45" s="60">
        <f t="shared" si="7"/>
        <v>0</v>
      </c>
      <c r="Y45" s="60">
        <f t="shared" si="7"/>
        <v>0</v>
      </c>
      <c r="Z45" s="60">
        <f t="shared" si="7"/>
        <v>0</v>
      </c>
      <c r="AA45" s="60">
        <f t="shared" si="7"/>
        <v>0</v>
      </c>
      <c r="AB45" s="60">
        <f t="shared" si="7"/>
        <v>0</v>
      </c>
      <c r="AC45" s="60">
        <f t="shared" si="7"/>
        <v>0</v>
      </c>
      <c r="AD45" s="60">
        <f t="shared" si="7"/>
        <v>0</v>
      </c>
      <c r="AE45" s="78">
        <f t="shared" si="9"/>
        <v>1</v>
      </c>
      <c r="AF45" s="84">
        <f t="shared" si="10"/>
        <v>1.0845986984815619E-3</v>
      </c>
      <c r="AG45" s="67">
        <f>[1]Species!$Q$40</f>
        <v>1.4119308153900459E-3</v>
      </c>
    </row>
    <row r="46" spans="1:33" x14ac:dyDescent="0.4">
      <c r="A46" s="30" t="str">
        <f t="shared" si="8"/>
        <v>B'HEAD</v>
      </c>
      <c r="B46" s="30"/>
      <c r="C46" s="60">
        <f t="shared" si="7"/>
        <v>0</v>
      </c>
      <c r="D46" s="60">
        <f t="shared" si="7"/>
        <v>0</v>
      </c>
      <c r="E46" s="60">
        <f t="shared" si="7"/>
        <v>0</v>
      </c>
      <c r="F46" s="60">
        <f t="shared" si="7"/>
        <v>0</v>
      </c>
      <c r="G46" s="60">
        <f t="shared" si="7"/>
        <v>0</v>
      </c>
      <c r="H46" s="60">
        <f t="shared" si="7"/>
        <v>1</v>
      </c>
      <c r="I46" s="60">
        <f t="shared" si="7"/>
        <v>0</v>
      </c>
      <c r="J46" s="60">
        <f t="shared" si="7"/>
        <v>0</v>
      </c>
      <c r="K46" s="60">
        <f t="shared" si="7"/>
        <v>0</v>
      </c>
      <c r="L46" s="60">
        <f t="shared" si="7"/>
        <v>0</v>
      </c>
      <c r="M46" s="60">
        <f t="shared" si="7"/>
        <v>0</v>
      </c>
      <c r="N46" s="60">
        <f t="shared" si="7"/>
        <v>0</v>
      </c>
      <c r="O46" s="60">
        <f t="shared" si="7"/>
        <v>0</v>
      </c>
      <c r="P46" s="60">
        <f t="shared" si="7"/>
        <v>0</v>
      </c>
      <c r="Q46" s="60">
        <f t="shared" si="7"/>
        <v>0</v>
      </c>
      <c r="R46" s="60">
        <f t="shared" si="7"/>
        <v>1</v>
      </c>
      <c r="S46" s="60">
        <f t="shared" si="7"/>
        <v>0</v>
      </c>
      <c r="T46" s="60">
        <f t="shared" si="7"/>
        <v>0</v>
      </c>
      <c r="U46" s="60">
        <f t="shared" si="7"/>
        <v>0</v>
      </c>
      <c r="V46" s="60">
        <f t="shared" si="7"/>
        <v>0</v>
      </c>
      <c r="W46" s="60">
        <f t="shared" si="7"/>
        <v>0</v>
      </c>
      <c r="X46" s="60">
        <f t="shared" si="7"/>
        <v>0</v>
      </c>
      <c r="Y46" s="60">
        <f t="shared" si="7"/>
        <v>0</v>
      </c>
      <c r="Z46" s="60">
        <f t="shared" si="7"/>
        <v>0</v>
      </c>
      <c r="AA46" s="60">
        <f t="shared" si="7"/>
        <v>0</v>
      </c>
      <c r="AB46" s="60">
        <f t="shared" si="7"/>
        <v>0</v>
      </c>
      <c r="AC46" s="60">
        <f t="shared" si="7"/>
        <v>0</v>
      </c>
      <c r="AD46" s="60">
        <f t="shared" si="7"/>
        <v>0</v>
      </c>
      <c r="AE46" s="78">
        <f t="shared" si="9"/>
        <v>2</v>
      </c>
      <c r="AF46" s="84">
        <f t="shared" si="10"/>
        <v>2.1691973969631237E-3</v>
      </c>
      <c r="AG46" s="67">
        <f>[1]Species!$N$40</f>
        <v>2.7179668196258382E-2</v>
      </c>
    </row>
    <row r="47" spans="1:33" x14ac:dyDescent="0.4">
      <c r="A47" s="30" t="str">
        <f t="shared" si="8"/>
        <v>SPOONY</v>
      </c>
      <c r="B47" s="30"/>
      <c r="C47" s="60">
        <f t="shared" si="7"/>
        <v>19</v>
      </c>
      <c r="D47" s="60">
        <f t="shared" si="7"/>
        <v>5</v>
      </c>
      <c r="E47" s="60">
        <f t="shared" si="7"/>
        <v>2</v>
      </c>
      <c r="F47" s="60">
        <f t="shared" ref="C47:AD51" si="11">F12+F29</f>
        <v>19</v>
      </c>
      <c r="G47" s="60">
        <f t="shared" si="11"/>
        <v>21</v>
      </c>
      <c r="H47" s="60">
        <f t="shared" si="11"/>
        <v>41</v>
      </c>
      <c r="I47" s="60">
        <f t="shared" si="11"/>
        <v>7</v>
      </c>
      <c r="J47" s="60">
        <f t="shared" si="11"/>
        <v>0</v>
      </c>
      <c r="K47" s="60">
        <f t="shared" si="11"/>
        <v>8</v>
      </c>
      <c r="L47" s="60">
        <f t="shared" si="11"/>
        <v>7</v>
      </c>
      <c r="M47" s="60">
        <f t="shared" si="11"/>
        <v>32</v>
      </c>
      <c r="N47" s="60">
        <f t="shared" si="11"/>
        <v>3</v>
      </c>
      <c r="O47" s="60">
        <f t="shared" si="11"/>
        <v>8</v>
      </c>
      <c r="P47" s="60">
        <f t="shared" si="11"/>
        <v>6</v>
      </c>
      <c r="Q47" s="60">
        <f t="shared" si="11"/>
        <v>0</v>
      </c>
      <c r="R47" s="60">
        <f t="shared" si="11"/>
        <v>37</v>
      </c>
      <c r="S47" s="60">
        <f t="shared" si="11"/>
        <v>0</v>
      </c>
      <c r="T47" s="60">
        <f t="shared" si="11"/>
        <v>0</v>
      </c>
      <c r="U47" s="60">
        <f t="shared" si="11"/>
        <v>0</v>
      </c>
      <c r="V47" s="60">
        <f t="shared" si="11"/>
        <v>7</v>
      </c>
      <c r="W47" s="60">
        <f t="shared" si="11"/>
        <v>30</v>
      </c>
      <c r="X47" s="60">
        <f t="shared" si="11"/>
        <v>1</v>
      </c>
      <c r="Y47" s="60">
        <f t="shared" si="11"/>
        <v>6</v>
      </c>
      <c r="Z47" s="60">
        <f t="shared" si="11"/>
        <v>2</v>
      </c>
      <c r="AA47" s="60">
        <f t="shared" si="11"/>
        <v>1</v>
      </c>
      <c r="AB47" s="60">
        <f t="shared" si="11"/>
        <v>9</v>
      </c>
      <c r="AC47" s="60">
        <f t="shared" si="11"/>
        <v>0</v>
      </c>
      <c r="AD47" s="60">
        <f t="shared" si="11"/>
        <v>11</v>
      </c>
      <c r="AE47" s="78">
        <f t="shared" si="9"/>
        <v>282</v>
      </c>
      <c r="AF47" s="84">
        <f>AE47/$AE$52</f>
        <v>0.30585683297180044</v>
      </c>
      <c r="AG47" s="67">
        <f>[1]Species!$I$40</f>
        <v>0.29356394869984703</v>
      </c>
    </row>
    <row r="48" spans="1:33" x14ac:dyDescent="0.4">
      <c r="A48" s="30" t="str">
        <f t="shared" si="8"/>
        <v>TEAL</v>
      </c>
      <c r="B48" s="30"/>
      <c r="C48" s="60">
        <f t="shared" si="11"/>
        <v>11</v>
      </c>
      <c r="D48" s="60">
        <f t="shared" si="11"/>
        <v>1</v>
      </c>
      <c r="E48" s="60">
        <f t="shared" si="11"/>
        <v>2</v>
      </c>
      <c r="F48" s="60">
        <f t="shared" si="11"/>
        <v>44</v>
      </c>
      <c r="G48" s="60">
        <f t="shared" si="11"/>
        <v>5</v>
      </c>
      <c r="H48" s="60">
        <f t="shared" si="11"/>
        <v>19</v>
      </c>
      <c r="I48" s="60">
        <f t="shared" si="11"/>
        <v>1</v>
      </c>
      <c r="J48" s="60">
        <f t="shared" si="11"/>
        <v>0</v>
      </c>
      <c r="K48" s="60">
        <f t="shared" si="11"/>
        <v>8</v>
      </c>
      <c r="L48" s="60">
        <f t="shared" si="11"/>
        <v>7</v>
      </c>
      <c r="M48" s="60">
        <f t="shared" si="11"/>
        <v>18</v>
      </c>
      <c r="N48" s="60">
        <f t="shared" si="11"/>
        <v>8</v>
      </c>
      <c r="O48" s="60">
        <f t="shared" si="11"/>
        <v>21</v>
      </c>
      <c r="P48" s="60">
        <f t="shared" si="11"/>
        <v>0</v>
      </c>
      <c r="Q48" s="60">
        <f t="shared" si="11"/>
        <v>0</v>
      </c>
      <c r="R48" s="60">
        <f t="shared" si="11"/>
        <v>39</v>
      </c>
      <c r="S48" s="60">
        <f t="shared" si="11"/>
        <v>0</v>
      </c>
      <c r="T48" s="60">
        <f t="shared" si="11"/>
        <v>0</v>
      </c>
      <c r="U48" s="60">
        <f t="shared" si="11"/>
        <v>0</v>
      </c>
      <c r="V48" s="60">
        <f t="shared" si="11"/>
        <v>25</v>
      </c>
      <c r="W48" s="60">
        <f t="shared" si="11"/>
        <v>16</v>
      </c>
      <c r="X48" s="60">
        <f t="shared" si="11"/>
        <v>6</v>
      </c>
      <c r="Y48" s="60">
        <f t="shared" si="11"/>
        <v>2</v>
      </c>
      <c r="Z48" s="60">
        <f t="shared" si="11"/>
        <v>17</v>
      </c>
      <c r="AA48" s="60">
        <f t="shared" si="11"/>
        <v>1</v>
      </c>
      <c r="AB48" s="60">
        <f t="shared" si="11"/>
        <v>49</v>
      </c>
      <c r="AC48" s="60">
        <f t="shared" si="11"/>
        <v>10</v>
      </c>
      <c r="AD48" s="60">
        <f t="shared" si="11"/>
        <v>69</v>
      </c>
      <c r="AE48" s="78">
        <f t="shared" si="9"/>
        <v>379</v>
      </c>
      <c r="AF48" s="84">
        <f t="shared" si="10"/>
        <v>0.41106290672451196</v>
      </c>
      <c r="AG48" s="67">
        <f>[1]Species!$G$40+[1]Species!$H$40+[1]Species!$S$40</f>
        <v>0.26226614895870104</v>
      </c>
    </row>
    <row r="49" spans="1:33" x14ac:dyDescent="0.4">
      <c r="A49" s="30" t="str">
        <f t="shared" si="8"/>
        <v>WIDGEON</v>
      </c>
      <c r="B49" s="30"/>
      <c r="C49" s="60">
        <f t="shared" si="11"/>
        <v>0</v>
      </c>
      <c r="D49" s="60">
        <f t="shared" si="11"/>
        <v>1</v>
      </c>
      <c r="E49" s="60">
        <f t="shared" si="11"/>
        <v>0</v>
      </c>
      <c r="F49" s="60">
        <f t="shared" si="11"/>
        <v>2</v>
      </c>
      <c r="G49" s="60">
        <f t="shared" si="11"/>
        <v>0</v>
      </c>
      <c r="H49" s="60">
        <f t="shared" si="11"/>
        <v>2</v>
      </c>
      <c r="I49" s="60">
        <f t="shared" si="11"/>
        <v>0</v>
      </c>
      <c r="J49" s="60">
        <f t="shared" si="11"/>
        <v>0</v>
      </c>
      <c r="K49" s="60">
        <f t="shared" si="11"/>
        <v>2</v>
      </c>
      <c r="L49" s="60">
        <f t="shared" si="11"/>
        <v>4</v>
      </c>
      <c r="M49" s="60">
        <f t="shared" si="11"/>
        <v>2</v>
      </c>
      <c r="N49" s="60">
        <f t="shared" si="11"/>
        <v>2</v>
      </c>
      <c r="O49" s="60">
        <f t="shared" si="11"/>
        <v>4</v>
      </c>
      <c r="P49" s="60">
        <f t="shared" si="11"/>
        <v>0</v>
      </c>
      <c r="Q49" s="60">
        <f t="shared" si="11"/>
        <v>0</v>
      </c>
      <c r="R49" s="60">
        <f t="shared" si="11"/>
        <v>6</v>
      </c>
      <c r="S49" s="60">
        <f t="shared" si="11"/>
        <v>0</v>
      </c>
      <c r="T49" s="60">
        <f t="shared" si="11"/>
        <v>0</v>
      </c>
      <c r="U49" s="60">
        <f t="shared" si="11"/>
        <v>0</v>
      </c>
      <c r="V49" s="60">
        <f t="shared" si="11"/>
        <v>16</v>
      </c>
      <c r="W49" s="60">
        <f t="shared" si="11"/>
        <v>11</v>
      </c>
      <c r="X49" s="60">
        <f t="shared" si="11"/>
        <v>4</v>
      </c>
      <c r="Y49" s="60">
        <f t="shared" si="11"/>
        <v>4</v>
      </c>
      <c r="Z49" s="60">
        <f t="shared" si="11"/>
        <v>1</v>
      </c>
      <c r="AA49" s="60">
        <f t="shared" si="11"/>
        <v>0</v>
      </c>
      <c r="AB49" s="60">
        <f t="shared" si="11"/>
        <v>17</v>
      </c>
      <c r="AC49" s="60">
        <f t="shared" si="11"/>
        <v>2</v>
      </c>
      <c r="AD49" s="60">
        <f t="shared" si="11"/>
        <v>9</v>
      </c>
      <c r="AE49" s="78">
        <f t="shared" si="9"/>
        <v>89</v>
      </c>
      <c r="AF49" s="84">
        <f t="shared" si="10"/>
        <v>9.6529284164859008E-2</v>
      </c>
      <c r="AG49" s="67">
        <f>[1]Species!$E$40</f>
        <v>4.8593952229674081E-2</v>
      </c>
    </row>
    <row r="50" spans="1:33" x14ac:dyDescent="0.4">
      <c r="A50" s="30" t="str">
        <f t="shared" si="8"/>
        <v>SCAUP</v>
      </c>
      <c r="B50" s="30"/>
      <c r="C50" s="60">
        <f t="shared" si="11"/>
        <v>0</v>
      </c>
      <c r="D50" s="60">
        <f t="shared" si="11"/>
        <v>0</v>
      </c>
      <c r="E50" s="60">
        <f t="shared" si="11"/>
        <v>0</v>
      </c>
      <c r="F50" s="60">
        <f t="shared" si="11"/>
        <v>0</v>
      </c>
      <c r="G50" s="60">
        <f t="shared" si="11"/>
        <v>0</v>
      </c>
      <c r="H50" s="60">
        <f t="shared" si="11"/>
        <v>0</v>
      </c>
      <c r="I50" s="60">
        <f t="shared" si="11"/>
        <v>0</v>
      </c>
      <c r="J50" s="60">
        <f t="shared" si="11"/>
        <v>0</v>
      </c>
      <c r="K50" s="60">
        <f t="shared" si="11"/>
        <v>0</v>
      </c>
      <c r="L50" s="60">
        <f t="shared" si="11"/>
        <v>2</v>
      </c>
      <c r="M50" s="60">
        <f t="shared" si="11"/>
        <v>0</v>
      </c>
      <c r="N50" s="60">
        <f t="shared" si="11"/>
        <v>0</v>
      </c>
      <c r="O50" s="60">
        <f t="shared" si="11"/>
        <v>0</v>
      </c>
      <c r="P50" s="60">
        <f t="shared" si="11"/>
        <v>0</v>
      </c>
      <c r="Q50" s="60">
        <f t="shared" si="11"/>
        <v>0</v>
      </c>
      <c r="R50" s="60">
        <f t="shared" si="11"/>
        <v>0</v>
      </c>
      <c r="S50" s="60">
        <f t="shared" si="11"/>
        <v>0</v>
      </c>
      <c r="T50" s="60">
        <f t="shared" si="11"/>
        <v>0</v>
      </c>
      <c r="U50" s="60">
        <f t="shared" si="11"/>
        <v>0</v>
      </c>
      <c r="V50" s="60">
        <f t="shared" si="11"/>
        <v>0</v>
      </c>
      <c r="W50" s="60">
        <f t="shared" si="11"/>
        <v>0</v>
      </c>
      <c r="X50" s="60">
        <f>X15+X32</f>
        <v>0</v>
      </c>
      <c r="Y50" s="60">
        <f>Y15+Y32</f>
        <v>0</v>
      </c>
      <c r="Z50" s="60">
        <f t="shared" si="11"/>
        <v>0</v>
      </c>
      <c r="AA50" s="60">
        <f t="shared" si="11"/>
        <v>0</v>
      </c>
      <c r="AB50" s="60">
        <f t="shared" si="11"/>
        <v>0</v>
      </c>
      <c r="AC50" s="60">
        <f t="shared" si="11"/>
        <v>0</v>
      </c>
      <c r="AD50" s="60">
        <f t="shared" si="11"/>
        <v>0</v>
      </c>
      <c r="AE50" s="78">
        <f t="shared" si="9"/>
        <v>2</v>
      </c>
      <c r="AF50" s="84">
        <f t="shared" si="10"/>
        <v>2.1691973969631237E-3</v>
      </c>
      <c r="AG50" s="67">
        <f>[1]Species!$M$40</f>
        <v>1.4119308153900459E-3</v>
      </c>
    </row>
    <row r="51" spans="1:33" ht="13" thickBot="1" x14ac:dyDescent="0.45">
      <c r="A51" s="30" t="s">
        <v>58</v>
      </c>
      <c r="B51" s="30"/>
      <c r="C51" s="62">
        <f t="shared" si="11"/>
        <v>0</v>
      </c>
      <c r="D51" s="62">
        <f t="shared" si="11"/>
        <v>0</v>
      </c>
      <c r="E51" s="62">
        <f t="shared" si="11"/>
        <v>0</v>
      </c>
      <c r="F51" s="62">
        <f t="shared" si="11"/>
        <v>0</v>
      </c>
      <c r="G51" s="62">
        <f t="shared" si="11"/>
        <v>0</v>
      </c>
      <c r="H51" s="62">
        <f t="shared" si="11"/>
        <v>0</v>
      </c>
      <c r="I51" s="62">
        <f t="shared" si="11"/>
        <v>0</v>
      </c>
      <c r="J51" s="62">
        <f t="shared" si="11"/>
        <v>0</v>
      </c>
      <c r="K51" s="62">
        <f t="shared" si="11"/>
        <v>0</v>
      </c>
      <c r="L51" s="62">
        <f t="shared" si="11"/>
        <v>0</v>
      </c>
      <c r="M51" s="62">
        <f t="shared" si="11"/>
        <v>0</v>
      </c>
      <c r="N51" s="62">
        <f t="shared" si="11"/>
        <v>0</v>
      </c>
      <c r="O51" s="62">
        <f t="shared" si="11"/>
        <v>0</v>
      </c>
      <c r="P51" s="62">
        <f t="shared" si="11"/>
        <v>0</v>
      </c>
      <c r="Q51" s="62">
        <f t="shared" si="11"/>
        <v>0</v>
      </c>
      <c r="R51" s="62">
        <f t="shared" si="11"/>
        <v>0</v>
      </c>
      <c r="S51" s="62">
        <f t="shared" si="11"/>
        <v>0</v>
      </c>
      <c r="T51" s="62">
        <f t="shared" si="11"/>
        <v>0</v>
      </c>
      <c r="U51" s="62">
        <f t="shared" si="11"/>
        <v>0</v>
      </c>
      <c r="V51" s="62">
        <f>V16+V33</f>
        <v>0</v>
      </c>
      <c r="W51" s="62">
        <f>W16+W33</f>
        <v>0</v>
      </c>
      <c r="X51" s="62">
        <f>X16+X33</f>
        <v>0</v>
      </c>
      <c r="Y51" s="62">
        <f>Y16+Y33</f>
        <v>0</v>
      </c>
      <c r="Z51" s="62">
        <f t="shared" si="11"/>
        <v>0</v>
      </c>
      <c r="AA51" s="62">
        <f t="shared" si="11"/>
        <v>0</v>
      </c>
      <c r="AB51" s="62">
        <f t="shared" si="11"/>
        <v>0</v>
      </c>
      <c r="AC51" s="62">
        <f t="shared" si="11"/>
        <v>0</v>
      </c>
      <c r="AD51" s="62">
        <f t="shared" si="11"/>
        <v>0</v>
      </c>
      <c r="AE51" s="68">
        <f t="shared" si="9"/>
        <v>0</v>
      </c>
      <c r="AF51" s="86">
        <f t="shared" si="10"/>
        <v>0</v>
      </c>
      <c r="AG51" s="70">
        <v>0</v>
      </c>
    </row>
    <row r="52" spans="1:33" x14ac:dyDescent="0.4">
      <c r="A52" s="30" t="s">
        <v>25</v>
      </c>
      <c r="B52" s="30"/>
      <c r="C52" s="60">
        <f>0+SUM(C38:C51)</f>
        <v>31</v>
      </c>
      <c r="D52" s="60">
        <f t="shared" ref="D52:U52" si="12">0+SUM(D38:D51)</f>
        <v>7</v>
      </c>
      <c r="E52" s="60">
        <f t="shared" si="12"/>
        <v>4</v>
      </c>
      <c r="F52" s="60">
        <f t="shared" si="12"/>
        <v>78</v>
      </c>
      <c r="G52" s="60">
        <f t="shared" si="12"/>
        <v>29</v>
      </c>
      <c r="H52" s="60">
        <f t="shared" si="12"/>
        <v>80</v>
      </c>
      <c r="I52" s="60">
        <f t="shared" si="12"/>
        <v>8</v>
      </c>
      <c r="J52" s="60">
        <f t="shared" si="12"/>
        <v>0</v>
      </c>
      <c r="K52" s="60">
        <f t="shared" si="12"/>
        <v>19</v>
      </c>
      <c r="L52" s="60">
        <f t="shared" si="12"/>
        <v>27</v>
      </c>
      <c r="M52" s="60">
        <f t="shared" si="12"/>
        <v>58</v>
      </c>
      <c r="N52" s="60">
        <f t="shared" si="12"/>
        <v>13</v>
      </c>
      <c r="O52" s="60">
        <f t="shared" si="12"/>
        <v>41</v>
      </c>
      <c r="P52" s="60">
        <f t="shared" si="12"/>
        <v>6</v>
      </c>
      <c r="Q52" s="60">
        <f t="shared" si="12"/>
        <v>0</v>
      </c>
      <c r="R52" s="60">
        <f t="shared" si="12"/>
        <v>95</v>
      </c>
      <c r="S52" s="60">
        <f t="shared" si="12"/>
        <v>0</v>
      </c>
      <c r="T52" s="60">
        <f t="shared" si="12"/>
        <v>0</v>
      </c>
      <c r="U52" s="60">
        <f t="shared" si="12"/>
        <v>0</v>
      </c>
      <c r="V52" s="60">
        <f>0+SUM(V38:V51)</f>
        <v>63</v>
      </c>
      <c r="W52" s="60">
        <f>0+SUM(W38:W51)</f>
        <v>85</v>
      </c>
      <c r="X52" s="60">
        <f>SUM(X17,X34)</f>
        <v>12</v>
      </c>
      <c r="Y52" s="60">
        <f t="shared" ref="Y52:AD52" si="13">0+SUM(Y38:Y51)</f>
        <v>14</v>
      </c>
      <c r="Z52" s="60">
        <f t="shared" si="13"/>
        <v>26</v>
      </c>
      <c r="AA52" s="60">
        <f t="shared" si="13"/>
        <v>4</v>
      </c>
      <c r="AB52" s="60">
        <f t="shared" si="13"/>
        <v>88</v>
      </c>
      <c r="AC52" s="60">
        <f t="shared" si="13"/>
        <v>22</v>
      </c>
      <c r="AD52" s="60">
        <f t="shared" si="13"/>
        <v>112</v>
      </c>
      <c r="AE52" s="30">
        <f>SUM(AE38:AE51)</f>
        <v>922</v>
      </c>
      <c r="AF52" s="71"/>
      <c r="AG52" s="71"/>
    </row>
    <row r="53" spans="1:33" x14ac:dyDescent="0.4">
      <c r="A53" s="30" t="s">
        <v>48</v>
      </c>
      <c r="B53" s="30"/>
      <c r="C53" s="72">
        <f t="shared" ref="C53:AD53" si="14">C52/$AE$52</f>
        <v>3.3622559652928416E-2</v>
      </c>
      <c r="D53" s="72">
        <f t="shared" si="14"/>
        <v>7.5921908893709323E-3</v>
      </c>
      <c r="E53" s="72">
        <f t="shared" si="14"/>
        <v>4.3383947939262474E-3</v>
      </c>
      <c r="F53" s="72">
        <f t="shared" si="14"/>
        <v>8.4598698481561818E-2</v>
      </c>
      <c r="G53" s="72">
        <f t="shared" si="14"/>
        <v>3.1453362255965296E-2</v>
      </c>
      <c r="H53" s="72">
        <f t="shared" si="14"/>
        <v>8.6767895878524945E-2</v>
      </c>
      <c r="I53" s="72">
        <f t="shared" si="14"/>
        <v>8.6767895878524948E-3</v>
      </c>
      <c r="J53" s="72">
        <f t="shared" si="14"/>
        <v>0</v>
      </c>
      <c r="K53" s="72">
        <f t="shared" si="14"/>
        <v>2.0607375271149676E-2</v>
      </c>
      <c r="L53" s="72">
        <f t="shared" si="14"/>
        <v>2.9284164859002169E-2</v>
      </c>
      <c r="M53" s="72">
        <f t="shared" si="14"/>
        <v>6.2906724511930592E-2</v>
      </c>
      <c r="N53" s="72">
        <f t="shared" si="14"/>
        <v>1.4099783080260303E-2</v>
      </c>
      <c r="O53" s="72">
        <f t="shared" si="14"/>
        <v>4.4468546637744036E-2</v>
      </c>
      <c r="P53" s="72">
        <f t="shared" si="14"/>
        <v>6.5075921908893707E-3</v>
      </c>
      <c r="Q53" s="72">
        <f t="shared" si="14"/>
        <v>0</v>
      </c>
      <c r="R53" s="91">
        <f t="shared" si="14"/>
        <v>0.10303687635574837</v>
      </c>
      <c r="S53" s="72">
        <f t="shared" si="14"/>
        <v>0</v>
      </c>
      <c r="T53" s="72">
        <f t="shared" si="14"/>
        <v>0</v>
      </c>
      <c r="U53" s="72">
        <f t="shared" si="14"/>
        <v>0</v>
      </c>
      <c r="V53" s="72">
        <f t="shared" si="14"/>
        <v>6.8329718004338388E-2</v>
      </c>
      <c r="W53" s="72">
        <f t="shared" si="14"/>
        <v>9.2190889370932755E-2</v>
      </c>
      <c r="X53" s="72">
        <f t="shared" si="14"/>
        <v>1.3015184381778741E-2</v>
      </c>
      <c r="Y53" s="72">
        <f t="shared" si="14"/>
        <v>1.5184381778741865E-2</v>
      </c>
      <c r="Z53" s="72">
        <f t="shared" si="14"/>
        <v>2.8199566160520606E-2</v>
      </c>
      <c r="AA53" s="72">
        <f t="shared" si="14"/>
        <v>4.3383947939262474E-3</v>
      </c>
      <c r="AB53" s="90">
        <f t="shared" si="14"/>
        <v>9.5444685466377438E-2</v>
      </c>
      <c r="AC53" s="72">
        <f t="shared" si="14"/>
        <v>2.3861171366594359E-2</v>
      </c>
      <c r="AD53" s="89">
        <f t="shared" si="14"/>
        <v>0.12147505422993492</v>
      </c>
      <c r="AE53" s="30"/>
      <c r="AF53" s="30"/>
      <c r="AG53" s="30"/>
    </row>
    <row r="54" spans="1:33" x14ac:dyDescent="0.4">
      <c r="A54" s="5" t="s">
        <v>47</v>
      </c>
      <c r="B54" s="3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30"/>
      <c r="AF54" s="30"/>
      <c r="AG54" s="30"/>
    </row>
    <row r="55" spans="1:33" x14ac:dyDescent="0.4">
      <c r="A55" s="30" t="s">
        <v>40</v>
      </c>
      <c r="B55" s="30"/>
      <c r="C55" s="60">
        <v>113</v>
      </c>
      <c r="D55" s="73"/>
      <c r="E55" s="60"/>
      <c r="F55" s="60"/>
      <c r="G55" s="60"/>
      <c r="H55" s="60"/>
      <c r="I55" s="60"/>
      <c r="J55" s="60"/>
      <c r="K55" s="60"/>
      <c r="L55" s="60"/>
      <c r="M55" s="60"/>
      <c r="N55" s="60">
        <f>SUM(O52:Y52)</f>
        <v>316</v>
      </c>
      <c r="O55" s="60"/>
      <c r="P55" s="60"/>
      <c r="Q55" s="60"/>
      <c r="R55" s="60"/>
      <c r="S55" s="60"/>
      <c r="T55" s="60"/>
      <c r="U55" s="60"/>
      <c r="V55" s="60"/>
      <c r="W55" s="60"/>
      <c r="X55" s="60"/>
      <c r="Y55" s="60"/>
      <c r="Z55" s="60"/>
      <c r="AA55" s="60"/>
      <c r="AB55" s="60"/>
      <c r="AC55" s="60"/>
      <c r="AD55" s="60"/>
      <c r="AE55" s="30"/>
      <c r="AF55" s="30"/>
      <c r="AG55" s="30"/>
    </row>
    <row r="56" spans="1:33" x14ac:dyDescent="0.4">
      <c r="A56" s="30" t="s">
        <v>41</v>
      </c>
      <c r="B56" s="30"/>
      <c r="C56" s="87">
        <f>AE17/C55</f>
        <v>2.1946902654867255</v>
      </c>
      <c r="D56" s="74"/>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30"/>
      <c r="AF56" s="30"/>
      <c r="AG56" s="30"/>
    </row>
    <row r="57" spans="1:33" x14ac:dyDescent="0.4">
      <c r="A57" s="30" t="s">
        <v>42</v>
      </c>
      <c r="B57" s="30"/>
      <c r="C57" s="60">
        <v>269</v>
      </c>
      <c r="D57" s="73"/>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30"/>
      <c r="AF57" s="30"/>
      <c r="AG57" s="30"/>
    </row>
    <row r="58" spans="1:33" x14ac:dyDescent="0.4">
      <c r="A58" s="30" t="s">
        <v>43</v>
      </c>
      <c r="B58" s="30"/>
      <c r="C58" s="87">
        <f>AE34/C57</f>
        <v>2.5055762081784385</v>
      </c>
      <c r="D58" s="74"/>
      <c r="E58" s="60"/>
      <c r="F58" s="29" t="s">
        <v>62</v>
      </c>
      <c r="G58" s="60"/>
      <c r="H58" s="60"/>
      <c r="I58" s="60"/>
      <c r="J58" s="60"/>
      <c r="K58" s="60"/>
      <c r="L58" s="60"/>
      <c r="M58" s="60"/>
      <c r="N58" s="60"/>
      <c r="O58" s="60"/>
      <c r="P58" s="60"/>
      <c r="Q58" s="60"/>
      <c r="R58" s="60"/>
      <c r="S58" s="60"/>
      <c r="T58" s="60"/>
      <c r="U58" s="60"/>
      <c r="V58" s="60"/>
      <c r="W58" s="60"/>
      <c r="X58" s="60"/>
      <c r="Y58" s="60"/>
      <c r="Z58" s="60"/>
      <c r="AA58" s="60"/>
      <c r="AB58" s="60"/>
      <c r="AC58" s="60"/>
      <c r="AD58" s="60"/>
      <c r="AE58" s="30"/>
      <c r="AF58" s="30"/>
      <c r="AG58" s="30"/>
    </row>
    <row r="59" spans="1:33" x14ac:dyDescent="0.4">
      <c r="A59" s="30" t="s">
        <v>44</v>
      </c>
      <c r="B59" s="30"/>
      <c r="C59" s="60">
        <f>C55+C57</f>
        <v>382</v>
      </c>
      <c r="D59" s="73"/>
      <c r="E59" s="60"/>
      <c r="F59" s="74">
        <f>[1]Totals!$H$4</f>
        <v>3.1183108846013834</v>
      </c>
      <c r="G59" s="64" t="s">
        <v>140</v>
      </c>
      <c r="H59" s="60"/>
      <c r="I59" s="60"/>
      <c r="J59" s="76" t="s">
        <v>86</v>
      </c>
      <c r="K59" s="60"/>
      <c r="L59" s="60">
        <v>134</v>
      </c>
      <c r="M59" s="76" t="s">
        <v>134</v>
      </c>
      <c r="N59" s="2"/>
      <c r="O59" s="60">
        <v>68</v>
      </c>
      <c r="P59" s="60"/>
      <c r="Q59" s="60"/>
      <c r="R59" s="60"/>
      <c r="S59" s="60"/>
      <c r="T59" s="60"/>
      <c r="U59" s="60"/>
      <c r="V59" s="60"/>
      <c r="W59" s="60"/>
      <c r="X59" s="60"/>
      <c r="Y59" s="60"/>
      <c r="Z59" s="60"/>
      <c r="AA59" s="60"/>
      <c r="AB59" s="60"/>
      <c r="AC59" s="60"/>
      <c r="AD59" s="60"/>
      <c r="AE59" s="30"/>
      <c r="AF59" s="30"/>
      <c r="AG59" s="30"/>
    </row>
    <row r="60" spans="1:33" x14ac:dyDescent="0.4">
      <c r="A60" s="30" t="s">
        <v>45</v>
      </c>
      <c r="B60" s="30"/>
      <c r="C60" s="87">
        <f>AE52/C59</f>
        <v>2.413612565445026</v>
      </c>
      <c r="D60" s="74"/>
      <c r="E60" s="60"/>
      <c r="F60" s="74"/>
      <c r="G60" s="64" t="s">
        <v>77</v>
      </c>
      <c r="H60" s="60"/>
      <c r="I60" s="60"/>
      <c r="J60" s="76" t="s">
        <v>82</v>
      </c>
      <c r="K60" s="60"/>
      <c r="L60" s="87">
        <v>2.5499999999999998</v>
      </c>
      <c r="M60" s="76" t="s">
        <v>135</v>
      </c>
      <c r="N60" s="60"/>
      <c r="O60" s="7">
        <v>3.71</v>
      </c>
      <c r="P60" s="60"/>
      <c r="Q60" s="60"/>
      <c r="R60" s="60"/>
      <c r="S60" s="60"/>
      <c r="T60" s="60"/>
      <c r="U60" s="60"/>
      <c r="V60" s="60"/>
      <c r="W60" s="60"/>
      <c r="X60" s="60"/>
      <c r="Y60" s="60"/>
      <c r="Z60" s="60"/>
      <c r="AA60" s="60"/>
      <c r="AB60" s="60"/>
      <c r="AC60" s="60"/>
      <c r="AD60" s="60"/>
      <c r="AE60" s="30"/>
      <c r="AF60" s="30"/>
      <c r="AG60" s="30"/>
    </row>
    <row r="61" spans="1:33" x14ac:dyDescent="0.4">
      <c r="A61" s="30" t="s">
        <v>46</v>
      </c>
      <c r="B61" s="30"/>
      <c r="C61" s="74">
        <f>AE52/300</f>
        <v>3.0733333333333333</v>
      </c>
      <c r="D61" s="75"/>
      <c r="E61" s="60"/>
      <c r="F61" s="74"/>
      <c r="G61" s="64" t="s">
        <v>64</v>
      </c>
      <c r="H61" s="60"/>
      <c r="I61" s="60"/>
      <c r="J61" s="60"/>
      <c r="K61" s="60"/>
      <c r="L61" s="60"/>
      <c r="M61" s="60"/>
      <c r="N61" s="60"/>
      <c r="O61" s="60"/>
      <c r="P61" s="60"/>
      <c r="Q61" s="60"/>
      <c r="R61" s="60"/>
      <c r="S61" s="60"/>
      <c r="T61" s="60"/>
      <c r="U61" s="60"/>
      <c r="V61" s="60"/>
      <c r="W61" s="60"/>
      <c r="X61" s="60"/>
      <c r="Y61" s="60"/>
      <c r="Z61" s="60"/>
      <c r="AA61" s="60"/>
      <c r="AB61" s="60"/>
      <c r="AC61" s="60"/>
      <c r="AD61" s="60"/>
      <c r="AE61" s="30"/>
      <c r="AF61" s="30"/>
      <c r="AG61" s="30"/>
    </row>
    <row r="62" spans="1:33" x14ac:dyDescent="0.4">
      <c r="A62" s="5" t="s">
        <v>49</v>
      </c>
      <c r="B62" s="30"/>
      <c r="C62" s="60"/>
      <c r="D62" s="7"/>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30"/>
      <c r="AF62" s="30"/>
      <c r="AG62" s="30"/>
    </row>
    <row r="63" spans="1:33" x14ac:dyDescent="0.4">
      <c r="A63" s="30"/>
      <c r="B63" s="3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30"/>
      <c r="AF63" s="30"/>
      <c r="AG63" s="30"/>
    </row>
    <row r="64" spans="1:33" x14ac:dyDescent="0.4">
      <c r="A64" s="5" t="s">
        <v>56</v>
      </c>
      <c r="B64" s="3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30"/>
      <c r="AF64" s="30"/>
      <c r="AG64" s="30"/>
    </row>
    <row r="65" spans="1:33" x14ac:dyDescent="0.4">
      <c r="A65" s="30" t="s">
        <v>133</v>
      </c>
      <c r="B65" s="3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30"/>
      <c r="AF65" s="30"/>
      <c r="AG65" s="30"/>
    </row>
    <row r="66" spans="1:33" x14ac:dyDescent="0.4">
      <c r="A66" s="30"/>
      <c r="B66" s="3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30"/>
      <c r="AF66" s="30"/>
      <c r="AG66" s="30"/>
    </row>
    <row r="67" spans="1:33" x14ac:dyDescent="0.4">
      <c r="B67" s="30"/>
      <c r="C67" s="60"/>
      <c r="D67" s="7"/>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30"/>
      <c r="AF67" s="30"/>
      <c r="AG67" s="30"/>
    </row>
    <row r="68" spans="1:33" x14ac:dyDescent="0.4">
      <c r="A68" s="30"/>
      <c r="B68" s="3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30"/>
      <c r="AF68" s="30"/>
      <c r="AG68" s="30"/>
    </row>
    <row r="69" spans="1:33" x14ac:dyDescent="0.4">
      <c r="A69" s="30"/>
      <c r="B69" s="3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30"/>
      <c r="AF69" s="30"/>
      <c r="AG69" s="30"/>
    </row>
    <row r="70" spans="1:33" x14ac:dyDescent="0.4">
      <c r="A70" s="30"/>
      <c r="B70" s="3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30"/>
      <c r="AF70" s="30"/>
      <c r="AG70" s="30"/>
    </row>
    <row r="71" spans="1:33" x14ac:dyDescent="0.4">
      <c r="A71" s="30"/>
      <c r="B71" s="3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30"/>
      <c r="AF71" s="30"/>
      <c r="AG71" s="30"/>
    </row>
  </sheetData>
  <printOptions horizontalCentered="1"/>
  <pageMargins left="0" right="0" top="0.5" bottom="0.5" header="0.3" footer="0.3"/>
  <pageSetup scale="59" orientation="landscape" r:id="rId1"/>
  <headerFooter>
    <oddHeader>&amp;CBurbank Land Club, &amp;A</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6BEB8-44F9-419F-9601-D2E499D46ED6}">
  <sheetPr>
    <pageSetUpPr fitToPage="1"/>
  </sheetPr>
  <dimension ref="A1:AG71"/>
  <sheetViews>
    <sheetView zoomScale="70" zoomScaleNormal="70" zoomScalePageLayoutView="90" workbookViewId="0">
      <selection activeCell="N18" sqref="N18"/>
    </sheetView>
  </sheetViews>
  <sheetFormatPr defaultRowHeight="12.7" x14ac:dyDescent="0.4"/>
  <cols>
    <col min="1" max="1" width="18.87890625" customWidth="1"/>
    <col min="2" max="2" width="6.29296875" customWidth="1"/>
    <col min="3" max="3" width="7" customWidth="1"/>
    <col min="4" max="4" width="6.41015625" customWidth="1"/>
    <col min="5" max="5" width="6.87890625" customWidth="1"/>
    <col min="6" max="6" width="7.29296875" customWidth="1"/>
    <col min="7" max="7" width="7.1171875" customWidth="1"/>
    <col min="8" max="8" width="7.29296875" customWidth="1"/>
    <col min="9" max="9" width="6.703125" customWidth="1"/>
    <col min="10" max="10" width="6.41015625" customWidth="1"/>
    <col min="11" max="12" width="6.29296875" customWidth="1"/>
    <col min="13" max="17" width="6.703125" customWidth="1"/>
    <col min="18" max="18" width="6.87890625" customWidth="1"/>
    <col min="19" max="19" width="6.29296875" customWidth="1"/>
    <col min="20" max="21" width="6.41015625" customWidth="1"/>
    <col min="22" max="22" width="6.703125" customWidth="1"/>
    <col min="23" max="23" width="7.41015625" customWidth="1"/>
    <col min="24" max="24" width="6.29296875" customWidth="1"/>
    <col min="25" max="25" width="6.41015625" customWidth="1"/>
    <col min="26" max="26" width="6.29296875" customWidth="1"/>
    <col min="27" max="27" width="6" customWidth="1"/>
    <col min="28" max="28" width="6.41015625" customWidth="1"/>
    <col min="29" max="29" width="6.52734375" customWidth="1"/>
    <col min="30" max="30" width="6.9375" customWidth="1"/>
    <col min="31" max="31" width="6.1171875" customWidth="1"/>
    <col min="32" max="32" width="7.52734375" customWidth="1"/>
    <col min="33" max="33" width="7.87890625" customWidth="1"/>
  </cols>
  <sheetData>
    <row r="1" spans="1:33" ht="13" thickBot="1" x14ac:dyDescent="0.45">
      <c r="A1" s="5" t="s">
        <v>106</v>
      </c>
      <c r="B1" s="30"/>
      <c r="C1" s="94" t="s">
        <v>141</v>
      </c>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30"/>
      <c r="AF1" s="30"/>
      <c r="AG1" s="30"/>
    </row>
    <row r="2" spans="1:33" ht="13" thickBot="1" x14ac:dyDescent="0.45">
      <c r="A2" s="10" t="s">
        <v>39</v>
      </c>
      <c r="B2" s="61"/>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30"/>
      <c r="AG2" s="30"/>
    </row>
    <row r="3" spans="1:33" x14ac:dyDescent="0.4">
      <c r="A3" s="30" t="s">
        <v>34</v>
      </c>
      <c r="B3" s="30"/>
      <c r="C3" s="92"/>
      <c r="D3" s="92"/>
      <c r="E3" s="92"/>
      <c r="F3" s="92"/>
      <c r="G3" s="92"/>
      <c r="H3" s="92"/>
      <c r="I3" s="92">
        <v>1</v>
      </c>
      <c r="J3" s="92"/>
      <c r="K3" s="92"/>
      <c r="L3" s="92"/>
      <c r="M3" s="92">
        <v>2</v>
      </c>
      <c r="N3" s="92"/>
      <c r="O3" s="92"/>
      <c r="P3" s="92"/>
      <c r="Q3" s="92"/>
      <c r="R3" s="92"/>
      <c r="S3" s="92"/>
      <c r="T3" s="92"/>
      <c r="U3" s="92"/>
      <c r="V3" s="92"/>
      <c r="W3" s="92"/>
      <c r="X3" s="92"/>
      <c r="Y3" s="92"/>
      <c r="Z3" s="92"/>
      <c r="AA3" s="92"/>
      <c r="AB3" s="92"/>
      <c r="AC3" s="92"/>
      <c r="AD3" s="92"/>
      <c r="AE3" s="78">
        <f>SUM(C3:AD3)</f>
        <v>3</v>
      </c>
      <c r="AF3" s="30"/>
      <c r="AG3" s="30"/>
    </row>
    <row r="4" spans="1:33" x14ac:dyDescent="0.4">
      <c r="A4" s="30" t="s">
        <v>35</v>
      </c>
      <c r="B4" s="30"/>
      <c r="C4" s="92"/>
      <c r="D4" s="92"/>
      <c r="E4" s="92"/>
      <c r="F4" s="92">
        <v>1</v>
      </c>
      <c r="G4" s="92"/>
      <c r="H4" s="92">
        <v>1</v>
      </c>
      <c r="I4" s="92">
        <v>1</v>
      </c>
      <c r="J4" s="92"/>
      <c r="K4" s="92">
        <v>3</v>
      </c>
      <c r="L4" s="92"/>
      <c r="M4" s="92">
        <v>2</v>
      </c>
      <c r="N4" s="92">
        <v>1</v>
      </c>
      <c r="O4" s="92"/>
      <c r="P4" s="92"/>
      <c r="Q4" s="92"/>
      <c r="R4" s="92"/>
      <c r="S4" s="92"/>
      <c r="T4" s="92"/>
      <c r="U4" s="92"/>
      <c r="V4" s="92"/>
      <c r="W4" s="92"/>
      <c r="X4" s="92"/>
      <c r="Y4" s="92"/>
      <c r="Z4" s="92"/>
      <c r="AA4" s="92"/>
      <c r="AB4" s="92"/>
      <c r="AC4" s="92"/>
      <c r="AD4" s="92"/>
      <c r="AE4" s="78">
        <f t="shared" ref="AE4:AE16" si="0">SUM(C4:AD4)</f>
        <v>9</v>
      </c>
      <c r="AF4" s="30"/>
      <c r="AG4" s="30"/>
    </row>
    <row r="5" spans="1:33" x14ac:dyDescent="0.4">
      <c r="A5" s="30" t="s">
        <v>16</v>
      </c>
      <c r="B5" s="30"/>
      <c r="C5" s="92">
        <v>2</v>
      </c>
      <c r="D5" s="92"/>
      <c r="E5" s="92"/>
      <c r="F5" s="92">
        <v>2</v>
      </c>
      <c r="G5" s="92"/>
      <c r="H5" s="92"/>
      <c r="I5" s="92">
        <v>1</v>
      </c>
      <c r="J5" s="92"/>
      <c r="K5" s="92"/>
      <c r="L5" s="92"/>
      <c r="M5" s="92">
        <v>3</v>
      </c>
      <c r="N5" s="92"/>
      <c r="O5" s="92"/>
      <c r="P5" s="92"/>
      <c r="Q5" s="92"/>
      <c r="R5" s="92">
        <v>1</v>
      </c>
      <c r="S5" s="92"/>
      <c r="T5" s="92"/>
      <c r="U5" s="92"/>
      <c r="V5" s="92"/>
      <c r="W5" s="92"/>
      <c r="X5" s="92"/>
      <c r="Y5" s="92"/>
      <c r="Z5" s="92"/>
      <c r="AA5" s="92"/>
      <c r="AB5" s="92"/>
      <c r="AC5" s="92"/>
      <c r="AD5" s="92"/>
      <c r="AE5" s="78">
        <f t="shared" si="0"/>
        <v>9</v>
      </c>
      <c r="AF5" s="30"/>
      <c r="AG5" s="30"/>
    </row>
    <row r="6" spans="1:33" x14ac:dyDescent="0.4">
      <c r="A6" s="30" t="s">
        <v>29</v>
      </c>
      <c r="B6" s="30"/>
      <c r="C6" s="92"/>
      <c r="D6" s="92"/>
      <c r="E6" s="92"/>
      <c r="F6" s="92"/>
      <c r="G6" s="92"/>
      <c r="H6" s="92"/>
      <c r="I6" s="92"/>
      <c r="J6" s="92"/>
      <c r="K6" s="92"/>
      <c r="L6" s="92"/>
      <c r="M6" s="92">
        <v>2</v>
      </c>
      <c r="N6" s="92">
        <v>1</v>
      </c>
      <c r="O6" s="92"/>
      <c r="P6" s="92"/>
      <c r="Q6" s="92"/>
      <c r="R6" s="92"/>
      <c r="S6" s="92"/>
      <c r="T6" s="92"/>
      <c r="U6" s="92"/>
      <c r="V6" s="92"/>
      <c r="W6" s="92"/>
      <c r="X6" s="92"/>
      <c r="Y6" s="92"/>
      <c r="Z6" s="92"/>
      <c r="AA6" s="92"/>
      <c r="AB6" s="92"/>
      <c r="AC6" s="92"/>
      <c r="AD6" s="92"/>
      <c r="AE6" s="78">
        <f t="shared" si="0"/>
        <v>3</v>
      </c>
      <c r="AF6" s="30"/>
      <c r="AG6" s="30"/>
    </row>
    <row r="7" spans="1:33" x14ac:dyDescent="0.4">
      <c r="A7" s="30" t="s">
        <v>18</v>
      </c>
      <c r="B7" s="30"/>
      <c r="C7" s="92"/>
      <c r="D7" s="92"/>
      <c r="E7" s="92"/>
      <c r="F7" s="92"/>
      <c r="G7" s="92"/>
      <c r="H7" s="92">
        <v>1</v>
      </c>
      <c r="I7" s="92">
        <v>1</v>
      </c>
      <c r="J7" s="92"/>
      <c r="K7" s="92"/>
      <c r="L7" s="92"/>
      <c r="M7" s="92">
        <v>2</v>
      </c>
      <c r="N7" s="92"/>
      <c r="O7" s="92"/>
      <c r="P7" s="92"/>
      <c r="Q7" s="92"/>
      <c r="R7" s="92"/>
      <c r="S7" s="92"/>
      <c r="T7" s="92"/>
      <c r="U7" s="92"/>
      <c r="V7" s="92"/>
      <c r="W7" s="92"/>
      <c r="X7" s="92"/>
      <c r="Y7" s="92"/>
      <c r="Z7" s="92"/>
      <c r="AA7" s="92"/>
      <c r="AB7" s="92"/>
      <c r="AC7" s="92"/>
      <c r="AD7" s="92"/>
      <c r="AE7" s="78">
        <f t="shared" si="0"/>
        <v>4</v>
      </c>
      <c r="AF7" s="30"/>
      <c r="AG7" s="30"/>
    </row>
    <row r="8" spans="1:33" x14ac:dyDescent="0.4">
      <c r="A8" s="30" t="s">
        <v>19</v>
      </c>
      <c r="B8" s="30"/>
      <c r="C8" s="92"/>
      <c r="D8" s="92"/>
      <c r="E8" s="92"/>
      <c r="F8" s="92"/>
      <c r="G8" s="92"/>
      <c r="H8" s="92">
        <v>5</v>
      </c>
      <c r="I8" s="92">
        <v>3</v>
      </c>
      <c r="J8" s="92"/>
      <c r="K8" s="92">
        <v>1</v>
      </c>
      <c r="L8" s="92">
        <v>1</v>
      </c>
      <c r="M8" s="92">
        <v>1</v>
      </c>
      <c r="N8" s="92"/>
      <c r="O8" s="92"/>
      <c r="P8" s="92"/>
      <c r="Q8" s="92"/>
      <c r="R8" s="92"/>
      <c r="S8" s="92"/>
      <c r="T8" s="92"/>
      <c r="U8" s="92"/>
      <c r="V8" s="92"/>
      <c r="W8" s="92">
        <v>1</v>
      </c>
      <c r="X8" s="92"/>
      <c r="Y8" s="92"/>
      <c r="Z8" s="92"/>
      <c r="AA8" s="92"/>
      <c r="AB8" s="92"/>
      <c r="AC8" s="92"/>
      <c r="AD8" s="92"/>
      <c r="AE8" s="78">
        <f t="shared" si="0"/>
        <v>12</v>
      </c>
      <c r="AF8" s="30"/>
      <c r="AG8" s="30"/>
    </row>
    <row r="9" spans="1:33" x14ac:dyDescent="0.4">
      <c r="A9" s="30" t="s">
        <v>20</v>
      </c>
      <c r="B9" s="30"/>
      <c r="C9" s="92"/>
      <c r="D9" s="92"/>
      <c r="E9" s="92"/>
      <c r="F9" s="92"/>
      <c r="G9" s="92"/>
      <c r="H9" s="92"/>
      <c r="I9" s="92">
        <v>1</v>
      </c>
      <c r="J9" s="92"/>
      <c r="K9" s="92"/>
      <c r="L9" s="92"/>
      <c r="M9" s="92"/>
      <c r="N9" s="92"/>
      <c r="O9" s="92"/>
      <c r="P9" s="92"/>
      <c r="Q9" s="92"/>
      <c r="R9" s="92"/>
      <c r="S9" s="92"/>
      <c r="T9" s="92"/>
      <c r="U9" s="92"/>
      <c r="V9" s="92"/>
      <c r="W9" s="92"/>
      <c r="X9" s="92"/>
      <c r="Y9" s="92"/>
      <c r="Z9" s="92"/>
      <c r="AA9" s="92"/>
      <c r="AB9" s="92"/>
      <c r="AC9" s="92"/>
      <c r="AD9" s="92"/>
      <c r="AE9" s="78">
        <f t="shared" si="0"/>
        <v>1</v>
      </c>
      <c r="AF9" s="30"/>
      <c r="AG9" s="30"/>
    </row>
    <row r="10" spans="1:33" x14ac:dyDescent="0.4">
      <c r="A10" s="30" t="s">
        <v>136</v>
      </c>
      <c r="B10" s="30"/>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78">
        <f t="shared" si="0"/>
        <v>0</v>
      </c>
      <c r="AF10" s="30"/>
      <c r="AG10" s="30"/>
    </row>
    <row r="11" spans="1:33" x14ac:dyDescent="0.4">
      <c r="A11" s="30" t="s">
        <v>98</v>
      </c>
      <c r="B11" s="30"/>
      <c r="C11" s="92"/>
      <c r="D11" s="92"/>
      <c r="E11" s="92"/>
      <c r="F11" s="92">
        <v>1</v>
      </c>
      <c r="G11" s="92"/>
      <c r="H11" s="92"/>
      <c r="I11" s="92"/>
      <c r="J11" s="92"/>
      <c r="K11" s="92">
        <v>2</v>
      </c>
      <c r="L11" s="92"/>
      <c r="M11" s="92">
        <v>1</v>
      </c>
      <c r="N11" s="92"/>
      <c r="O11" s="92"/>
      <c r="P11" s="92"/>
      <c r="Q11" s="92"/>
      <c r="R11" s="92"/>
      <c r="S11" s="92"/>
      <c r="T11" s="92"/>
      <c r="U11" s="92"/>
      <c r="V11" s="92"/>
      <c r="W11" s="92"/>
      <c r="X11" s="92"/>
      <c r="Y11" s="92"/>
      <c r="Z11" s="92"/>
      <c r="AA11" s="92"/>
      <c r="AB11" s="92"/>
      <c r="AC11" s="92"/>
      <c r="AD11" s="92"/>
      <c r="AE11" s="78">
        <f t="shared" si="0"/>
        <v>4</v>
      </c>
      <c r="AF11" s="30"/>
      <c r="AG11" s="30"/>
    </row>
    <row r="12" spans="1:33" x14ac:dyDescent="0.4">
      <c r="A12" s="30" t="s">
        <v>22</v>
      </c>
      <c r="B12" s="30"/>
      <c r="C12" s="92">
        <v>10</v>
      </c>
      <c r="D12" s="92">
        <v>7</v>
      </c>
      <c r="E12" s="92">
        <v>2</v>
      </c>
      <c r="F12" s="92">
        <v>14</v>
      </c>
      <c r="G12" s="92">
        <v>10</v>
      </c>
      <c r="H12" s="92">
        <v>25</v>
      </c>
      <c r="I12" s="92">
        <v>21</v>
      </c>
      <c r="J12" s="92"/>
      <c r="K12" s="92">
        <v>5</v>
      </c>
      <c r="L12" s="92">
        <v>2</v>
      </c>
      <c r="M12" s="92">
        <v>19</v>
      </c>
      <c r="N12" s="92">
        <v>6</v>
      </c>
      <c r="O12" s="92">
        <v>2</v>
      </c>
      <c r="P12" s="92"/>
      <c r="Q12" s="92"/>
      <c r="R12" s="92">
        <v>4</v>
      </c>
      <c r="S12" s="92">
        <v>2</v>
      </c>
      <c r="T12" s="92"/>
      <c r="U12" s="92"/>
      <c r="V12" s="92"/>
      <c r="W12" s="92">
        <v>1</v>
      </c>
      <c r="X12" s="92"/>
      <c r="Y12" s="92">
        <v>1</v>
      </c>
      <c r="Z12" s="92"/>
      <c r="AA12" s="92"/>
      <c r="AB12" s="92"/>
      <c r="AC12" s="92"/>
      <c r="AD12" s="92"/>
      <c r="AE12" s="78">
        <f t="shared" si="0"/>
        <v>131</v>
      </c>
      <c r="AF12" s="30"/>
      <c r="AG12" s="30"/>
    </row>
    <row r="13" spans="1:33" x14ac:dyDescent="0.4">
      <c r="A13" s="30" t="s">
        <v>23</v>
      </c>
      <c r="B13" s="30"/>
      <c r="C13" s="92">
        <v>2</v>
      </c>
      <c r="D13" s="92">
        <v>1</v>
      </c>
      <c r="E13" s="92"/>
      <c r="F13" s="92">
        <v>3</v>
      </c>
      <c r="G13" s="92"/>
      <c r="H13" s="92">
        <v>8</v>
      </c>
      <c r="I13" s="92">
        <v>7</v>
      </c>
      <c r="J13" s="92"/>
      <c r="K13" s="92">
        <v>4</v>
      </c>
      <c r="L13" s="92">
        <v>1</v>
      </c>
      <c r="M13" s="92">
        <v>6</v>
      </c>
      <c r="N13" s="92"/>
      <c r="O13" s="92">
        <v>1</v>
      </c>
      <c r="P13" s="92"/>
      <c r="Q13" s="92"/>
      <c r="R13" s="92">
        <v>1</v>
      </c>
      <c r="S13" s="92"/>
      <c r="T13" s="92"/>
      <c r="U13" s="92"/>
      <c r="V13" s="92"/>
      <c r="W13" s="92">
        <v>5</v>
      </c>
      <c r="X13" s="92"/>
      <c r="Y13" s="92"/>
      <c r="Z13" s="92"/>
      <c r="AA13" s="92"/>
      <c r="AB13" s="92"/>
      <c r="AC13" s="92"/>
      <c r="AD13" s="92"/>
      <c r="AE13" s="78">
        <f t="shared" si="0"/>
        <v>39</v>
      </c>
      <c r="AF13" s="30"/>
      <c r="AG13" s="30"/>
    </row>
    <row r="14" spans="1:33" x14ac:dyDescent="0.4">
      <c r="A14" s="30" t="s">
        <v>24</v>
      </c>
      <c r="B14" s="30"/>
      <c r="C14" s="92"/>
      <c r="D14" s="92"/>
      <c r="E14" s="92"/>
      <c r="F14" s="92">
        <v>1</v>
      </c>
      <c r="G14" s="92">
        <v>1</v>
      </c>
      <c r="H14" s="92">
        <v>1</v>
      </c>
      <c r="I14" s="92">
        <v>2</v>
      </c>
      <c r="J14" s="92"/>
      <c r="K14" s="92">
        <v>2</v>
      </c>
      <c r="L14" s="92"/>
      <c r="M14" s="92"/>
      <c r="N14" s="92"/>
      <c r="O14" s="92"/>
      <c r="P14" s="92"/>
      <c r="Q14" s="92"/>
      <c r="R14" s="92"/>
      <c r="S14" s="92"/>
      <c r="T14" s="92"/>
      <c r="U14" s="92"/>
      <c r="V14" s="92"/>
      <c r="W14" s="92"/>
      <c r="X14" s="92"/>
      <c r="Y14" s="92"/>
      <c r="Z14" s="92"/>
      <c r="AA14" s="92"/>
      <c r="AB14" s="92"/>
      <c r="AC14" s="92"/>
      <c r="AD14" s="92"/>
      <c r="AE14" s="78">
        <f t="shared" si="0"/>
        <v>7</v>
      </c>
      <c r="AF14" s="30"/>
      <c r="AG14" s="30"/>
    </row>
    <row r="15" spans="1:33" x14ac:dyDescent="0.4">
      <c r="A15" s="30" t="s">
        <v>111</v>
      </c>
      <c r="B15" s="30"/>
      <c r="C15" s="92">
        <v>1</v>
      </c>
      <c r="D15" s="92"/>
      <c r="E15" s="92"/>
      <c r="F15" s="92"/>
      <c r="G15" s="92"/>
      <c r="H15" s="92">
        <v>3</v>
      </c>
      <c r="I15" s="92"/>
      <c r="J15" s="92"/>
      <c r="K15" s="92"/>
      <c r="L15" s="92"/>
      <c r="M15" s="92"/>
      <c r="N15" s="92"/>
      <c r="O15" s="92"/>
      <c r="P15" s="92"/>
      <c r="Q15" s="92"/>
      <c r="R15" s="92"/>
      <c r="S15" s="92"/>
      <c r="T15" s="92"/>
      <c r="U15" s="92"/>
      <c r="V15" s="92"/>
      <c r="W15" s="92"/>
      <c r="X15" s="92"/>
      <c r="Y15" s="92"/>
      <c r="Z15" s="92"/>
      <c r="AA15" s="92"/>
      <c r="AB15" s="92"/>
      <c r="AC15" s="92"/>
      <c r="AD15" s="92"/>
      <c r="AE15" s="78">
        <f t="shared" si="0"/>
        <v>4</v>
      </c>
      <c r="AF15" s="30"/>
      <c r="AG15" s="30"/>
    </row>
    <row r="16" spans="1:33" ht="13" thickBot="1" x14ac:dyDescent="0.45">
      <c r="A16" s="30" t="s">
        <v>36</v>
      </c>
      <c r="B16" s="30"/>
      <c r="C16" s="93"/>
      <c r="D16" s="93"/>
      <c r="E16" s="93"/>
      <c r="F16" s="93"/>
      <c r="G16" s="93"/>
      <c r="H16" s="93"/>
      <c r="I16" s="93"/>
      <c r="J16" s="93"/>
      <c r="K16" s="93"/>
      <c r="L16" s="93"/>
      <c r="M16" s="93">
        <v>1</v>
      </c>
      <c r="N16" s="93"/>
      <c r="O16" s="93"/>
      <c r="P16" s="93"/>
      <c r="Q16" s="93"/>
      <c r="R16" s="93"/>
      <c r="S16" s="93"/>
      <c r="T16" s="93"/>
      <c r="U16" s="93"/>
      <c r="V16" s="93"/>
      <c r="W16" s="93"/>
      <c r="X16" s="93"/>
      <c r="Y16" s="93"/>
      <c r="Z16" s="93"/>
      <c r="AA16" s="93"/>
      <c r="AB16" s="93"/>
      <c r="AC16" s="93"/>
      <c r="AD16" s="93"/>
      <c r="AE16" s="68">
        <f t="shared" si="0"/>
        <v>1</v>
      </c>
      <c r="AF16" s="30"/>
      <c r="AG16" s="30"/>
    </row>
    <row r="17" spans="1:33" x14ac:dyDescent="0.4">
      <c r="A17" s="30" t="s">
        <v>25</v>
      </c>
      <c r="B17" s="30"/>
      <c r="C17" s="60">
        <f>SUM(C3:C16)</f>
        <v>15</v>
      </c>
      <c r="D17" s="60">
        <f t="shared" ref="D17:AE17" si="1">SUM(D3:D16)</f>
        <v>8</v>
      </c>
      <c r="E17" s="60">
        <f t="shared" si="1"/>
        <v>2</v>
      </c>
      <c r="F17" s="60">
        <f t="shared" si="1"/>
        <v>22</v>
      </c>
      <c r="G17" s="60">
        <f t="shared" si="1"/>
        <v>11</v>
      </c>
      <c r="H17" s="60">
        <f t="shared" si="1"/>
        <v>44</v>
      </c>
      <c r="I17" s="60">
        <f t="shared" si="1"/>
        <v>38</v>
      </c>
      <c r="J17" s="60">
        <f t="shared" si="1"/>
        <v>0</v>
      </c>
      <c r="K17" s="60">
        <f t="shared" si="1"/>
        <v>17</v>
      </c>
      <c r="L17" s="60">
        <f t="shared" si="1"/>
        <v>4</v>
      </c>
      <c r="M17" s="60">
        <f t="shared" si="1"/>
        <v>39</v>
      </c>
      <c r="N17" s="60">
        <f t="shared" si="1"/>
        <v>8</v>
      </c>
      <c r="O17" s="60">
        <f t="shared" si="1"/>
        <v>3</v>
      </c>
      <c r="P17" s="60">
        <f t="shared" si="1"/>
        <v>0</v>
      </c>
      <c r="Q17" s="60">
        <f t="shared" si="1"/>
        <v>0</v>
      </c>
      <c r="R17" s="60">
        <f t="shared" si="1"/>
        <v>6</v>
      </c>
      <c r="S17" s="60">
        <f t="shared" si="1"/>
        <v>2</v>
      </c>
      <c r="T17" s="60">
        <f t="shared" si="1"/>
        <v>0</v>
      </c>
      <c r="U17" s="60">
        <f t="shared" si="1"/>
        <v>0</v>
      </c>
      <c r="V17" s="60">
        <f t="shared" si="1"/>
        <v>0</v>
      </c>
      <c r="W17" s="60">
        <f t="shared" si="1"/>
        <v>7</v>
      </c>
      <c r="X17" s="60">
        <f t="shared" si="1"/>
        <v>0</v>
      </c>
      <c r="Y17" s="60">
        <f t="shared" si="1"/>
        <v>1</v>
      </c>
      <c r="Z17" s="60">
        <f t="shared" si="1"/>
        <v>0</v>
      </c>
      <c r="AA17" s="60">
        <f t="shared" si="1"/>
        <v>0</v>
      </c>
      <c r="AB17" s="60">
        <f t="shared" si="1"/>
        <v>0</v>
      </c>
      <c r="AC17" s="60">
        <f t="shared" si="1"/>
        <v>0</v>
      </c>
      <c r="AD17" s="60">
        <f t="shared" si="1"/>
        <v>0</v>
      </c>
      <c r="AE17" s="30">
        <f t="shared" si="1"/>
        <v>227</v>
      </c>
      <c r="AF17" s="30"/>
      <c r="AG17" s="30"/>
    </row>
    <row r="18" spans="1:33" ht="13" thickBot="1" x14ac:dyDescent="0.45">
      <c r="A18" s="29" t="s">
        <v>107</v>
      </c>
      <c r="B18" s="30"/>
      <c r="C18" s="95" t="s">
        <v>142</v>
      </c>
      <c r="D18" s="64"/>
      <c r="E18" s="7"/>
      <c r="F18" s="29"/>
      <c r="G18" s="29" t="s">
        <v>126</v>
      </c>
      <c r="H18" s="60"/>
      <c r="I18" s="60"/>
      <c r="J18" s="94" t="s">
        <v>143</v>
      </c>
      <c r="K18" s="60"/>
      <c r="L18" s="60"/>
      <c r="M18" s="60"/>
      <c r="N18" s="60"/>
      <c r="O18" s="60"/>
      <c r="P18" s="60"/>
      <c r="Q18" s="60"/>
      <c r="R18" s="60"/>
      <c r="S18" s="60"/>
      <c r="T18" s="60"/>
      <c r="U18" s="60"/>
      <c r="V18" s="60"/>
      <c r="W18" s="60"/>
      <c r="X18" s="60"/>
      <c r="Y18" s="60"/>
      <c r="Z18" s="60"/>
      <c r="AA18" s="60"/>
      <c r="AB18" s="60"/>
      <c r="AC18" s="60"/>
      <c r="AD18" s="60"/>
      <c r="AE18" s="30"/>
      <c r="AF18" s="30"/>
      <c r="AG18" s="30"/>
    </row>
    <row r="19" spans="1:33" ht="13" thickBot="1" x14ac:dyDescent="0.45">
      <c r="A19" s="10" t="str">
        <f>A2</f>
        <v>BLIND #</v>
      </c>
      <c r="B19" s="14"/>
      <c r="C19" s="65">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30"/>
      <c r="AG19" s="30"/>
    </row>
    <row r="20" spans="1:33" x14ac:dyDescent="0.4">
      <c r="A20" s="30" t="str">
        <f>A3</f>
        <v>RUDDY</v>
      </c>
      <c r="B20" s="30"/>
      <c r="C20" s="92"/>
      <c r="D20" s="92"/>
      <c r="E20" s="92"/>
      <c r="F20" s="92">
        <v>1</v>
      </c>
      <c r="G20" s="92"/>
      <c r="H20" s="92"/>
      <c r="I20" s="92">
        <v>1</v>
      </c>
      <c r="J20" s="92"/>
      <c r="K20" s="92"/>
      <c r="L20" s="92"/>
      <c r="M20" s="92"/>
      <c r="N20" s="92"/>
      <c r="O20" s="92"/>
      <c r="P20" s="92"/>
      <c r="Q20" s="92"/>
      <c r="R20" s="92"/>
      <c r="S20" s="92"/>
      <c r="T20" s="92"/>
      <c r="U20" s="92"/>
      <c r="V20" s="92"/>
      <c r="W20" s="92"/>
      <c r="X20" s="92"/>
      <c r="Y20" s="92"/>
      <c r="Z20" s="92"/>
      <c r="AA20" s="92"/>
      <c r="AB20" s="92"/>
      <c r="AC20" s="92"/>
      <c r="AD20" s="92"/>
      <c r="AE20" s="78">
        <f>SUM(C20:AD20)</f>
        <v>2</v>
      </c>
      <c r="AF20" s="30"/>
      <c r="AG20" s="30"/>
    </row>
    <row r="21" spans="1:33" x14ac:dyDescent="0.4">
      <c r="A21" s="30" t="str">
        <f t="shared" ref="A21:A33" si="3">A4</f>
        <v>CANVASBACK</v>
      </c>
      <c r="B21" s="30"/>
      <c r="C21" s="92"/>
      <c r="D21" s="92"/>
      <c r="E21" s="92"/>
      <c r="F21" s="92"/>
      <c r="G21" s="92"/>
      <c r="H21" s="92"/>
      <c r="I21" s="92">
        <v>1</v>
      </c>
      <c r="J21" s="92"/>
      <c r="K21" s="92"/>
      <c r="L21" s="92"/>
      <c r="M21" s="92"/>
      <c r="N21" s="92"/>
      <c r="O21" s="92"/>
      <c r="P21" s="92"/>
      <c r="Q21" s="92"/>
      <c r="R21" s="92"/>
      <c r="S21" s="92"/>
      <c r="T21" s="92"/>
      <c r="U21" s="92"/>
      <c r="V21" s="92"/>
      <c r="W21" s="92"/>
      <c r="X21" s="92"/>
      <c r="Y21" s="92"/>
      <c r="Z21" s="92"/>
      <c r="AA21" s="92"/>
      <c r="AB21" s="92"/>
      <c r="AC21" s="92"/>
      <c r="AD21" s="92">
        <v>1</v>
      </c>
      <c r="AE21" s="78">
        <f t="shared" ref="AE21:AE33" si="4">SUM(C21:AD21)</f>
        <v>2</v>
      </c>
      <c r="AF21" s="30"/>
      <c r="AG21" s="30"/>
    </row>
    <row r="22" spans="1:33" x14ac:dyDescent="0.4">
      <c r="A22" s="30" t="str">
        <f t="shared" si="3"/>
        <v>GADWALL</v>
      </c>
      <c r="B22" s="30"/>
      <c r="C22" s="92">
        <v>1</v>
      </c>
      <c r="D22" s="92"/>
      <c r="E22" s="92"/>
      <c r="F22" s="92">
        <v>1</v>
      </c>
      <c r="G22" s="92">
        <v>1</v>
      </c>
      <c r="H22" s="92">
        <v>1</v>
      </c>
      <c r="I22" s="92"/>
      <c r="J22" s="92"/>
      <c r="K22" s="92"/>
      <c r="L22" s="92"/>
      <c r="M22" s="92">
        <v>4</v>
      </c>
      <c r="N22" s="92"/>
      <c r="O22" s="92"/>
      <c r="P22" s="92"/>
      <c r="Q22" s="92"/>
      <c r="R22" s="92">
        <v>3</v>
      </c>
      <c r="S22" s="92"/>
      <c r="T22" s="92"/>
      <c r="U22" s="92"/>
      <c r="V22" s="92">
        <v>1</v>
      </c>
      <c r="W22" s="92">
        <v>8</v>
      </c>
      <c r="X22" s="92"/>
      <c r="Y22" s="92"/>
      <c r="Z22" s="92"/>
      <c r="AA22" s="92"/>
      <c r="AB22" s="92"/>
      <c r="AC22" s="92"/>
      <c r="AD22" s="92"/>
      <c r="AE22" s="78">
        <f t="shared" si="4"/>
        <v>20</v>
      </c>
      <c r="AF22" s="30"/>
      <c r="AG22" s="30"/>
    </row>
    <row r="23" spans="1:33" x14ac:dyDescent="0.4">
      <c r="A23" s="30" t="str">
        <f t="shared" si="3"/>
        <v>GEESE</v>
      </c>
      <c r="B23" s="30"/>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v>3</v>
      </c>
      <c r="AC23" s="92"/>
      <c r="AD23" s="92"/>
      <c r="AE23" s="78">
        <f t="shared" si="4"/>
        <v>3</v>
      </c>
      <c r="AF23" s="30"/>
      <c r="AG23" s="30"/>
    </row>
    <row r="24" spans="1:33" x14ac:dyDescent="0.4">
      <c r="A24" s="30" t="str">
        <f t="shared" si="3"/>
        <v>MALLARD</v>
      </c>
      <c r="B24" s="30"/>
      <c r="C24" s="92"/>
      <c r="D24" s="92"/>
      <c r="E24" s="92"/>
      <c r="F24" s="92">
        <v>2</v>
      </c>
      <c r="G24" s="92"/>
      <c r="H24" s="92"/>
      <c r="I24" s="92"/>
      <c r="J24" s="92"/>
      <c r="K24" s="92"/>
      <c r="L24" s="92"/>
      <c r="M24" s="92"/>
      <c r="N24" s="92"/>
      <c r="O24" s="92"/>
      <c r="P24" s="92"/>
      <c r="Q24" s="92"/>
      <c r="R24" s="92"/>
      <c r="S24" s="92"/>
      <c r="T24" s="92"/>
      <c r="U24" s="92"/>
      <c r="V24" s="92"/>
      <c r="W24" s="92"/>
      <c r="X24" s="92"/>
      <c r="Y24" s="92"/>
      <c r="Z24" s="92"/>
      <c r="AA24" s="92"/>
      <c r="AB24" s="92">
        <v>2</v>
      </c>
      <c r="AC24" s="92"/>
      <c r="AD24" s="92">
        <v>1</v>
      </c>
      <c r="AE24" s="78">
        <f t="shared" si="4"/>
        <v>5</v>
      </c>
      <c r="AF24" s="30"/>
      <c r="AG24" s="30"/>
    </row>
    <row r="25" spans="1:33" x14ac:dyDescent="0.4">
      <c r="A25" s="30" t="str">
        <f t="shared" si="3"/>
        <v>PINTAIL</v>
      </c>
      <c r="B25" s="30"/>
      <c r="C25" s="92"/>
      <c r="D25" s="92">
        <v>1</v>
      </c>
      <c r="E25" s="92"/>
      <c r="F25" s="92">
        <v>5</v>
      </c>
      <c r="G25" s="92">
        <v>2</v>
      </c>
      <c r="H25" s="92">
        <v>2</v>
      </c>
      <c r="I25" s="92"/>
      <c r="J25" s="92"/>
      <c r="K25" s="92"/>
      <c r="L25" s="92">
        <v>1</v>
      </c>
      <c r="M25" s="92">
        <v>9</v>
      </c>
      <c r="N25" s="92"/>
      <c r="O25" s="92"/>
      <c r="P25" s="92"/>
      <c r="Q25" s="92"/>
      <c r="R25" s="92">
        <v>1</v>
      </c>
      <c r="S25" s="92"/>
      <c r="T25" s="92"/>
      <c r="U25" s="92"/>
      <c r="V25" s="92">
        <v>2</v>
      </c>
      <c r="W25" s="92">
        <v>4</v>
      </c>
      <c r="X25" s="92"/>
      <c r="Y25" s="92"/>
      <c r="Z25" s="92"/>
      <c r="AA25" s="92"/>
      <c r="AB25" s="92">
        <v>4</v>
      </c>
      <c r="AC25" s="92"/>
      <c r="AD25" s="92">
        <v>5</v>
      </c>
      <c r="AE25" s="78">
        <f t="shared" si="4"/>
        <v>36</v>
      </c>
      <c r="AF25" s="30"/>
      <c r="AG25" s="30"/>
    </row>
    <row r="26" spans="1:33" x14ac:dyDescent="0.4">
      <c r="A26" s="30" t="str">
        <f t="shared" si="3"/>
        <v>REDHEAD</v>
      </c>
      <c r="B26" s="30"/>
      <c r="C26" s="92"/>
      <c r="D26" s="92"/>
      <c r="E26" s="92"/>
      <c r="F26" s="92"/>
      <c r="G26" s="92"/>
      <c r="H26" s="92">
        <v>1</v>
      </c>
      <c r="I26" s="92"/>
      <c r="J26" s="92"/>
      <c r="K26" s="92"/>
      <c r="L26" s="92"/>
      <c r="M26" s="92"/>
      <c r="N26" s="92"/>
      <c r="O26" s="92"/>
      <c r="P26" s="92"/>
      <c r="Q26" s="92"/>
      <c r="R26" s="92">
        <v>1</v>
      </c>
      <c r="S26" s="92"/>
      <c r="T26" s="92"/>
      <c r="U26" s="92"/>
      <c r="V26" s="92"/>
      <c r="W26" s="92">
        <v>1</v>
      </c>
      <c r="X26" s="92"/>
      <c r="Y26" s="92"/>
      <c r="Z26" s="92">
        <v>1</v>
      </c>
      <c r="AA26" s="92"/>
      <c r="AB26" s="92">
        <v>1</v>
      </c>
      <c r="AC26" s="92"/>
      <c r="AD26" s="92"/>
      <c r="AE26" s="78">
        <f t="shared" si="4"/>
        <v>5</v>
      </c>
      <c r="AF26" s="30"/>
      <c r="AG26" s="30"/>
    </row>
    <row r="27" spans="1:33" x14ac:dyDescent="0.4">
      <c r="A27" s="30" t="str">
        <f t="shared" si="3"/>
        <v>WOODY</v>
      </c>
      <c r="B27" s="30"/>
      <c r="C27" s="92"/>
      <c r="D27" s="92"/>
      <c r="E27" s="92"/>
      <c r="F27" s="92"/>
      <c r="G27" s="92"/>
      <c r="H27" s="92"/>
      <c r="I27" s="92"/>
      <c r="J27" s="92"/>
      <c r="K27" s="92"/>
      <c r="L27" s="92"/>
      <c r="M27" s="92">
        <v>1</v>
      </c>
      <c r="N27" s="92"/>
      <c r="O27" s="92"/>
      <c r="P27" s="92"/>
      <c r="Q27" s="92"/>
      <c r="R27" s="92"/>
      <c r="S27" s="92"/>
      <c r="T27" s="92"/>
      <c r="U27" s="92"/>
      <c r="V27" s="92"/>
      <c r="W27" s="92"/>
      <c r="X27" s="92"/>
      <c r="Y27" s="92"/>
      <c r="Z27" s="92"/>
      <c r="AA27" s="92"/>
      <c r="AB27" s="92"/>
      <c r="AC27" s="92"/>
      <c r="AD27" s="92"/>
      <c r="AE27" s="78">
        <f t="shared" si="4"/>
        <v>1</v>
      </c>
      <c r="AF27" s="30"/>
      <c r="AG27" s="30"/>
    </row>
    <row r="28" spans="1:33" x14ac:dyDescent="0.4">
      <c r="A28" s="30" t="str">
        <f t="shared" si="3"/>
        <v>B'HEAD</v>
      </c>
      <c r="B28" s="30"/>
      <c r="C28" s="92">
        <v>3</v>
      </c>
      <c r="D28" s="92"/>
      <c r="E28" s="92"/>
      <c r="F28" s="92"/>
      <c r="G28" s="92"/>
      <c r="H28" s="92"/>
      <c r="I28" s="92"/>
      <c r="J28" s="92"/>
      <c r="K28" s="92">
        <v>1</v>
      </c>
      <c r="L28" s="92"/>
      <c r="M28" s="92"/>
      <c r="N28" s="92"/>
      <c r="O28" s="92">
        <v>1</v>
      </c>
      <c r="P28" s="92"/>
      <c r="Q28" s="92"/>
      <c r="R28" s="92"/>
      <c r="S28" s="92"/>
      <c r="T28" s="92"/>
      <c r="U28" s="92"/>
      <c r="V28" s="92"/>
      <c r="W28" s="92"/>
      <c r="X28" s="92"/>
      <c r="Y28" s="92"/>
      <c r="Z28" s="92">
        <v>1</v>
      </c>
      <c r="AA28" s="92"/>
      <c r="AB28" s="92"/>
      <c r="AC28" s="92">
        <v>2</v>
      </c>
      <c r="AD28" s="92"/>
      <c r="AE28" s="78">
        <f t="shared" si="4"/>
        <v>8</v>
      </c>
      <c r="AF28" s="30"/>
      <c r="AG28" s="30"/>
    </row>
    <row r="29" spans="1:33" x14ac:dyDescent="0.4">
      <c r="A29" s="30" t="str">
        <f t="shared" si="3"/>
        <v>SPOONY</v>
      </c>
      <c r="B29" s="30"/>
      <c r="C29" s="92">
        <v>1</v>
      </c>
      <c r="D29" s="92">
        <v>1</v>
      </c>
      <c r="E29" s="92"/>
      <c r="F29" s="92"/>
      <c r="G29" s="92">
        <v>2</v>
      </c>
      <c r="H29" s="92">
        <v>7</v>
      </c>
      <c r="I29" s="92">
        <v>1</v>
      </c>
      <c r="J29" s="92">
        <v>1</v>
      </c>
      <c r="K29" s="92">
        <v>8</v>
      </c>
      <c r="L29" s="92">
        <v>2</v>
      </c>
      <c r="M29" s="92">
        <v>7</v>
      </c>
      <c r="N29" s="92"/>
      <c r="O29" s="92">
        <v>11</v>
      </c>
      <c r="P29" s="92"/>
      <c r="Q29" s="92"/>
      <c r="R29" s="92">
        <v>9</v>
      </c>
      <c r="S29" s="92"/>
      <c r="T29" s="92"/>
      <c r="U29" s="92"/>
      <c r="V29" s="92">
        <v>11</v>
      </c>
      <c r="W29" s="92">
        <v>20</v>
      </c>
      <c r="X29" s="92"/>
      <c r="Y29" s="92">
        <v>3</v>
      </c>
      <c r="Z29" s="92">
        <v>7</v>
      </c>
      <c r="AA29" s="92"/>
      <c r="AB29" s="92">
        <v>22</v>
      </c>
      <c r="AC29" s="92">
        <v>3</v>
      </c>
      <c r="AD29" s="92">
        <v>4</v>
      </c>
      <c r="AE29" s="78">
        <f t="shared" si="4"/>
        <v>120</v>
      </c>
      <c r="AF29" s="30"/>
      <c r="AG29" s="30"/>
    </row>
    <row r="30" spans="1:33" x14ac:dyDescent="0.4">
      <c r="A30" s="30" t="str">
        <f t="shared" si="3"/>
        <v>TEAL</v>
      </c>
      <c r="B30" s="30"/>
      <c r="C30" s="92">
        <v>9</v>
      </c>
      <c r="D30" s="92">
        <v>1</v>
      </c>
      <c r="E30" s="92">
        <v>2</v>
      </c>
      <c r="F30" s="92">
        <v>41</v>
      </c>
      <c r="G30" s="92">
        <v>9</v>
      </c>
      <c r="H30" s="92">
        <v>18</v>
      </c>
      <c r="I30" s="92">
        <v>5</v>
      </c>
      <c r="J30" s="92">
        <v>2</v>
      </c>
      <c r="K30" s="92">
        <v>17</v>
      </c>
      <c r="L30" s="92">
        <v>14</v>
      </c>
      <c r="M30" s="92">
        <v>56</v>
      </c>
      <c r="N30" s="92">
        <v>4</v>
      </c>
      <c r="O30" s="92">
        <v>39</v>
      </c>
      <c r="P30" s="92"/>
      <c r="Q30" s="92"/>
      <c r="R30" s="92">
        <v>29</v>
      </c>
      <c r="S30" s="92">
        <v>1</v>
      </c>
      <c r="T30" s="92"/>
      <c r="U30" s="92"/>
      <c r="V30" s="92">
        <v>15</v>
      </c>
      <c r="W30" s="92">
        <v>50</v>
      </c>
      <c r="X30" s="92">
        <v>1</v>
      </c>
      <c r="Y30" s="92">
        <v>5</v>
      </c>
      <c r="Z30" s="92"/>
      <c r="AA30" s="92"/>
      <c r="AB30" s="92">
        <v>51</v>
      </c>
      <c r="AC30" s="92">
        <v>10</v>
      </c>
      <c r="AD30" s="92">
        <v>28</v>
      </c>
      <c r="AE30" s="78">
        <f t="shared" si="4"/>
        <v>407</v>
      </c>
      <c r="AF30" s="30"/>
      <c r="AG30" s="30"/>
    </row>
    <row r="31" spans="1:33" x14ac:dyDescent="0.4">
      <c r="A31" s="30" t="str">
        <f t="shared" si="3"/>
        <v>WIDGEON</v>
      </c>
      <c r="B31" s="30"/>
      <c r="C31" s="92"/>
      <c r="D31" s="92"/>
      <c r="E31" s="92"/>
      <c r="F31" s="92">
        <v>4</v>
      </c>
      <c r="G31" s="92"/>
      <c r="H31" s="92">
        <v>1</v>
      </c>
      <c r="I31" s="92">
        <v>2</v>
      </c>
      <c r="J31" s="92"/>
      <c r="K31" s="92">
        <v>2</v>
      </c>
      <c r="L31" s="92"/>
      <c r="M31" s="92">
        <v>4</v>
      </c>
      <c r="N31" s="92">
        <v>1</v>
      </c>
      <c r="O31" s="92">
        <v>6</v>
      </c>
      <c r="P31" s="92"/>
      <c r="Q31" s="92"/>
      <c r="R31" s="92">
        <v>3</v>
      </c>
      <c r="S31" s="92"/>
      <c r="T31" s="92"/>
      <c r="U31" s="92"/>
      <c r="V31" s="92">
        <v>16</v>
      </c>
      <c r="W31" s="92">
        <v>11</v>
      </c>
      <c r="X31" s="92">
        <v>1</v>
      </c>
      <c r="Y31" s="92"/>
      <c r="Z31" s="92">
        <v>1</v>
      </c>
      <c r="AA31" s="92"/>
      <c r="AB31" s="92">
        <v>6</v>
      </c>
      <c r="AC31" s="92">
        <v>1</v>
      </c>
      <c r="AD31" s="92">
        <v>1</v>
      </c>
      <c r="AE31" s="78">
        <f t="shared" si="4"/>
        <v>60</v>
      </c>
      <c r="AF31" s="30"/>
      <c r="AG31" s="30"/>
    </row>
    <row r="32" spans="1:33" x14ac:dyDescent="0.4">
      <c r="A32" s="30" t="s">
        <v>111</v>
      </c>
      <c r="B32" s="30"/>
      <c r="C32" s="92"/>
      <c r="D32" s="92"/>
      <c r="E32" s="92"/>
      <c r="F32" s="92"/>
      <c r="G32" s="92"/>
      <c r="H32" s="92"/>
      <c r="I32" s="92">
        <v>1</v>
      </c>
      <c r="J32" s="92"/>
      <c r="K32" s="92"/>
      <c r="L32" s="92"/>
      <c r="M32" s="92"/>
      <c r="N32" s="92"/>
      <c r="O32" s="92"/>
      <c r="P32" s="92"/>
      <c r="Q32" s="92"/>
      <c r="R32" s="92"/>
      <c r="S32" s="92"/>
      <c r="T32" s="92"/>
      <c r="U32" s="92"/>
      <c r="V32" s="92"/>
      <c r="W32" s="92">
        <v>1</v>
      </c>
      <c r="X32" s="92"/>
      <c r="Y32" s="92"/>
      <c r="Z32" s="92"/>
      <c r="AA32" s="92"/>
      <c r="AB32" s="92"/>
      <c r="AC32" s="92"/>
      <c r="AD32" s="92"/>
      <c r="AE32" s="78">
        <f t="shared" si="4"/>
        <v>2</v>
      </c>
      <c r="AF32" s="30"/>
      <c r="AG32" s="30"/>
    </row>
    <row r="33" spans="1:33" ht="13" thickBot="1" x14ac:dyDescent="0.45">
      <c r="A33" s="30" t="str">
        <f t="shared" si="3"/>
        <v>MISC</v>
      </c>
      <c r="B33" s="30"/>
      <c r="C33" s="93"/>
      <c r="D33" s="93"/>
      <c r="E33" s="93"/>
      <c r="F33" s="93"/>
      <c r="G33" s="93"/>
      <c r="H33" s="93"/>
      <c r="I33" s="93"/>
      <c r="J33" s="93"/>
      <c r="K33" s="93"/>
      <c r="L33" s="93"/>
      <c r="M33" s="93">
        <v>1</v>
      </c>
      <c r="N33" s="93"/>
      <c r="O33" s="93"/>
      <c r="P33" s="93"/>
      <c r="Q33" s="93"/>
      <c r="R33" s="93"/>
      <c r="S33" s="93"/>
      <c r="T33" s="93"/>
      <c r="U33" s="93"/>
      <c r="V33" s="93"/>
      <c r="W33" s="93">
        <v>1</v>
      </c>
      <c r="X33" s="93">
        <v>1</v>
      </c>
      <c r="Y33" s="93"/>
      <c r="Z33" s="93"/>
      <c r="AA33" s="93"/>
      <c r="AB33" s="93"/>
      <c r="AC33" s="93"/>
      <c r="AD33" s="93"/>
      <c r="AE33" s="68">
        <f t="shared" si="4"/>
        <v>3</v>
      </c>
      <c r="AF33" s="30"/>
      <c r="AG33" s="30"/>
    </row>
    <row r="34" spans="1:33" x14ac:dyDescent="0.4">
      <c r="A34" s="30" t="s">
        <v>25</v>
      </c>
      <c r="B34" s="30"/>
      <c r="C34" s="60">
        <f>0+SUM(C20:C33)</f>
        <v>14</v>
      </c>
      <c r="D34" s="60">
        <f t="shared" ref="D34:AD34" si="5">0+SUM(D20:D33)</f>
        <v>3</v>
      </c>
      <c r="E34" s="60">
        <f t="shared" si="5"/>
        <v>2</v>
      </c>
      <c r="F34" s="60">
        <f t="shared" si="5"/>
        <v>54</v>
      </c>
      <c r="G34" s="60">
        <f t="shared" si="5"/>
        <v>14</v>
      </c>
      <c r="H34" s="60">
        <f t="shared" si="5"/>
        <v>30</v>
      </c>
      <c r="I34" s="60">
        <f t="shared" si="5"/>
        <v>11</v>
      </c>
      <c r="J34" s="60">
        <f t="shared" si="5"/>
        <v>3</v>
      </c>
      <c r="K34" s="60">
        <f t="shared" si="5"/>
        <v>28</v>
      </c>
      <c r="L34" s="60">
        <f t="shared" si="5"/>
        <v>17</v>
      </c>
      <c r="M34" s="60">
        <f t="shared" si="5"/>
        <v>82</v>
      </c>
      <c r="N34" s="60">
        <f t="shared" si="5"/>
        <v>5</v>
      </c>
      <c r="O34" s="60">
        <f t="shared" si="5"/>
        <v>57</v>
      </c>
      <c r="P34" s="60">
        <f t="shared" si="5"/>
        <v>0</v>
      </c>
      <c r="Q34" s="60">
        <f t="shared" si="5"/>
        <v>0</v>
      </c>
      <c r="R34" s="60">
        <f t="shared" si="5"/>
        <v>46</v>
      </c>
      <c r="S34" s="60">
        <f t="shared" si="5"/>
        <v>1</v>
      </c>
      <c r="T34" s="60">
        <f t="shared" si="5"/>
        <v>0</v>
      </c>
      <c r="U34" s="60">
        <f t="shared" si="5"/>
        <v>0</v>
      </c>
      <c r="V34" s="60">
        <f t="shared" si="5"/>
        <v>45</v>
      </c>
      <c r="W34" s="60">
        <f t="shared" si="5"/>
        <v>96</v>
      </c>
      <c r="X34" s="60">
        <f t="shared" si="5"/>
        <v>3</v>
      </c>
      <c r="Y34" s="60">
        <f t="shared" si="5"/>
        <v>8</v>
      </c>
      <c r="Z34" s="60">
        <f t="shared" si="5"/>
        <v>10</v>
      </c>
      <c r="AA34" s="60">
        <f t="shared" si="5"/>
        <v>0</v>
      </c>
      <c r="AB34" s="60">
        <f t="shared" si="5"/>
        <v>89</v>
      </c>
      <c r="AC34" s="60">
        <f t="shared" si="5"/>
        <v>16</v>
      </c>
      <c r="AD34" s="60">
        <f t="shared" si="5"/>
        <v>40</v>
      </c>
      <c r="AE34" s="30">
        <f>SUM(AE20:AE33)</f>
        <v>674</v>
      </c>
      <c r="AF34" s="30"/>
      <c r="AG34" s="30"/>
    </row>
    <row r="35" spans="1:33" ht="13" thickBot="1" x14ac:dyDescent="0.45">
      <c r="A35" s="30"/>
      <c r="B35" s="3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30"/>
      <c r="AF35" s="30"/>
      <c r="AG35" s="30"/>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65">
        <v>24</v>
      </c>
      <c r="AA37" s="65">
        <v>25</v>
      </c>
      <c r="AB37" s="65">
        <v>26</v>
      </c>
      <c r="AC37" s="65">
        <v>27</v>
      </c>
      <c r="AD37" s="65">
        <v>28</v>
      </c>
      <c r="AE37" s="13" t="s">
        <v>2</v>
      </c>
      <c r="AF37" s="26" t="s">
        <v>61</v>
      </c>
      <c r="AG37" s="27" t="s">
        <v>59</v>
      </c>
    </row>
    <row r="38" spans="1:33" x14ac:dyDescent="0.4">
      <c r="A38" s="30" t="str">
        <f>A20</f>
        <v>RUDDY</v>
      </c>
      <c r="B38" s="30"/>
      <c r="C38" s="60">
        <f t="shared" ref="C38:AD47" si="7">C3+C20</f>
        <v>0</v>
      </c>
      <c r="D38" s="60">
        <f t="shared" si="7"/>
        <v>0</v>
      </c>
      <c r="E38" s="60">
        <f t="shared" si="7"/>
        <v>0</v>
      </c>
      <c r="F38" s="60">
        <f t="shared" si="7"/>
        <v>1</v>
      </c>
      <c r="G38" s="60">
        <f t="shared" si="7"/>
        <v>0</v>
      </c>
      <c r="H38" s="60">
        <f t="shared" si="7"/>
        <v>0</v>
      </c>
      <c r="I38" s="60">
        <f t="shared" si="7"/>
        <v>2</v>
      </c>
      <c r="J38" s="60">
        <f t="shared" si="7"/>
        <v>0</v>
      </c>
      <c r="K38" s="60">
        <f t="shared" si="7"/>
        <v>0</v>
      </c>
      <c r="L38" s="60">
        <f t="shared" si="7"/>
        <v>0</v>
      </c>
      <c r="M38" s="60">
        <f t="shared" si="7"/>
        <v>2</v>
      </c>
      <c r="N38" s="60">
        <f t="shared" si="7"/>
        <v>0</v>
      </c>
      <c r="O38" s="60">
        <f t="shared" si="7"/>
        <v>0</v>
      </c>
      <c r="P38" s="60">
        <f t="shared" si="7"/>
        <v>0</v>
      </c>
      <c r="Q38" s="60">
        <f t="shared" si="7"/>
        <v>0</v>
      </c>
      <c r="R38" s="60">
        <f t="shared" si="7"/>
        <v>0</v>
      </c>
      <c r="S38" s="60">
        <f t="shared" si="7"/>
        <v>0</v>
      </c>
      <c r="T38" s="60">
        <f t="shared" si="7"/>
        <v>0</v>
      </c>
      <c r="U38" s="60">
        <f t="shared" si="7"/>
        <v>0</v>
      </c>
      <c r="V38" s="60">
        <f t="shared" si="7"/>
        <v>0</v>
      </c>
      <c r="W38" s="60">
        <f t="shared" si="7"/>
        <v>0</v>
      </c>
      <c r="X38" s="60">
        <f t="shared" si="7"/>
        <v>0</v>
      </c>
      <c r="Y38" s="60">
        <f t="shared" si="7"/>
        <v>0</v>
      </c>
      <c r="Z38" s="60">
        <f t="shared" si="7"/>
        <v>0</v>
      </c>
      <c r="AA38" s="60">
        <f t="shared" si="7"/>
        <v>0</v>
      </c>
      <c r="AB38" s="60">
        <f t="shared" si="7"/>
        <v>0</v>
      </c>
      <c r="AC38" s="60">
        <f t="shared" si="7"/>
        <v>0</v>
      </c>
      <c r="AD38" s="60">
        <f t="shared" si="7"/>
        <v>0</v>
      </c>
      <c r="AE38" s="77">
        <f>SUM(C38:AD38)</f>
        <v>5</v>
      </c>
      <c r="AF38" s="84">
        <f>AE38/$AE$52</f>
        <v>5.5493895671476137E-3</v>
      </c>
      <c r="AG38" s="67">
        <f>75/2912</f>
        <v>2.5755494505494504E-2</v>
      </c>
    </row>
    <row r="39" spans="1:33" x14ac:dyDescent="0.4">
      <c r="A39" s="30" t="str">
        <f t="shared" ref="A39:A50" si="8">A21</f>
        <v>CANVASBACK</v>
      </c>
      <c r="B39" s="30"/>
      <c r="C39" s="60">
        <f t="shared" si="7"/>
        <v>0</v>
      </c>
      <c r="D39" s="60">
        <f t="shared" si="7"/>
        <v>0</v>
      </c>
      <c r="E39" s="60">
        <f t="shared" si="7"/>
        <v>0</v>
      </c>
      <c r="F39" s="60">
        <f t="shared" si="7"/>
        <v>1</v>
      </c>
      <c r="G39" s="60">
        <f t="shared" si="7"/>
        <v>0</v>
      </c>
      <c r="H39" s="60">
        <f t="shared" si="7"/>
        <v>1</v>
      </c>
      <c r="I39" s="60">
        <f t="shared" si="7"/>
        <v>2</v>
      </c>
      <c r="J39" s="60">
        <f t="shared" si="7"/>
        <v>0</v>
      </c>
      <c r="K39" s="60">
        <f t="shared" si="7"/>
        <v>3</v>
      </c>
      <c r="L39" s="60">
        <f t="shared" si="7"/>
        <v>0</v>
      </c>
      <c r="M39" s="60">
        <f t="shared" si="7"/>
        <v>2</v>
      </c>
      <c r="N39" s="60">
        <f t="shared" si="7"/>
        <v>1</v>
      </c>
      <c r="O39" s="60">
        <f t="shared" si="7"/>
        <v>0</v>
      </c>
      <c r="P39" s="60">
        <f t="shared" si="7"/>
        <v>0</v>
      </c>
      <c r="Q39" s="60">
        <f t="shared" si="7"/>
        <v>0</v>
      </c>
      <c r="R39" s="60">
        <f t="shared" si="7"/>
        <v>0</v>
      </c>
      <c r="S39" s="60">
        <f t="shared" si="7"/>
        <v>0</v>
      </c>
      <c r="T39" s="60">
        <f t="shared" si="7"/>
        <v>0</v>
      </c>
      <c r="U39" s="60">
        <f t="shared" si="7"/>
        <v>0</v>
      </c>
      <c r="V39" s="60">
        <f t="shared" si="7"/>
        <v>0</v>
      </c>
      <c r="W39" s="60">
        <f t="shared" si="7"/>
        <v>0</v>
      </c>
      <c r="X39" s="60">
        <f t="shared" si="7"/>
        <v>0</v>
      </c>
      <c r="Y39" s="60">
        <f t="shared" si="7"/>
        <v>0</v>
      </c>
      <c r="Z39" s="60">
        <f t="shared" si="7"/>
        <v>0</v>
      </c>
      <c r="AA39" s="60">
        <f t="shared" si="7"/>
        <v>0</v>
      </c>
      <c r="AB39" s="60">
        <f t="shared" si="7"/>
        <v>0</v>
      </c>
      <c r="AC39" s="60">
        <f t="shared" si="7"/>
        <v>0</v>
      </c>
      <c r="AD39" s="60">
        <f t="shared" si="7"/>
        <v>1</v>
      </c>
      <c r="AE39" s="78">
        <f t="shared" ref="AE39:AE51" si="9">SUM(C39:AD39)</f>
        <v>11</v>
      </c>
      <c r="AF39" s="84">
        <f>AE39/$AE$52</f>
        <v>1.2208657047724751E-2</v>
      </c>
      <c r="AG39" s="67">
        <f>25/6912</f>
        <v>3.6168981481481482E-3</v>
      </c>
    </row>
    <row r="40" spans="1:33" x14ac:dyDescent="0.4">
      <c r="A40" s="30" t="str">
        <f t="shared" si="8"/>
        <v>GADWALL</v>
      </c>
      <c r="B40" s="30"/>
      <c r="C40" s="60">
        <f t="shared" si="7"/>
        <v>3</v>
      </c>
      <c r="D40" s="60">
        <f t="shared" si="7"/>
        <v>0</v>
      </c>
      <c r="E40" s="60">
        <f t="shared" si="7"/>
        <v>0</v>
      </c>
      <c r="F40" s="60">
        <f t="shared" si="7"/>
        <v>3</v>
      </c>
      <c r="G40" s="60">
        <f t="shared" si="7"/>
        <v>1</v>
      </c>
      <c r="H40" s="60">
        <f t="shared" si="7"/>
        <v>1</v>
      </c>
      <c r="I40" s="60">
        <f t="shared" si="7"/>
        <v>1</v>
      </c>
      <c r="J40" s="60">
        <f t="shared" si="7"/>
        <v>0</v>
      </c>
      <c r="K40" s="60">
        <f t="shared" si="7"/>
        <v>0</v>
      </c>
      <c r="L40" s="60">
        <f t="shared" si="7"/>
        <v>0</v>
      </c>
      <c r="M40" s="60">
        <f t="shared" si="7"/>
        <v>7</v>
      </c>
      <c r="N40" s="60">
        <f t="shared" si="7"/>
        <v>0</v>
      </c>
      <c r="O40" s="60">
        <f t="shared" si="7"/>
        <v>0</v>
      </c>
      <c r="P40" s="60">
        <f t="shared" si="7"/>
        <v>0</v>
      </c>
      <c r="Q40" s="60">
        <f t="shared" si="7"/>
        <v>0</v>
      </c>
      <c r="R40" s="60">
        <f t="shared" si="7"/>
        <v>4</v>
      </c>
      <c r="S40" s="60">
        <f t="shared" si="7"/>
        <v>0</v>
      </c>
      <c r="T40" s="60">
        <f t="shared" si="7"/>
        <v>0</v>
      </c>
      <c r="U40" s="60">
        <f t="shared" si="7"/>
        <v>0</v>
      </c>
      <c r="V40" s="60">
        <f t="shared" si="7"/>
        <v>1</v>
      </c>
      <c r="W40" s="60">
        <f t="shared" si="7"/>
        <v>8</v>
      </c>
      <c r="X40" s="60">
        <f t="shared" si="7"/>
        <v>0</v>
      </c>
      <c r="Y40" s="60">
        <f t="shared" si="7"/>
        <v>0</v>
      </c>
      <c r="Z40" s="60">
        <f t="shared" si="7"/>
        <v>0</v>
      </c>
      <c r="AA40" s="60">
        <f t="shared" si="7"/>
        <v>0</v>
      </c>
      <c r="AB40" s="60">
        <f t="shared" si="7"/>
        <v>0</v>
      </c>
      <c r="AC40" s="60">
        <f t="shared" si="7"/>
        <v>0</v>
      </c>
      <c r="AD40" s="60">
        <f t="shared" si="7"/>
        <v>0</v>
      </c>
      <c r="AE40" s="78">
        <f t="shared" si="9"/>
        <v>29</v>
      </c>
      <c r="AF40" s="84">
        <f>AE40/$AE$52</f>
        <v>3.2186459489456157E-2</v>
      </c>
      <c r="AG40" s="67">
        <f>1328/6912</f>
        <v>0.19212962962962962</v>
      </c>
    </row>
    <row r="41" spans="1:33" x14ac:dyDescent="0.4">
      <c r="A41" s="30" t="str">
        <f t="shared" si="8"/>
        <v>GEESE</v>
      </c>
      <c r="B41" s="30"/>
      <c r="C41" s="60">
        <f t="shared" si="7"/>
        <v>0</v>
      </c>
      <c r="D41" s="60">
        <f t="shared" si="7"/>
        <v>0</v>
      </c>
      <c r="E41" s="60">
        <f t="shared" si="7"/>
        <v>0</v>
      </c>
      <c r="F41" s="60">
        <f t="shared" si="7"/>
        <v>0</v>
      </c>
      <c r="G41" s="60">
        <f t="shared" si="7"/>
        <v>0</v>
      </c>
      <c r="H41" s="60">
        <f t="shared" si="7"/>
        <v>0</v>
      </c>
      <c r="I41" s="60">
        <f t="shared" si="7"/>
        <v>0</v>
      </c>
      <c r="J41" s="60">
        <f t="shared" si="7"/>
        <v>0</v>
      </c>
      <c r="K41" s="60">
        <f t="shared" si="7"/>
        <v>0</v>
      </c>
      <c r="L41" s="60">
        <f t="shared" si="7"/>
        <v>0</v>
      </c>
      <c r="M41" s="60">
        <f t="shared" si="7"/>
        <v>2</v>
      </c>
      <c r="N41" s="60">
        <f t="shared" si="7"/>
        <v>1</v>
      </c>
      <c r="O41" s="60">
        <f t="shared" si="7"/>
        <v>0</v>
      </c>
      <c r="P41" s="60">
        <f t="shared" si="7"/>
        <v>0</v>
      </c>
      <c r="Q41" s="60">
        <f t="shared" si="7"/>
        <v>0</v>
      </c>
      <c r="R41" s="60">
        <f t="shared" si="7"/>
        <v>0</v>
      </c>
      <c r="S41" s="60">
        <f t="shared" si="7"/>
        <v>0</v>
      </c>
      <c r="T41" s="60">
        <f t="shared" si="7"/>
        <v>0</v>
      </c>
      <c r="U41" s="60">
        <f t="shared" si="7"/>
        <v>0</v>
      </c>
      <c r="V41" s="60">
        <f t="shared" si="7"/>
        <v>0</v>
      </c>
      <c r="W41" s="60">
        <f t="shared" si="7"/>
        <v>0</v>
      </c>
      <c r="X41" s="60">
        <f t="shared" si="7"/>
        <v>0</v>
      </c>
      <c r="Y41" s="60">
        <f t="shared" si="7"/>
        <v>0</v>
      </c>
      <c r="Z41" s="60">
        <f t="shared" si="7"/>
        <v>0</v>
      </c>
      <c r="AA41" s="60">
        <f t="shared" si="7"/>
        <v>0</v>
      </c>
      <c r="AB41" s="60">
        <f t="shared" si="7"/>
        <v>3</v>
      </c>
      <c r="AC41" s="60">
        <f t="shared" si="7"/>
        <v>0</v>
      </c>
      <c r="AD41" s="60">
        <f t="shared" si="7"/>
        <v>0</v>
      </c>
      <c r="AE41" s="78">
        <f t="shared" si="9"/>
        <v>6</v>
      </c>
      <c r="AF41" s="84">
        <f>AE41/$AE$52</f>
        <v>6.6592674805771362E-3</v>
      </c>
      <c r="AG41" s="67">
        <f>11/6912</f>
        <v>1.5914351851851851E-3</v>
      </c>
    </row>
    <row r="42" spans="1:33" x14ac:dyDescent="0.4">
      <c r="A42" s="30" t="str">
        <f t="shared" si="8"/>
        <v>MALLARD</v>
      </c>
      <c r="B42" s="30"/>
      <c r="C42" s="60">
        <f t="shared" si="7"/>
        <v>0</v>
      </c>
      <c r="D42" s="60">
        <f t="shared" si="7"/>
        <v>0</v>
      </c>
      <c r="E42" s="60">
        <f t="shared" si="7"/>
        <v>0</v>
      </c>
      <c r="F42" s="60">
        <f t="shared" si="7"/>
        <v>2</v>
      </c>
      <c r="G42" s="60">
        <f t="shared" si="7"/>
        <v>0</v>
      </c>
      <c r="H42" s="60">
        <f t="shared" si="7"/>
        <v>1</v>
      </c>
      <c r="I42" s="60">
        <f t="shared" si="7"/>
        <v>1</v>
      </c>
      <c r="J42" s="60">
        <f t="shared" si="7"/>
        <v>0</v>
      </c>
      <c r="K42" s="60">
        <f t="shared" si="7"/>
        <v>0</v>
      </c>
      <c r="L42" s="60">
        <f t="shared" si="7"/>
        <v>0</v>
      </c>
      <c r="M42" s="60">
        <f t="shared" si="7"/>
        <v>2</v>
      </c>
      <c r="N42" s="60">
        <f t="shared" si="7"/>
        <v>0</v>
      </c>
      <c r="O42" s="60">
        <f t="shared" si="7"/>
        <v>0</v>
      </c>
      <c r="P42" s="60">
        <f t="shared" si="7"/>
        <v>0</v>
      </c>
      <c r="Q42" s="60">
        <f t="shared" si="7"/>
        <v>0</v>
      </c>
      <c r="R42" s="60">
        <f t="shared" si="7"/>
        <v>0</v>
      </c>
      <c r="S42" s="60">
        <f t="shared" si="7"/>
        <v>0</v>
      </c>
      <c r="T42" s="60">
        <f t="shared" si="7"/>
        <v>0</v>
      </c>
      <c r="U42" s="60">
        <f t="shared" si="7"/>
        <v>0</v>
      </c>
      <c r="V42" s="60">
        <f t="shared" si="7"/>
        <v>0</v>
      </c>
      <c r="W42" s="60">
        <f t="shared" si="7"/>
        <v>0</v>
      </c>
      <c r="X42" s="60">
        <f t="shared" si="7"/>
        <v>0</v>
      </c>
      <c r="Y42" s="60">
        <f t="shared" si="7"/>
        <v>0</v>
      </c>
      <c r="Z42" s="60">
        <f t="shared" si="7"/>
        <v>0</v>
      </c>
      <c r="AA42" s="60">
        <f t="shared" si="7"/>
        <v>0</v>
      </c>
      <c r="AB42" s="60">
        <f t="shared" si="7"/>
        <v>2</v>
      </c>
      <c r="AC42" s="60">
        <f t="shared" si="7"/>
        <v>0</v>
      </c>
      <c r="AD42" s="60">
        <f t="shared" si="7"/>
        <v>1</v>
      </c>
      <c r="AE42" s="78">
        <f t="shared" si="9"/>
        <v>9</v>
      </c>
      <c r="AF42" s="84">
        <f t="shared" ref="AF42:AF51" si="10">AE42/$AE$52</f>
        <v>9.9889012208657056E-3</v>
      </c>
      <c r="AG42" s="67">
        <f>225/6912</f>
        <v>3.2552083333333336E-2</v>
      </c>
    </row>
    <row r="43" spans="1:33" x14ac:dyDescent="0.4">
      <c r="A43" s="30" t="str">
        <f t="shared" si="8"/>
        <v>PINTAIL</v>
      </c>
      <c r="B43" s="30"/>
      <c r="C43" s="60">
        <f t="shared" si="7"/>
        <v>0</v>
      </c>
      <c r="D43" s="60">
        <f t="shared" si="7"/>
        <v>1</v>
      </c>
      <c r="E43" s="60">
        <f t="shared" si="7"/>
        <v>0</v>
      </c>
      <c r="F43" s="60">
        <f t="shared" si="7"/>
        <v>5</v>
      </c>
      <c r="G43" s="60">
        <f t="shared" si="7"/>
        <v>2</v>
      </c>
      <c r="H43" s="60">
        <f t="shared" si="7"/>
        <v>7</v>
      </c>
      <c r="I43" s="60">
        <f t="shared" si="7"/>
        <v>3</v>
      </c>
      <c r="J43" s="60">
        <f t="shared" si="7"/>
        <v>0</v>
      </c>
      <c r="K43" s="60">
        <f t="shared" si="7"/>
        <v>1</v>
      </c>
      <c r="L43" s="60">
        <f t="shared" si="7"/>
        <v>2</v>
      </c>
      <c r="M43" s="60">
        <f t="shared" si="7"/>
        <v>10</v>
      </c>
      <c r="N43" s="60">
        <f t="shared" si="7"/>
        <v>0</v>
      </c>
      <c r="O43" s="60">
        <f t="shared" si="7"/>
        <v>0</v>
      </c>
      <c r="P43" s="60">
        <f t="shared" si="7"/>
        <v>0</v>
      </c>
      <c r="Q43" s="60">
        <f t="shared" si="7"/>
        <v>0</v>
      </c>
      <c r="R43" s="60">
        <f t="shared" si="7"/>
        <v>1</v>
      </c>
      <c r="S43" s="60">
        <f t="shared" si="7"/>
        <v>0</v>
      </c>
      <c r="T43" s="60">
        <f t="shared" si="7"/>
        <v>0</v>
      </c>
      <c r="U43" s="60">
        <f t="shared" si="7"/>
        <v>0</v>
      </c>
      <c r="V43" s="60">
        <f t="shared" si="7"/>
        <v>2</v>
      </c>
      <c r="W43" s="60">
        <f t="shared" si="7"/>
        <v>5</v>
      </c>
      <c r="X43" s="60">
        <f t="shared" si="7"/>
        <v>0</v>
      </c>
      <c r="Y43" s="60">
        <f t="shared" si="7"/>
        <v>0</v>
      </c>
      <c r="Z43" s="60">
        <f t="shared" si="7"/>
        <v>0</v>
      </c>
      <c r="AA43" s="60">
        <f t="shared" si="7"/>
        <v>0</v>
      </c>
      <c r="AB43" s="60">
        <f t="shared" si="7"/>
        <v>4</v>
      </c>
      <c r="AC43" s="60">
        <f t="shared" si="7"/>
        <v>0</v>
      </c>
      <c r="AD43" s="60">
        <f t="shared" si="7"/>
        <v>5</v>
      </c>
      <c r="AE43" s="78">
        <f t="shared" si="9"/>
        <v>48</v>
      </c>
      <c r="AF43" s="84">
        <f t="shared" si="10"/>
        <v>5.327413984461709E-2</v>
      </c>
      <c r="AG43" s="67">
        <f>482/6912</f>
        <v>6.9733796296296294E-2</v>
      </c>
    </row>
    <row r="44" spans="1:33" x14ac:dyDescent="0.4">
      <c r="A44" s="30" t="str">
        <f t="shared" si="8"/>
        <v>REDHEAD</v>
      </c>
      <c r="B44" s="30"/>
      <c r="C44" s="60">
        <f t="shared" si="7"/>
        <v>0</v>
      </c>
      <c r="D44" s="60">
        <f t="shared" si="7"/>
        <v>0</v>
      </c>
      <c r="E44" s="60">
        <f t="shared" si="7"/>
        <v>0</v>
      </c>
      <c r="F44" s="60">
        <f t="shared" si="7"/>
        <v>0</v>
      </c>
      <c r="G44" s="60">
        <f t="shared" si="7"/>
        <v>0</v>
      </c>
      <c r="H44" s="60">
        <f t="shared" si="7"/>
        <v>1</v>
      </c>
      <c r="I44" s="60">
        <f t="shared" si="7"/>
        <v>1</v>
      </c>
      <c r="J44" s="60">
        <f t="shared" si="7"/>
        <v>0</v>
      </c>
      <c r="K44" s="60">
        <f t="shared" si="7"/>
        <v>0</v>
      </c>
      <c r="L44" s="60">
        <f t="shared" si="7"/>
        <v>0</v>
      </c>
      <c r="M44" s="60">
        <f t="shared" si="7"/>
        <v>0</v>
      </c>
      <c r="N44" s="60">
        <f t="shared" si="7"/>
        <v>0</v>
      </c>
      <c r="O44" s="60">
        <f t="shared" si="7"/>
        <v>0</v>
      </c>
      <c r="P44" s="60">
        <f t="shared" si="7"/>
        <v>0</v>
      </c>
      <c r="Q44" s="60">
        <f t="shared" si="7"/>
        <v>0</v>
      </c>
      <c r="R44" s="60">
        <f t="shared" si="7"/>
        <v>1</v>
      </c>
      <c r="S44" s="60">
        <f t="shared" si="7"/>
        <v>0</v>
      </c>
      <c r="T44" s="60">
        <f t="shared" si="7"/>
        <v>0</v>
      </c>
      <c r="U44" s="60">
        <f t="shared" si="7"/>
        <v>0</v>
      </c>
      <c r="V44" s="60">
        <f t="shared" si="7"/>
        <v>0</v>
      </c>
      <c r="W44" s="60">
        <f t="shared" si="7"/>
        <v>1</v>
      </c>
      <c r="X44" s="60">
        <f t="shared" si="7"/>
        <v>0</v>
      </c>
      <c r="Y44" s="60">
        <f t="shared" si="7"/>
        <v>0</v>
      </c>
      <c r="Z44" s="60">
        <f t="shared" si="7"/>
        <v>1</v>
      </c>
      <c r="AA44" s="60">
        <f t="shared" si="7"/>
        <v>0</v>
      </c>
      <c r="AB44" s="60">
        <f t="shared" si="7"/>
        <v>1</v>
      </c>
      <c r="AC44" s="60">
        <f t="shared" si="7"/>
        <v>0</v>
      </c>
      <c r="AD44" s="60">
        <f t="shared" si="7"/>
        <v>0</v>
      </c>
      <c r="AE44" s="78">
        <f t="shared" si="9"/>
        <v>6</v>
      </c>
      <c r="AF44" s="84">
        <f t="shared" si="10"/>
        <v>6.6592674805771362E-3</v>
      </c>
      <c r="AG44" s="67">
        <f>414/6912</f>
        <v>5.9895833333333336E-2</v>
      </c>
    </row>
    <row r="45" spans="1:33" x14ac:dyDescent="0.4">
      <c r="A45" s="30" t="str">
        <f t="shared" si="8"/>
        <v>WOODY</v>
      </c>
      <c r="B45" s="30"/>
      <c r="C45" s="60">
        <f t="shared" si="7"/>
        <v>0</v>
      </c>
      <c r="D45" s="60">
        <f t="shared" si="7"/>
        <v>0</v>
      </c>
      <c r="E45" s="60">
        <f t="shared" si="7"/>
        <v>0</v>
      </c>
      <c r="F45" s="60">
        <f t="shared" si="7"/>
        <v>0</v>
      </c>
      <c r="G45" s="60">
        <f t="shared" si="7"/>
        <v>0</v>
      </c>
      <c r="H45" s="60">
        <f t="shared" si="7"/>
        <v>0</v>
      </c>
      <c r="I45" s="60">
        <f t="shared" si="7"/>
        <v>0</v>
      </c>
      <c r="J45" s="60">
        <f t="shared" si="7"/>
        <v>0</v>
      </c>
      <c r="K45" s="60">
        <f t="shared" si="7"/>
        <v>0</v>
      </c>
      <c r="L45" s="60">
        <f t="shared" si="7"/>
        <v>0</v>
      </c>
      <c r="M45" s="60">
        <f t="shared" si="7"/>
        <v>1</v>
      </c>
      <c r="N45" s="60">
        <f t="shared" si="7"/>
        <v>0</v>
      </c>
      <c r="O45" s="60">
        <f t="shared" si="7"/>
        <v>0</v>
      </c>
      <c r="P45" s="60">
        <f t="shared" si="7"/>
        <v>0</v>
      </c>
      <c r="Q45" s="60">
        <f t="shared" si="7"/>
        <v>0</v>
      </c>
      <c r="R45" s="60">
        <f t="shared" si="7"/>
        <v>0</v>
      </c>
      <c r="S45" s="60">
        <f t="shared" si="7"/>
        <v>0</v>
      </c>
      <c r="T45" s="60">
        <f t="shared" si="7"/>
        <v>0</v>
      </c>
      <c r="U45" s="60">
        <f t="shared" si="7"/>
        <v>0</v>
      </c>
      <c r="V45" s="60">
        <f t="shared" si="7"/>
        <v>0</v>
      </c>
      <c r="W45" s="60">
        <f t="shared" si="7"/>
        <v>0</v>
      </c>
      <c r="X45" s="60">
        <f t="shared" si="7"/>
        <v>0</v>
      </c>
      <c r="Y45" s="60">
        <f t="shared" si="7"/>
        <v>0</v>
      </c>
      <c r="Z45" s="60">
        <f t="shared" si="7"/>
        <v>0</v>
      </c>
      <c r="AA45" s="60">
        <f t="shared" si="7"/>
        <v>0</v>
      </c>
      <c r="AB45" s="60">
        <f t="shared" si="7"/>
        <v>0</v>
      </c>
      <c r="AC45" s="60">
        <f t="shared" si="7"/>
        <v>0</v>
      </c>
      <c r="AD45" s="60">
        <f t="shared" si="7"/>
        <v>0</v>
      </c>
      <c r="AE45" s="78">
        <f t="shared" si="9"/>
        <v>1</v>
      </c>
      <c r="AF45" s="84">
        <f t="shared" si="10"/>
        <v>1.1098779134295228E-3</v>
      </c>
      <c r="AG45" s="67">
        <f>0/6912</f>
        <v>0</v>
      </c>
    </row>
    <row r="46" spans="1:33" x14ac:dyDescent="0.4">
      <c r="A46" s="30" t="str">
        <f t="shared" si="8"/>
        <v>B'HEAD</v>
      </c>
      <c r="B46" s="30"/>
      <c r="C46" s="60">
        <f t="shared" si="7"/>
        <v>3</v>
      </c>
      <c r="D46" s="60">
        <f t="shared" si="7"/>
        <v>0</v>
      </c>
      <c r="E46" s="60">
        <f t="shared" si="7"/>
        <v>0</v>
      </c>
      <c r="F46" s="60">
        <f t="shared" si="7"/>
        <v>1</v>
      </c>
      <c r="G46" s="60">
        <f t="shared" si="7"/>
        <v>0</v>
      </c>
      <c r="H46" s="60">
        <f t="shared" si="7"/>
        <v>0</v>
      </c>
      <c r="I46" s="60">
        <f t="shared" si="7"/>
        <v>0</v>
      </c>
      <c r="J46" s="60">
        <f t="shared" si="7"/>
        <v>0</v>
      </c>
      <c r="K46" s="60">
        <f t="shared" si="7"/>
        <v>3</v>
      </c>
      <c r="L46" s="60">
        <f t="shared" si="7"/>
        <v>0</v>
      </c>
      <c r="M46" s="60">
        <f t="shared" si="7"/>
        <v>1</v>
      </c>
      <c r="N46" s="60">
        <f t="shared" si="7"/>
        <v>0</v>
      </c>
      <c r="O46" s="60">
        <f t="shared" si="7"/>
        <v>1</v>
      </c>
      <c r="P46" s="60">
        <f t="shared" si="7"/>
        <v>0</v>
      </c>
      <c r="Q46" s="60">
        <f t="shared" si="7"/>
        <v>0</v>
      </c>
      <c r="R46" s="60">
        <f t="shared" si="7"/>
        <v>0</v>
      </c>
      <c r="S46" s="60">
        <f t="shared" si="7"/>
        <v>0</v>
      </c>
      <c r="T46" s="60">
        <f t="shared" si="7"/>
        <v>0</v>
      </c>
      <c r="U46" s="60">
        <f t="shared" si="7"/>
        <v>0</v>
      </c>
      <c r="V46" s="60">
        <f t="shared" si="7"/>
        <v>0</v>
      </c>
      <c r="W46" s="60">
        <f t="shared" si="7"/>
        <v>0</v>
      </c>
      <c r="X46" s="60">
        <f t="shared" si="7"/>
        <v>0</v>
      </c>
      <c r="Y46" s="60">
        <f t="shared" si="7"/>
        <v>0</v>
      </c>
      <c r="Z46" s="60">
        <f t="shared" si="7"/>
        <v>1</v>
      </c>
      <c r="AA46" s="60">
        <f t="shared" si="7"/>
        <v>0</v>
      </c>
      <c r="AB46" s="60">
        <f t="shared" si="7"/>
        <v>0</v>
      </c>
      <c r="AC46" s="60">
        <f t="shared" si="7"/>
        <v>2</v>
      </c>
      <c r="AD46" s="60">
        <f t="shared" si="7"/>
        <v>0</v>
      </c>
      <c r="AE46" s="78">
        <f t="shared" si="9"/>
        <v>12</v>
      </c>
      <c r="AF46" s="84">
        <f t="shared" si="10"/>
        <v>1.3318534961154272E-2</v>
      </c>
      <c r="AG46" s="67">
        <f>241/6912</f>
        <v>3.4866898148148147E-2</v>
      </c>
    </row>
    <row r="47" spans="1:33" x14ac:dyDescent="0.4">
      <c r="A47" s="30" t="str">
        <f t="shared" si="8"/>
        <v>SPOONY</v>
      </c>
      <c r="B47" s="30"/>
      <c r="C47" s="60">
        <f t="shared" si="7"/>
        <v>11</v>
      </c>
      <c r="D47" s="60">
        <f t="shared" si="7"/>
        <v>8</v>
      </c>
      <c r="E47" s="60">
        <f t="shared" si="7"/>
        <v>2</v>
      </c>
      <c r="F47" s="60">
        <f t="shared" ref="C47:AD51" si="11">F12+F29</f>
        <v>14</v>
      </c>
      <c r="G47" s="60">
        <f t="shared" si="11"/>
        <v>12</v>
      </c>
      <c r="H47" s="60">
        <f t="shared" si="11"/>
        <v>32</v>
      </c>
      <c r="I47" s="60">
        <f t="shared" si="11"/>
        <v>22</v>
      </c>
      <c r="J47" s="60">
        <f t="shared" si="11"/>
        <v>1</v>
      </c>
      <c r="K47" s="60">
        <f t="shared" si="11"/>
        <v>13</v>
      </c>
      <c r="L47" s="60">
        <f t="shared" si="11"/>
        <v>4</v>
      </c>
      <c r="M47" s="60">
        <f t="shared" si="11"/>
        <v>26</v>
      </c>
      <c r="N47" s="60">
        <f t="shared" si="11"/>
        <v>6</v>
      </c>
      <c r="O47" s="60">
        <f t="shared" si="11"/>
        <v>13</v>
      </c>
      <c r="P47" s="60">
        <f t="shared" si="11"/>
        <v>0</v>
      </c>
      <c r="Q47" s="60">
        <f t="shared" si="11"/>
        <v>0</v>
      </c>
      <c r="R47" s="60">
        <f t="shared" si="11"/>
        <v>13</v>
      </c>
      <c r="S47" s="60">
        <f t="shared" si="11"/>
        <v>2</v>
      </c>
      <c r="T47" s="60">
        <f t="shared" si="11"/>
        <v>0</v>
      </c>
      <c r="U47" s="60">
        <f t="shared" si="11"/>
        <v>0</v>
      </c>
      <c r="V47" s="60">
        <f t="shared" si="11"/>
        <v>11</v>
      </c>
      <c r="W47" s="60">
        <f t="shared" si="11"/>
        <v>21</v>
      </c>
      <c r="X47" s="60">
        <f t="shared" si="11"/>
        <v>0</v>
      </c>
      <c r="Y47" s="60">
        <f t="shared" si="11"/>
        <v>4</v>
      </c>
      <c r="Z47" s="60">
        <f t="shared" si="11"/>
        <v>7</v>
      </c>
      <c r="AA47" s="60">
        <f t="shared" si="11"/>
        <v>0</v>
      </c>
      <c r="AB47" s="60">
        <f t="shared" si="11"/>
        <v>22</v>
      </c>
      <c r="AC47" s="60">
        <f t="shared" si="11"/>
        <v>3</v>
      </c>
      <c r="AD47" s="60">
        <f t="shared" si="11"/>
        <v>4</v>
      </c>
      <c r="AE47" s="78">
        <f t="shared" si="9"/>
        <v>251</v>
      </c>
      <c r="AF47" s="84">
        <f>AE47/$AE$52</f>
        <v>0.27857935627081021</v>
      </c>
      <c r="AG47" s="67">
        <f>1720/6912</f>
        <v>0.24884259259259259</v>
      </c>
    </row>
    <row r="48" spans="1:33" x14ac:dyDescent="0.4">
      <c r="A48" s="30" t="str">
        <f t="shared" si="8"/>
        <v>TEAL</v>
      </c>
      <c r="B48" s="30"/>
      <c r="C48" s="60">
        <f t="shared" si="11"/>
        <v>11</v>
      </c>
      <c r="D48" s="60">
        <f t="shared" si="11"/>
        <v>2</v>
      </c>
      <c r="E48" s="60">
        <f t="shared" si="11"/>
        <v>2</v>
      </c>
      <c r="F48" s="60">
        <f t="shared" si="11"/>
        <v>44</v>
      </c>
      <c r="G48" s="60">
        <f t="shared" si="11"/>
        <v>9</v>
      </c>
      <c r="H48" s="60">
        <f t="shared" si="11"/>
        <v>26</v>
      </c>
      <c r="I48" s="60">
        <f t="shared" si="11"/>
        <v>12</v>
      </c>
      <c r="J48" s="60">
        <f t="shared" si="11"/>
        <v>2</v>
      </c>
      <c r="K48" s="60">
        <f t="shared" si="11"/>
        <v>21</v>
      </c>
      <c r="L48" s="60">
        <f t="shared" si="11"/>
        <v>15</v>
      </c>
      <c r="M48" s="60">
        <f t="shared" si="11"/>
        <v>62</v>
      </c>
      <c r="N48" s="60">
        <f t="shared" si="11"/>
        <v>4</v>
      </c>
      <c r="O48" s="60">
        <f t="shared" si="11"/>
        <v>40</v>
      </c>
      <c r="P48" s="60">
        <f t="shared" si="11"/>
        <v>0</v>
      </c>
      <c r="Q48" s="60">
        <f t="shared" si="11"/>
        <v>0</v>
      </c>
      <c r="R48" s="60">
        <f t="shared" si="11"/>
        <v>30</v>
      </c>
      <c r="S48" s="60">
        <f t="shared" si="11"/>
        <v>1</v>
      </c>
      <c r="T48" s="60">
        <f t="shared" si="11"/>
        <v>0</v>
      </c>
      <c r="U48" s="60">
        <f t="shared" si="11"/>
        <v>0</v>
      </c>
      <c r="V48" s="60">
        <f t="shared" si="11"/>
        <v>15</v>
      </c>
      <c r="W48" s="60">
        <f t="shared" si="11"/>
        <v>55</v>
      </c>
      <c r="X48" s="60">
        <f t="shared" si="11"/>
        <v>1</v>
      </c>
      <c r="Y48" s="60">
        <f t="shared" si="11"/>
        <v>5</v>
      </c>
      <c r="Z48" s="60">
        <f t="shared" si="11"/>
        <v>0</v>
      </c>
      <c r="AA48" s="60">
        <f t="shared" si="11"/>
        <v>0</v>
      </c>
      <c r="AB48" s="60">
        <f t="shared" si="11"/>
        <v>51</v>
      </c>
      <c r="AC48" s="60">
        <f t="shared" si="11"/>
        <v>10</v>
      </c>
      <c r="AD48" s="60">
        <f t="shared" si="11"/>
        <v>28</v>
      </c>
      <c r="AE48" s="78">
        <f t="shared" si="9"/>
        <v>446</v>
      </c>
      <c r="AF48" s="84">
        <f t="shared" si="10"/>
        <v>0.49500554938956715</v>
      </c>
      <c r="AG48" s="67">
        <f>(1152+511+12)/6912</f>
        <v>0.24233217592592593</v>
      </c>
    </row>
    <row r="49" spans="1:33" x14ac:dyDescent="0.4">
      <c r="A49" s="30" t="str">
        <f t="shared" si="8"/>
        <v>WIDGEON</v>
      </c>
      <c r="B49" s="30"/>
      <c r="C49" s="60">
        <f t="shared" si="11"/>
        <v>0</v>
      </c>
      <c r="D49" s="60">
        <f t="shared" si="11"/>
        <v>0</v>
      </c>
      <c r="E49" s="60">
        <f t="shared" si="11"/>
        <v>0</v>
      </c>
      <c r="F49" s="60">
        <f t="shared" si="11"/>
        <v>5</v>
      </c>
      <c r="G49" s="60">
        <f t="shared" si="11"/>
        <v>1</v>
      </c>
      <c r="H49" s="60">
        <f t="shared" si="11"/>
        <v>2</v>
      </c>
      <c r="I49" s="60">
        <f t="shared" si="11"/>
        <v>4</v>
      </c>
      <c r="J49" s="60">
        <f t="shared" si="11"/>
        <v>0</v>
      </c>
      <c r="K49" s="60">
        <f t="shared" si="11"/>
        <v>4</v>
      </c>
      <c r="L49" s="60">
        <f t="shared" si="11"/>
        <v>0</v>
      </c>
      <c r="M49" s="60">
        <f t="shared" si="11"/>
        <v>4</v>
      </c>
      <c r="N49" s="60">
        <f t="shared" si="11"/>
        <v>1</v>
      </c>
      <c r="O49" s="60">
        <f t="shared" si="11"/>
        <v>6</v>
      </c>
      <c r="P49" s="60">
        <f t="shared" si="11"/>
        <v>0</v>
      </c>
      <c r="Q49" s="60">
        <f t="shared" si="11"/>
        <v>0</v>
      </c>
      <c r="R49" s="60">
        <f t="shared" si="11"/>
        <v>3</v>
      </c>
      <c r="S49" s="60">
        <f t="shared" si="11"/>
        <v>0</v>
      </c>
      <c r="T49" s="60">
        <f t="shared" si="11"/>
        <v>0</v>
      </c>
      <c r="U49" s="60">
        <f t="shared" si="11"/>
        <v>0</v>
      </c>
      <c r="V49" s="60">
        <f t="shared" si="11"/>
        <v>16</v>
      </c>
      <c r="W49" s="60">
        <f t="shared" si="11"/>
        <v>11</v>
      </c>
      <c r="X49" s="60">
        <f t="shared" si="11"/>
        <v>1</v>
      </c>
      <c r="Y49" s="60">
        <f t="shared" si="11"/>
        <v>0</v>
      </c>
      <c r="Z49" s="60">
        <f t="shared" si="11"/>
        <v>1</v>
      </c>
      <c r="AA49" s="60">
        <f t="shared" si="11"/>
        <v>0</v>
      </c>
      <c r="AB49" s="60">
        <f t="shared" si="11"/>
        <v>6</v>
      </c>
      <c r="AC49" s="60">
        <f t="shared" si="11"/>
        <v>1</v>
      </c>
      <c r="AD49" s="60">
        <f t="shared" si="11"/>
        <v>1</v>
      </c>
      <c r="AE49" s="78">
        <f t="shared" si="9"/>
        <v>67</v>
      </c>
      <c r="AF49" s="84">
        <f t="shared" si="10"/>
        <v>7.4361820199778023E-2</v>
      </c>
      <c r="AG49" s="67">
        <f>481/6912</f>
        <v>6.9589120370370364E-2</v>
      </c>
    </row>
    <row r="50" spans="1:33" x14ac:dyDescent="0.4">
      <c r="A50" s="30" t="str">
        <f t="shared" si="8"/>
        <v>SCAUP</v>
      </c>
      <c r="B50" s="30"/>
      <c r="C50" s="60">
        <f t="shared" si="11"/>
        <v>1</v>
      </c>
      <c r="D50" s="60">
        <f t="shared" si="11"/>
        <v>0</v>
      </c>
      <c r="E50" s="60">
        <f t="shared" si="11"/>
        <v>0</v>
      </c>
      <c r="F50" s="60">
        <f t="shared" si="11"/>
        <v>0</v>
      </c>
      <c r="G50" s="60">
        <f t="shared" si="11"/>
        <v>0</v>
      </c>
      <c r="H50" s="60">
        <f t="shared" si="11"/>
        <v>3</v>
      </c>
      <c r="I50" s="60">
        <f t="shared" si="11"/>
        <v>1</v>
      </c>
      <c r="J50" s="60">
        <f t="shared" si="11"/>
        <v>0</v>
      </c>
      <c r="K50" s="60">
        <f t="shared" si="11"/>
        <v>0</v>
      </c>
      <c r="L50" s="60">
        <f t="shared" si="11"/>
        <v>0</v>
      </c>
      <c r="M50" s="60">
        <f t="shared" si="11"/>
        <v>0</v>
      </c>
      <c r="N50" s="60">
        <f t="shared" si="11"/>
        <v>0</v>
      </c>
      <c r="O50" s="60">
        <f t="shared" si="11"/>
        <v>0</v>
      </c>
      <c r="P50" s="60">
        <f t="shared" si="11"/>
        <v>0</v>
      </c>
      <c r="Q50" s="60">
        <f t="shared" si="11"/>
        <v>0</v>
      </c>
      <c r="R50" s="60">
        <f t="shared" si="11"/>
        <v>0</v>
      </c>
      <c r="S50" s="60">
        <f t="shared" si="11"/>
        <v>0</v>
      </c>
      <c r="T50" s="60">
        <f t="shared" si="11"/>
        <v>0</v>
      </c>
      <c r="U50" s="60">
        <f t="shared" si="11"/>
        <v>0</v>
      </c>
      <c r="V50" s="60">
        <f t="shared" si="11"/>
        <v>0</v>
      </c>
      <c r="W50" s="60">
        <f t="shared" si="11"/>
        <v>1</v>
      </c>
      <c r="X50" s="60">
        <f>X15+X32</f>
        <v>0</v>
      </c>
      <c r="Y50" s="60">
        <f>Y15+Y32</f>
        <v>0</v>
      </c>
      <c r="Z50" s="60">
        <f t="shared" si="11"/>
        <v>0</v>
      </c>
      <c r="AA50" s="60">
        <f t="shared" si="11"/>
        <v>0</v>
      </c>
      <c r="AB50" s="60">
        <f t="shared" si="11"/>
        <v>0</v>
      </c>
      <c r="AC50" s="60">
        <f t="shared" si="11"/>
        <v>0</v>
      </c>
      <c r="AD50" s="60">
        <f t="shared" si="11"/>
        <v>0</v>
      </c>
      <c r="AE50" s="78">
        <f t="shared" si="9"/>
        <v>6</v>
      </c>
      <c r="AF50" s="84">
        <f t="shared" si="10"/>
        <v>6.6592674805771362E-3</v>
      </c>
      <c r="AG50" s="67">
        <f>(15+13)/6912</f>
        <v>4.0509259259259257E-3</v>
      </c>
    </row>
    <row r="51" spans="1:33" ht="13" thickBot="1" x14ac:dyDescent="0.45">
      <c r="A51" s="30" t="s">
        <v>58</v>
      </c>
      <c r="B51" s="30"/>
      <c r="C51" s="62">
        <f t="shared" si="11"/>
        <v>0</v>
      </c>
      <c r="D51" s="62">
        <f t="shared" si="11"/>
        <v>0</v>
      </c>
      <c r="E51" s="62">
        <f t="shared" si="11"/>
        <v>0</v>
      </c>
      <c r="F51" s="62">
        <f t="shared" si="11"/>
        <v>0</v>
      </c>
      <c r="G51" s="62">
        <f t="shared" si="11"/>
        <v>0</v>
      </c>
      <c r="H51" s="62">
        <f t="shared" si="11"/>
        <v>0</v>
      </c>
      <c r="I51" s="62">
        <f t="shared" si="11"/>
        <v>0</v>
      </c>
      <c r="J51" s="62">
        <f t="shared" si="11"/>
        <v>0</v>
      </c>
      <c r="K51" s="62">
        <f t="shared" si="11"/>
        <v>0</v>
      </c>
      <c r="L51" s="62">
        <f t="shared" si="11"/>
        <v>0</v>
      </c>
      <c r="M51" s="62">
        <f t="shared" si="11"/>
        <v>2</v>
      </c>
      <c r="N51" s="62">
        <f t="shared" si="11"/>
        <v>0</v>
      </c>
      <c r="O51" s="62">
        <f t="shared" si="11"/>
        <v>0</v>
      </c>
      <c r="P51" s="62">
        <f t="shared" si="11"/>
        <v>0</v>
      </c>
      <c r="Q51" s="62">
        <f t="shared" si="11"/>
        <v>0</v>
      </c>
      <c r="R51" s="62">
        <f t="shared" si="11"/>
        <v>0</v>
      </c>
      <c r="S51" s="62">
        <f t="shared" si="11"/>
        <v>0</v>
      </c>
      <c r="T51" s="62">
        <f t="shared" si="11"/>
        <v>0</v>
      </c>
      <c r="U51" s="62">
        <f t="shared" si="11"/>
        <v>0</v>
      </c>
      <c r="V51" s="62">
        <f>V16+V33</f>
        <v>0</v>
      </c>
      <c r="W51" s="62">
        <f>W16+W33</f>
        <v>1</v>
      </c>
      <c r="X51" s="62">
        <f>X16+X33</f>
        <v>1</v>
      </c>
      <c r="Y51" s="62">
        <f>Y16+Y33</f>
        <v>0</v>
      </c>
      <c r="Z51" s="62">
        <f t="shared" si="11"/>
        <v>0</v>
      </c>
      <c r="AA51" s="62">
        <f t="shared" si="11"/>
        <v>0</v>
      </c>
      <c r="AB51" s="62">
        <f t="shared" si="11"/>
        <v>0</v>
      </c>
      <c r="AC51" s="62">
        <f t="shared" si="11"/>
        <v>0</v>
      </c>
      <c r="AD51" s="62">
        <f t="shared" si="11"/>
        <v>0</v>
      </c>
      <c r="AE51" s="68">
        <f t="shared" si="9"/>
        <v>4</v>
      </c>
      <c r="AF51" s="86">
        <f t="shared" si="10"/>
        <v>4.4395116537180911E-3</v>
      </c>
      <c r="AG51" s="70">
        <f>51/6912</f>
        <v>7.378472222222222E-3</v>
      </c>
    </row>
    <row r="52" spans="1:33" x14ac:dyDescent="0.4">
      <c r="A52" s="30" t="s">
        <v>25</v>
      </c>
      <c r="B52" s="30"/>
      <c r="C52" s="60">
        <f>0+SUM(C38:C51)</f>
        <v>29</v>
      </c>
      <c r="D52" s="60">
        <f t="shared" ref="D52:U52" si="12">0+SUM(D38:D51)</f>
        <v>11</v>
      </c>
      <c r="E52" s="60">
        <f t="shared" si="12"/>
        <v>4</v>
      </c>
      <c r="F52" s="60">
        <f t="shared" si="12"/>
        <v>76</v>
      </c>
      <c r="G52" s="60">
        <f t="shared" si="12"/>
        <v>25</v>
      </c>
      <c r="H52" s="60">
        <f t="shared" si="12"/>
        <v>74</v>
      </c>
      <c r="I52" s="60">
        <f t="shared" si="12"/>
        <v>49</v>
      </c>
      <c r="J52" s="60">
        <f t="shared" si="12"/>
        <v>3</v>
      </c>
      <c r="K52" s="60">
        <f t="shared" si="12"/>
        <v>45</v>
      </c>
      <c r="L52" s="60">
        <f t="shared" si="12"/>
        <v>21</v>
      </c>
      <c r="M52" s="60">
        <f t="shared" si="12"/>
        <v>121</v>
      </c>
      <c r="N52" s="60">
        <f t="shared" si="12"/>
        <v>13</v>
      </c>
      <c r="O52" s="60">
        <f t="shared" si="12"/>
        <v>60</v>
      </c>
      <c r="P52" s="60">
        <f t="shared" si="12"/>
        <v>0</v>
      </c>
      <c r="Q52" s="60">
        <f t="shared" si="12"/>
        <v>0</v>
      </c>
      <c r="R52" s="60">
        <f t="shared" si="12"/>
        <v>52</v>
      </c>
      <c r="S52" s="60">
        <f t="shared" si="12"/>
        <v>3</v>
      </c>
      <c r="T52" s="60">
        <f t="shared" si="12"/>
        <v>0</v>
      </c>
      <c r="U52" s="60">
        <f t="shared" si="12"/>
        <v>0</v>
      </c>
      <c r="V52" s="60">
        <f>0+SUM(V38:V51)</f>
        <v>45</v>
      </c>
      <c r="W52" s="60">
        <f>0+SUM(W38:W51)</f>
        <v>103</v>
      </c>
      <c r="X52" s="60">
        <f>SUM(X17,X34)</f>
        <v>3</v>
      </c>
      <c r="Y52" s="60">
        <f t="shared" ref="Y52:AD52" si="13">0+SUM(Y38:Y51)</f>
        <v>9</v>
      </c>
      <c r="Z52" s="60">
        <f t="shared" si="13"/>
        <v>10</v>
      </c>
      <c r="AA52" s="60">
        <f t="shared" si="13"/>
        <v>0</v>
      </c>
      <c r="AB52" s="60">
        <f t="shared" si="13"/>
        <v>89</v>
      </c>
      <c r="AC52" s="60">
        <f t="shared" si="13"/>
        <v>16</v>
      </c>
      <c r="AD52" s="60">
        <f t="shared" si="13"/>
        <v>40</v>
      </c>
      <c r="AE52" s="30">
        <f>SUM(AE38:AE51)</f>
        <v>901</v>
      </c>
      <c r="AF52" s="71"/>
      <c r="AG52" s="71"/>
    </row>
    <row r="53" spans="1:33" x14ac:dyDescent="0.4">
      <c r="A53" s="30" t="s">
        <v>48</v>
      </c>
      <c r="B53" s="30"/>
      <c r="C53" s="72">
        <f t="shared" ref="C53:AD53" si="14">C52/$AE$52</f>
        <v>3.2186459489456157E-2</v>
      </c>
      <c r="D53" s="72">
        <f t="shared" si="14"/>
        <v>1.2208657047724751E-2</v>
      </c>
      <c r="E53" s="72">
        <f t="shared" si="14"/>
        <v>4.4395116537180911E-3</v>
      </c>
      <c r="F53" s="72">
        <f t="shared" si="14"/>
        <v>8.4350721420643732E-2</v>
      </c>
      <c r="G53" s="72">
        <f t="shared" si="14"/>
        <v>2.774694783573807E-2</v>
      </c>
      <c r="H53" s="72">
        <f t="shared" si="14"/>
        <v>8.2130965593784688E-2</v>
      </c>
      <c r="I53" s="72">
        <f t="shared" si="14"/>
        <v>5.4384017758046618E-2</v>
      </c>
      <c r="J53" s="72">
        <f t="shared" si="14"/>
        <v>3.3296337402885681E-3</v>
      </c>
      <c r="K53" s="72">
        <f t="shared" si="14"/>
        <v>4.9944506104328525E-2</v>
      </c>
      <c r="L53" s="72">
        <f t="shared" si="14"/>
        <v>2.3307436182019976E-2</v>
      </c>
      <c r="M53" s="98">
        <f t="shared" si="14"/>
        <v>0.13429522752497225</v>
      </c>
      <c r="N53" s="72">
        <f t="shared" si="14"/>
        <v>1.4428412874583796E-2</v>
      </c>
      <c r="O53" s="72">
        <f t="shared" si="14"/>
        <v>6.6592674805771371E-2</v>
      </c>
      <c r="P53" s="72">
        <f t="shared" si="14"/>
        <v>0</v>
      </c>
      <c r="Q53" s="72">
        <f t="shared" si="14"/>
        <v>0</v>
      </c>
      <c r="R53" s="97">
        <f t="shared" si="14"/>
        <v>5.7713651498335183E-2</v>
      </c>
      <c r="S53" s="72">
        <f t="shared" si="14"/>
        <v>3.3296337402885681E-3</v>
      </c>
      <c r="T53" s="72">
        <f t="shared" si="14"/>
        <v>0</v>
      </c>
      <c r="U53" s="72">
        <f t="shared" si="14"/>
        <v>0</v>
      </c>
      <c r="V53" s="72">
        <f t="shared" si="14"/>
        <v>4.9944506104328525E-2</v>
      </c>
      <c r="W53" s="96">
        <f t="shared" si="14"/>
        <v>0.11431742508324085</v>
      </c>
      <c r="X53" s="72">
        <f t="shared" si="14"/>
        <v>3.3296337402885681E-3</v>
      </c>
      <c r="Y53" s="72">
        <f t="shared" si="14"/>
        <v>9.9889012208657056E-3</v>
      </c>
      <c r="Z53" s="72">
        <f t="shared" si="14"/>
        <v>1.1098779134295227E-2</v>
      </c>
      <c r="AA53" s="72">
        <f t="shared" si="14"/>
        <v>0</v>
      </c>
      <c r="AB53" s="89">
        <f t="shared" si="14"/>
        <v>9.8779134295227528E-2</v>
      </c>
      <c r="AC53" s="72">
        <f t="shared" si="14"/>
        <v>1.7758046614872364E-2</v>
      </c>
      <c r="AD53" s="97">
        <f t="shared" si="14"/>
        <v>4.4395116537180909E-2</v>
      </c>
      <c r="AE53" s="30"/>
      <c r="AF53" s="30"/>
      <c r="AG53" s="30"/>
    </row>
    <row r="54" spans="1:33" x14ac:dyDescent="0.4">
      <c r="A54" s="5" t="s">
        <v>47</v>
      </c>
      <c r="B54" s="3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30"/>
      <c r="AF54" s="30"/>
      <c r="AG54" s="30"/>
    </row>
    <row r="55" spans="1:33" x14ac:dyDescent="0.4">
      <c r="A55" s="30" t="s">
        <v>40</v>
      </c>
      <c r="B55" s="30"/>
      <c r="C55" s="60">
        <v>171</v>
      </c>
      <c r="D55" s="73"/>
      <c r="E55" s="60"/>
      <c r="F55" s="60"/>
      <c r="G55" s="60"/>
      <c r="H55" s="60"/>
      <c r="I55" s="60"/>
      <c r="J55" s="60"/>
      <c r="K55" s="60"/>
      <c r="L55" s="60"/>
      <c r="M55" s="60"/>
      <c r="N55" s="60">
        <f>SUM(O52:Y52)</f>
        <v>275</v>
      </c>
      <c r="O55" s="60"/>
      <c r="P55" s="60"/>
      <c r="Q55" s="60"/>
      <c r="R55" s="60"/>
      <c r="S55" s="60"/>
      <c r="T55" s="60"/>
      <c r="U55" s="60"/>
      <c r="V55" s="60"/>
      <c r="W55" s="60"/>
      <c r="X55" s="60"/>
      <c r="Y55" s="60"/>
      <c r="Z55" s="60">
        <f>SUM(Z52:AD52)</f>
        <v>155</v>
      </c>
      <c r="AA55" s="60"/>
      <c r="AB55" s="60"/>
      <c r="AC55" s="60"/>
      <c r="AD55" s="60"/>
      <c r="AE55" s="30"/>
      <c r="AF55" s="30"/>
      <c r="AG55" s="30"/>
    </row>
    <row r="56" spans="1:33" x14ac:dyDescent="0.4">
      <c r="A56" s="30" t="s">
        <v>41</v>
      </c>
      <c r="B56" s="30"/>
      <c r="C56" s="87">
        <f>AE17/C55</f>
        <v>1.327485380116959</v>
      </c>
      <c r="D56" s="74"/>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30"/>
      <c r="AF56" s="30"/>
      <c r="AG56" s="30"/>
    </row>
    <row r="57" spans="1:33" x14ac:dyDescent="0.4">
      <c r="A57" s="30" t="s">
        <v>42</v>
      </c>
      <c r="B57" s="30"/>
      <c r="C57" s="60">
        <v>305</v>
      </c>
      <c r="D57" s="73"/>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30"/>
      <c r="AF57" s="30"/>
      <c r="AG57" s="30"/>
    </row>
    <row r="58" spans="1:33" x14ac:dyDescent="0.4">
      <c r="A58" s="30" t="s">
        <v>43</v>
      </c>
      <c r="B58" s="30"/>
      <c r="C58" s="87">
        <f>AE34/C57</f>
        <v>2.2098360655737705</v>
      </c>
      <c r="D58" s="74"/>
      <c r="E58" s="60"/>
      <c r="F58" s="29" t="s">
        <v>62</v>
      </c>
      <c r="G58" s="60"/>
      <c r="H58" s="60"/>
      <c r="I58" s="60"/>
      <c r="J58" s="60"/>
      <c r="K58" s="60"/>
      <c r="L58" s="60"/>
      <c r="M58" s="60"/>
      <c r="N58" s="60"/>
      <c r="O58" s="60"/>
      <c r="P58" s="60"/>
      <c r="Q58" s="60"/>
      <c r="R58" s="60"/>
      <c r="S58" s="60"/>
      <c r="T58" s="60"/>
      <c r="U58" s="60"/>
      <c r="V58" s="60"/>
      <c r="W58" s="60"/>
      <c r="X58" s="60"/>
      <c r="Y58" s="60"/>
      <c r="Z58" s="60"/>
      <c r="AA58" s="60"/>
      <c r="AB58" s="60"/>
      <c r="AC58" s="60"/>
      <c r="AD58" s="60"/>
      <c r="AE58" s="30"/>
      <c r="AF58" s="30"/>
      <c r="AG58" s="30"/>
    </row>
    <row r="59" spans="1:33" x14ac:dyDescent="0.4">
      <c r="A59" s="30" t="s">
        <v>44</v>
      </c>
      <c r="B59" s="30"/>
      <c r="C59" s="60">
        <f>C55+C57</f>
        <v>476</v>
      </c>
      <c r="D59" s="73"/>
      <c r="E59" s="60"/>
      <c r="F59" s="74">
        <v>2.87</v>
      </c>
      <c r="G59" s="64" t="s">
        <v>140</v>
      </c>
      <c r="H59" s="60"/>
      <c r="I59" s="60"/>
      <c r="J59" s="76" t="s">
        <v>86</v>
      </c>
      <c r="K59" s="60"/>
      <c r="L59" s="60">
        <v>109</v>
      </c>
      <c r="M59" s="76" t="s">
        <v>134</v>
      </c>
      <c r="N59" s="2"/>
      <c r="O59" s="60">
        <v>54</v>
      </c>
      <c r="P59" s="60"/>
      <c r="Q59" s="60"/>
      <c r="R59" s="60"/>
      <c r="S59" s="60"/>
      <c r="T59" s="60"/>
      <c r="U59" s="60"/>
      <c r="V59" s="60"/>
      <c r="W59" s="60"/>
      <c r="X59" s="60"/>
      <c r="Y59" s="60"/>
      <c r="Z59" s="60"/>
      <c r="AA59" s="60"/>
      <c r="AB59" s="60"/>
      <c r="AC59" s="60"/>
      <c r="AD59" s="60"/>
      <c r="AE59" s="30"/>
      <c r="AF59" s="30"/>
      <c r="AG59" s="30"/>
    </row>
    <row r="60" spans="1:33" x14ac:dyDescent="0.4">
      <c r="A60" s="30" t="s">
        <v>45</v>
      </c>
      <c r="B60" s="30"/>
      <c r="C60" s="87">
        <f>AE52/C59</f>
        <v>1.8928571428571428</v>
      </c>
      <c r="D60" s="74"/>
      <c r="E60" s="60"/>
      <c r="F60" s="74"/>
      <c r="G60" s="64" t="s">
        <v>77</v>
      </c>
      <c r="H60" s="60"/>
      <c r="I60" s="60"/>
      <c r="J60" s="76" t="s">
        <v>82</v>
      </c>
      <c r="K60" s="60"/>
      <c r="L60" s="87">
        <f>N55/L59</f>
        <v>2.522935779816514</v>
      </c>
      <c r="M60" s="76" t="s">
        <v>135</v>
      </c>
      <c r="N60" s="60"/>
      <c r="O60" s="87">
        <f>Z55/O59</f>
        <v>2.8703703703703702</v>
      </c>
      <c r="P60" s="60"/>
      <c r="Q60" s="60"/>
      <c r="R60" s="60"/>
      <c r="S60" s="60"/>
      <c r="T60" s="60"/>
      <c r="U60" s="60"/>
      <c r="V60" s="60"/>
      <c r="W60" s="60"/>
      <c r="X60" s="60"/>
      <c r="Y60" s="60"/>
      <c r="Z60" s="60"/>
      <c r="AA60" s="60"/>
      <c r="AB60" s="60"/>
      <c r="AC60" s="60"/>
      <c r="AD60" s="60"/>
      <c r="AE60" s="30"/>
      <c r="AF60" s="30"/>
      <c r="AG60" s="30"/>
    </row>
    <row r="61" spans="1:33" x14ac:dyDescent="0.4">
      <c r="A61" s="30" t="s">
        <v>46</v>
      </c>
      <c r="B61" s="30"/>
      <c r="C61" s="74">
        <f>AE52/300</f>
        <v>3.0033333333333334</v>
      </c>
      <c r="D61" s="75"/>
      <c r="E61" s="60"/>
      <c r="F61" s="74"/>
      <c r="G61" s="64" t="s">
        <v>64</v>
      </c>
      <c r="H61" s="60"/>
      <c r="I61" s="60"/>
      <c r="J61" s="60"/>
      <c r="K61" s="60"/>
      <c r="L61" s="60"/>
      <c r="M61" s="60"/>
      <c r="N61" s="60"/>
      <c r="O61" s="60"/>
      <c r="P61" s="60"/>
      <c r="Q61" s="60"/>
      <c r="R61" s="60"/>
      <c r="S61" s="60"/>
      <c r="T61" s="60"/>
      <c r="U61" s="60"/>
      <c r="V61" s="60"/>
      <c r="W61" s="60"/>
      <c r="X61" s="60"/>
      <c r="Y61" s="60"/>
      <c r="Z61" s="60"/>
      <c r="AA61" s="60"/>
      <c r="AB61" s="60"/>
      <c r="AC61" s="60"/>
      <c r="AD61" s="60"/>
      <c r="AE61" s="30"/>
      <c r="AF61" s="30"/>
      <c r="AG61" s="30"/>
    </row>
    <row r="62" spans="1:33" x14ac:dyDescent="0.4">
      <c r="A62" s="5" t="s">
        <v>49</v>
      </c>
      <c r="B62" s="30"/>
      <c r="C62" s="60"/>
      <c r="D62" s="7"/>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30"/>
      <c r="AF62" s="30"/>
      <c r="AG62" s="30"/>
    </row>
    <row r="63" spans="1:33" x14ac:dyDescent="0.4">
      <c r="A63" s="30"/>
      <c r="B63" s="3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30"/>
      <c r="AF63" s="30"/>
      <c r="AG63" s="30"/>
    </row>
    <row r="64" spans="1:33" x14ac:dyDescent="0.4">
      <c r="A64" s="5" t="s">
        <v>56</v>
      </c>
      <c r="B64" s="3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30"/>
      <c r="AF64" s="30"/>
      <c r="AG64" s="30"/>
    </row>
    <row r="65" spans="1:33" x14ac:dyDescent="0.4">
      <c r="A65" s="99" t="s">
        <v>144</v>
      </c>
      <c r="B65" s="3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30"/>
      <c r="AF65" s="30"/>
      <c r="AG65" s="30"/>
    </row>
    <row r="66" spans="1:33" x14ac:dyDescent="0.4">
      <c r="A66" s="30"/>
      <c r="B66" s="3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30"/>
      <c r="AF66" s="30"/>
      <c r="AG66" s="30"/>
    </row>
    <row r="67" spans="1:33" x14ac:dyDescent="0.4">
      <c r="B67" s="30"/>
      <c r="C67" s="60"/>
      <c r="D67" s="7"/>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30"/>
      <c r="AF67" s="30"/>
      <c r="AG67" s="30"/>
    </row>
    <row r="68" spans="1:33" x14ac:dyDescent="0.4">
      <c r="A68" s="30"/>
      <c r="B68" s="3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30"/>
      <c r="AF68" s="30"/>
      <c r="AG68" s="30"/>
    </row>
    <row r="69" spans="1:33" x14ac:dyDescent="0.4">
      <c r="A69" s="30"/>
      <c r="B69" s="3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30"/>
      <c r="AF69" s="30"/>
      <c r="AG69" s="30"/>
    </row>
    <row r="70" spans="1:33" x14ac:dyDescent="0.4">
      <c r="A70" s="30"/>
      <c r="B70" s="3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30"/>
      <c r="AF70" s="30"/>
      <c r="AG70" s="30"/>
    </row>
    <row r="71" spans="1:33" x14ac:dyDescent="0.4">
      <c r="A71" s="30"/>
      <c r="B71" s="3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30"/>
      <c r="AF71" s="30"/>
      <c r="AG71" s="30"/>
    </row>
  </sheetData>
  <pageMargins left="0" right="0" top="0.75" bottom="0.5" header="0.3" footer="0.3"/>
  <pageSetup scale="59" orientation="landscape" r:id="rId1"/>
  <headerFooter>
    <oddHeader>&amp;CBurbank Land Club 2018_19 Season</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81B8-88C8-4C4C-8698-B5FCA2542266}">
  <sheetPr>
    <pageSetUpPr fitToPage="1"/>
  </sheetPr>
  <dimension ref="A1:AG71"/>
  <sheetViews>
    <sheetView zoomScale="70" zoomScaleNormal="70" workbookViewId="0">
      <selection activeCell="A24" sqref="A24"/>
    </sheetView>
  </sheetViews>
  <sheetFormatPr defaultRowHeight="12.7" x14ac:dyDescent="0.4"/>
  <cols>
    <col min="1" max="1" width="18.87890625" customWidth="1"/>
    <col min="2" max="2" width="6.29296875" customWidth="1"/>
    <col min="3" max="3" width="7" customWidth="1"/>
    <col min="4" max="4" width="6.41015625" customWidth="1"/>
    <col min="5" max="5" width="6.87890625" customWidth="1"/>
    <col min="6" max="6" width="7.29296875" customWidth="1"/>
    <col min="7" max="7" width="7.1171875" customWidth="1"/>
    <col min="8" max="8" width="7.29296875" customWidth="1"/>
    <col min="9" max="9" width="6.703125" customWidth="1"/>
    <col min="10" max="10" width="6.41015625" customWidth="1"/>
    <col min="11" max="12" width="6.29296875" customWidth="1"/>
    <col min="13" max="13" width="7.05859375" customWidth="1"/>
    <col min="14" max="17" width="6.703125" customWidth="1"/>
    <col min="18" max="18" width="6.52734375" customWidth="1"/>
    <col min="19" max="19" width="6.29296875" customWidth="1"/>
    <col min="20" max="21" width="6.41015625" customWidth="1"/>
    <col min="22" max="22" width="6.703125" customWidth="1"/>
    <col min="23" max="23" width="7.41015625" customWidth="1"/>
    <col min="24" max="24" width="6.29296875" customWidth="1"/>
    <col min="25" max="25" width="6.41015625" customWidth="1"/>
    <col min="26" max="26" width="6.29296875" customWidth="1"/>
    <col min="27" max="27" width="6" customWidth="1"/>
    <col min="28" max="28" width="6.41015625" customWidth="1"/>
    <col min="29" max="29" width="6.52734375" customWidth="1"/>
    <col min="30" max="30" width="6.41015625" customWidth="1"/>
    <col min="31" max="31" width="6.1171875" customWidth="1"/>
    <col min="32" max="32" width="7.52734375" customWidth="1"/>
    <col min="33" max="33" width="8.29296875" customWidth="1"/>
  </cols>
  <sheetData>
    <row r="1" spans="1:33" ht="13" thickBot="1" x14ac:dyDescent="0.45">
      <c r="A1" s="5" t="s">
        <v>106</v>
      </c>
      <c r="B1" s="99"/>
      <c r="C1" s="94" t="s">
        <v>145</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9"/>
      <c r="AF1" s="99"/>
      <c r="AG1" s="99"/>
    </row>
    <row r="2" spans="1:33" ht="13" thickBot="1" x14ac:dyDescent="0.45">
      <c r="A2" s="10" t="s">
        <v>39</v>
      </c>
      <c r="B2" s="100"/>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3" t="s">
        <v>2</v>
      </c>
      <c r="AF2" s="99"/>
      <c r="AG2" s="99"/>
    </row>
    <row r="3" spans="1:33" x14ac:dyDescent="0.4">
      <c r="A3" s="99" t="s">
        <v>21</v>
      </c>
      <c r="B3" s="99"/>
      <c r="C3" s="92"/>
      <c r="D3" s="92"/>
      <c r="E3" s="92"/>
      <c r="F3" s="92"/>
      <c r="G3" s="92"/>
      <c r="H3" s="92"/>
      <c r="I3" s="92"/>
      <c r="J3" s="92"/>
      <c r="K3" s="92">
        <v>1</v>
      </c>
      <c r="L3" s="92"/>
      <c r="M3" s="92"/>
      <c r="N3" s="92"/>
      <c r="O3" s="92"/>
      <c r="P3" s="92"/>
      <c r="Q3" s="92"/>
      <c r="R3" s="92"/>
      <c r="S3" s="92"/>
      <c r="T3" s="92"/>
      <c r="U3" s="92"/>
      <c r="V3" s="92"/>
      <c r="W3" s="92"/>
      <c r="X3" s="92"/>
      <c r="Y3" s="92"/>
      <c r="Z3" s="92"/>
      <c r="AA3" s="92"/>
      <c r="AB3" s="92"/>
      <c r="AC3" s="92"/>
      <c r="AD3" s="92"/>
      <c r="AE3" s="101">
        <f>SUM(C3:AD3)</f>
        <v>1</v>
      </c>
      <c r="AF3" s="99"/>
      <c r="AG3" s="99"/>
    </row>
    <row r="4" spans="1:33" x14ac:dyDescent="0.4">
      <c r="A4" s="99" t="s">
        <v>35</v>
      </c>
      <c r="B4" s="99"/>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101"/>
      <c r="AF4" s="99"/>
      <c r="AG4" s="99"/>
    </row>
    <row r="5" spans="1:33" x14ac:dyDescent="0.4">
      <c r="A5" s="99" t="s">
        <v>16</v>
      </c>
      <c r="B5" s="99"/>
      <c r="C5" s="92">
        <v>1</v>
      </c>
      <c r="D5" s="92"/>
      <c r="E5" s="92"/>
      <c r="F5" s="92">
        <v>1</v>
      </c>
      <c r="G5" s="92"/>
      <c r="H5" s="92">
        <v>1</v>
      </c>
      <c r="I5" s="92">
        <v>1</v>
      </c>
      <c r="J5" s="92"/>
      <c r="K5" s="92"/>
      <c r="L5" s="92"/>
      <c r="M5" s="92"/>
      <c r="N5" s="92"/>
      <c r="O5" s="92"/>
      <c r="P5" s="92"/>
      <c r="Q5" s="92"/>
      <c r="R5" s="92"/>
      <c r="S5" s="92">
        <v>1</v>
      </c>
      <c r="T5" s="92"/>
      <c r="U5" s="92"/>
      <c r="V5" s="92"/>
      <c r="W5" s="92">
        <v>1</v>
      </c>
      <c r="X5" s="92"/>
      <c r="Y5" s="92"/>
      <c r="Z5" s="92"/>
      <c r="AA5" s="92"/>
      <c r="AB5" s="92"/>
      <c r="AC5" s="92"/>
      <c r="AD5" s="92"/>
      <c r="AE5" s="101">
        <f>SUM(C5:AD5)</f>
        <v>6</v>
      </c>
      <c r="AF5" s="99"/>
      <c r="AG5" s="99"/>
    </row>
    <row r="6" spans="1:33" x14ac:dyDescent="0.4">
      <c r="A6" s="99" t="s">
        <v>29</v>
      </c>
      <c r="B6" s="99"/>
      <c r="C6" s="92"/>
      <c r="D6" s="92"/>
      <c r="E6" s="92"/>
      <c r="F6" s="92"/>
      <c r="G6" s="92">
        <v>2</v>
      </c>
      <c r="H6" s="92">
        <v>1</v>
      </c>
      <c r="I6" s="92"/>
      <c r="J6" s="92"/>
      <c r="K6" s="92"/>
      <c r="L6" s="92"/>
      <c r="M6" s="92"/>
      <c r="N6" s="92"/>
      <c r="O6" s="92"/>
      <c r="P6" s="92"/>
      <c r="Q6" s="92"/>
      <c r="R6" s="92"/>
      <c r="S6" s="92"/>
      <c r="T6" s="92"/>
      <c r="U6" s="92"/>
      <c r="V6" s="92"/>
      <c r="W6" s="92"/>
      <c r="X6" s="92"/>
      <c r="Y6" s="92"/>
      <c r="Z6" s="92"/>
      <c r="AA6" s="92"/>
      <c r="AB6" s="92"/>
      <c r="AC6" s="92"/>
      <c r="AD6" s="92"/>
      <c r="AE6" s="101">
        <f>SUM(C6:AD6)</f>
        <v>3</v>
      </c>
      <c r="AF6" s="99"/>
      <c r="AG6" s="99"/>
    </row>
    <row r="7" spans="1:33" x14ac:dyDescent="0.4">
      <c r="A7" s="99" t="s">
        <v>18</v>
      </c>
      <c r="B7" s="99"/>
      <c r="C7" s="92"/>
      <c r="D7" s="92"/>
      <c r="E7" s="92"/>
      <c r="F7" s="92">
        <v>1</v>
      </c>
      <c r="G7" s="92"/>
      <c r="H7" s="92"/>
      <c r="I7" s="92">
        <v>3</v>
      </c>
      <c r="J7" s="92"/>
      <c r="K7" s="92"/>
      <c r="L7" s="92"/>
      <c r="M7" s="92"/>
      <c r="N7" s="92"/>
      <c r="O7" s="92"/>
      <c r="P7" s="92"/>
      <c r="Q7" s="92"/>
      <c r="R7" s="92"/>
      <c r="S7" s="92">
        <v>1</v>
      </c>
      <c r="T7" s="92"/>
      <c r="U7" s="92"/>
      <c r="V7" s="92"/>
      <c r="W7" s="92">
        <v>1</v>
      </c>
      <c r="X7" s="92"/>
      <c r="Y7" s="92"/>
      <c r="Z7" s="92"/>
      <c r="AA7" s="92"/>
      <c r="AB7" s="92"/>
      <c r="AC7" s="92"/>
      <c r="AD7" s="92"/>
      <c r="AE7" s="101">
        <f>SUM(C7:AD7)</f>
        <v>6</v>
      </c>
      <c r="AF7" s="99"/>
      <c r="AG7" s="99"/>
    </row>
    <row r="8" spans="1:33" x14ac:dyDescent="0.4">
      <c r="A8" s="99" t="s">
        <v>19</v>
      </c>
      <c r="B8" s="99"/>
      <c r="C8" s="92"/>
      <c r="D8" s="92"/>
      <c r="E8" s="92">
        <v>1</v>
      </c>
      <c r="F8" s="92">
        <v>1</v>
      </c>
      <c r="G8" s="92"/>
      <c r="H8" s="92">
        <v>3</v>
      </c>
      <c r="I8" s="92">
        <v>1</v>
      </c>
      <c r="J8" s="92"/>
      <c r="K8" s="92"/>
      <c r="L8" s="92"/>
      <c r="M8" s="92">
        <v>4</v>
      </c>
      <c r="N8" s="92"/>
      <c r="O8" s="92"/>
      <c r="P8" s="92"/>
      <c r="Q8" s="92"/>
      <c r="R8" s="92"/>
      <c r="S8" s="92"/>
      <c r="T8" s="92"/>
      <c r="U8" s="92"/>
      <c r="V8" s="92"/>
      <c r="W8" s="92">
        <v>1</v>
      </c>
      <c r="X8" s="92"/>
      <c r="Y8" s="92"/>
      <c r="Z8" s="92"/>
      <c r="AA8" s="92"/>
      <c r="AB8" s="92"/>
      <c r="AC8" s="92"/>
      <c r="AD8" s="92"/>
      <c r="AE8" s="101">
        <f>SUM(C8:AD8)</f>
        <v>11</v>
      </c>
      <c r="AF8" s="99"/>
      <c r="AG8" s="99"/>
    </row>
    <row r="9" spans="1:33" x14ac:dyDescent="0.4">
      <c r="A9" s="99" t="s">
        <v>20</v>
      </c>
      <c r="B9" s="99"/>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101"/>
      <c r="AF9" s="99"/>
      <c r="AG9" s="99"/>
    </row>
    <row r="10" spans="1:33" x14ac:dyDescent="0.4">
      <c r="A10" s="99" t="s">
        <v>136</v>
      </c>
      <c r="B10" s="99"/>
      <c r="C10" s="92"/>
      <c r="D10" s="92"/>
      <c r="E10" s="92"/>
      <c r="F10" s="92"/>
      <c r="G10" s="92"/>
      <c r="H10" s="92"/>
      <c r="I10" s="92"/>
      <c r="J10" s="92"/>
      <c r="K10" s="92"/>
      <c r="L10" s="92"/>
      <c r="M10" s="92">
        <v>1</v>
      </c>
      <c r="N10" s="92"/>
      <c r="O10" s="92"/>
      <c r="P10" s="92"/>
      <c r="Q10" s="92"/>
      <c r="R10" s="92"/>
      <c r="S10" s="92"/>
      <c r="T10" s="92"/>
      <c r="U10" s="92"/>
      <c r="V10" s="92"/>
      <c r="W10" s="92"/>
      <c r="X10" s="92"/>
      <c r="Y10" s="92"/>
      <c r="Z10" s="92"/>
      <c r="AA10" s="92"/>
      <c r="AB10" s="92"/>
      <c r="AC10" s="92"/>
      <c r="AD10" s="92"/>
      <c r="AE10" s="101">
        <f>SUM(C10:AD10)</f>
        <v>1</v>
      </c>
      <c r="AF10" s="99"/>
      <c r="AG10" s="99"/>
    </row>
    <row r="11" spans="1:33" x14ac:dyDescent="0.4">
      <c r="A11" s="99" t="s">
        <v>98</v>
      </c>
      <c r="B11" s="99"/>
      <c r="C11" s="92"/>
      <c r="D11" s="92"/>
      <c r="E11" s="92"/>
      <c r="F11" s="92"/>
      <c r="G11" s="92">
        <v>1</v>
      </c>
      <c r="H11" s="92">
        <v>1</v>
      </c>
      <c r="I11" s="92">
        <v>2</v>
      </c>
      <c r="J11" s="92"/>
      <c r="K11" s="92"/>
      <c r="L11" s="92"/>
      <c r="M11" s="92"/>
      <c r="N11" s="92"/>
      <c r="O11" s="92"/>
      <c r="P11" s="92"/>
      <c r="Q11" s="92"/>
      <c r="R11" s="92"/>
      <c r="S11" s="92"/>
      <c r="T11" s="92"/>
      <c r="U11" s="92"/>
      <c r="V11" s="92"/>
      <c r="W11" s="92"/>
      <c r="X11" s="92"/>
      <c r="Y11" s="92"/>
      <c r="Z11" s="92"/>
      <c r="AA11" s="92"/>
      <c r="AB11" s="92"/>
      <c r="AC11" s="92"/>
      <c r="AD11" s="92"/>
      <c r="AE11" s="101">
        <f>SUM(C11:AD11)</f>
        <v>4</v>
      </c>
      <c r="AF11" s="99"/>
      <c r="AG11" s="99"/>
    </row>
    <row r="12" spans="1:33" x14ac:dyDescent="0.4">
      <c r="A12" s="99" t="s">
        <v>22</v>
      </c>
      <c r="B12" s="99"/>
      <c r="C12" s="92">
        <v>8</v>
      </c>
      <c r="D12" s="92">
        <v>20</v>
      </c>
      <c r="E12" s="92">
        <v>11</v>
      </c>
      <c r="F12" s="92">
        <v>11</v>
      </c>
      <c r="G12" s="92">
        <v>13</v>
      </c>
      <c r="H12" s="92">
        <v>35</v>
      </c>
      <c r="I12" s="92">
        <v>11</v>
      </c>
      <c r="J12" s="92">
        <v>12</v>
      </c>
      <c r="K12" s="92">
        <v>5</v>
      </c>
      <c r="L12" s="92">
        <v>5</v>
      </c>
      <c r="M12" s="92">
        <v>29</v>
      </c>
      <c r="N12" s="92">
        <v>8</v>
      </c>
      <c r="O12" s="92"/>
      <c r="P12" s="92">
        <v>1</v>
      </c>
      <c r="Q12" s="92"/>
      <c r="R12" s="92">
        <v>2</v>
      </c>
      <c r="S12" s="92">
        <v>8</v>
      </c>
      <c r="T12" s="92"/>
      <c r="U12" s="92"/>
      <c r="V12" s="92">
        <v>8</v>
      </c>
      <c r="W12" s="92">
        <v>11</v>
      </c>
      <c r="X12" s="92"/>
      <c r="Y12" s="92"/>
      <c r="Z12" s="92"/>
      <c r="AA12" s="92"/>
      <c r="AB12" s="92"/>
      <c r="AC12" s="92"/>
      <c r="AD12" s="92"/>
      <c r="AE12" s="101">
        <f>SUM(C12:AD12)</f>
        <v>198</v>
      </c>
      <c r="AF12" s="99"/>
      <c r="AG12" s="99"/>
    </row>
    <row r="13" spans="1:33" x14ac:dyDescent="0.4">
      <c r="A13" s="99" t="s">
        <v>23</v>
      </c>
      <c r="B13" s="99"/>
      <c r="C13" s="92">
        <v>1</v>
      </c>
      <c r="D13" s="92">
        <v>1</v>
      </c>
      <c r="E13" s="92">
        <v>1</v>
      </c>
      <c r="F13" s="92">
        <v>1</v>
      </c>
      <c r="G13" s="92">
        <v>4</v>
      </c>
      <c r="H13" s="92">
        <v>15</v>
      </c>
      <c r="I13" s="92">
        <v>2</v>
      </c>
      <c r="J13" s="92"/>
      <c r="K13" s="92">
        <v>1</v>
      </c>
      <c r="L13" s="92">
        <v>3</v>
      </c>
      <c r="M13" s="92">
        <v>7</v>
      </c>
      <c r="N13" s="92"/>
      <c r="O13" s="92"/>
      <c r="P13" s="92"/>
      <c r="Q13" s="92"/>
      <c r="R13" s="92"/>
      <c r="S13" s="92">
        <v>3</v>
      </c>
      <c r="T13" s="92"/>
      <c r="U13" s="92"/>
      <c r="V13" s="92"/>
      <c r="W13" s="92">
        <v>7</v>
      </c>
      <c r="X13" s="92"/>
      <c r="Y13" s="92"/>
      <c r="Z13" s="92">
        <v>2</v>
      </c>
      <c r="AA13" s="92"/>
      <c r="AB13" s="92"/>
      <c r="AC13" s="92">
        <v>2</v>
      </c>
      <c r="AD13" s="92"/>
      <c r="AE13" s="101">
        <f>SUM(C13:AD13)</f>
        <v>50</v>
      </c>
      <c r="AF13" s="99"/>
      <c r="AG13" s="99"/>
    </row>
    <row r="14" spans="1:33" x14ac:dyDescent="0.4">
      <c r="A14" s="99" t="s">
        <v>24</v>
      </c>
      <c r="B14" s="99"/>
      <c r="C14" s="92"/>
      <c r="D14" s="92">
        <v>1</v>
      </c>
      <c r="E14" s="92">
        <v>1</v>
      </c>
      <c r="F14" s="92">
        <v>2</v>
      </c>
      <c r="G14" s="92"/>
      <c r="H14" s="92">
        <v>2</v>
      </c>
      <c r="I14" s="92"/>
      <c r="J14" s="92"/>
      <c r="K14" s="92"/>
      <c r="L14" s="92"/>
      <c r="M14" s="92">
        <v>4</v>
      </c>
      <c r="N14" s="92"/>
      <c r="O14" s="92">
        <v>1</v>
      </c>
      <c r="P14" s="92"/>
      <c r="Q14" s="92"/>
      <c r="R14" s="92"/>
      <c r="S14" s="92">
        <v>4</v>
      </c>
      <c r="T14" s="92"/>
      <c r="U14" s="92"/>
      <c r="V14" s="92"/>
      <c r="W14" s="92">
        <v>5</v>
      </c>
      <c r="X14" s="92"/>
      <c r="Y14" s="92"/>
      <c r="Z14" s="92"/>
      <c r="AA14" s="92"/>
      <c r="AB14" s="92"/>
      <c r="AC14" s="92"/>
      <c r="AD14" s="92"/>
      <c r="AE14" s="101">
        <f>SUM(C14:AD14)</f>
        <v>20</v>
      </c>
      <c r="AF14" s="99"/>
      <c r="AG14" s="99"/>
    </row>
    <row r="15" spans="1:33" x14ac:dyDescent="0.4">
      <c r="A15" s="99" t="s">
        <v>111</v>
      </c>
      <c r="B15" s="99"/>
      <c r="C15" s="92"/>
      <c r="D15" s="9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101"/>
      <c r="AF15" s="99"/>
      <c r="AG15" s="99"/>
    </row>
    <row r="16" spans="1:33" ht="13" thickBot="1" x14ac:dyDescent="0.45">
      <c r="A16" s="99" t="s">
        <v>36</v>
      </c>
      <c r="B16" s="99"/>
      <c r="C16" s="93"/>
      <c r="D16" s="93"/>
      <c r="E16" s="93"/>
      <c r="F16" s="93"/>
      <c r="G16" s="93"/>
      <c r="H16" s="93">
        <v>4</v>
      </c>
      <c r="I16" s="93">
        <v>2</v>
      </c>
      <c r="J16" s="93"/>
      <c r="K16" s="93"/>
      <c r="L16" s="93"/>
      <c r="M16" s="93">
        <v>1</v>
      </c>
      <c r="N16" s="93"/>
      <c r="O16" s="93"/>
      <c r="P16" s="93"/>
      <c r="Q16" s="93"/>
      <c r="R16" s="93"/>
      <c r="S16" s="93"/>
      <c r="T16" s="93"/>
      <c r="U16" s="93"/>
      <c r="V16" s="93"/>
      <c r="W16" s="93"/>
      <c r="X16" s="93"/>
      <c r="Y16" s="93"/>
      <c r="Z16" s="93"/>
      <c r="AA16" s="93"/>
      <c r="AB16" s="93"/>
      <c r="AC16" s="93"/>
      <c r="AD16" s="93"/>
      <c r="AE16" s="102">
        <f>SUM(C16:AD16)</f>
        <v>7</v>
      </c>
      <c r="AF16" s="99"/>
      <c r="AG16" s="99"/>
    </row>
    <row r="17" spans="1:33" x14ac:dyDescent="0.4">
      <c r="A17" s="99" t="s">
        <v>25</v>
      </c>
      <c r="B17" s="99"/>
      <c r="C17" s="92">
        <f t="shared" ref="C17:P17" si="0">SUM(C3:C16)</f>
        <v>10</v>
      </c>
      <c r="D17" s="92">
        <f t="shared" si="0"/>
        <v>22</v>
      </c>
      <c r="E17" s="92">
        <f t="shared" si="0"/>
        <v>14</v>
      </c>
      <c r="F17" s="92">
        <f t="shared" si="0"/>
        <v>17</v>
      </c>
      <c r="G17" s="92">
        <f t="shared" si="0"/>
        <v>20</v>
      </c>
      <c r="H17" s="92">
        <f t="shared" si="0"/>
        <v>62</v>
      </c>
      <c r="I17" s="92">
        <f t="shared" si="0"/>
        <v>22</v>
      </c>
      <c r="J17" s="92">
        <f t="shared" si="0"/>
        <v>12</v>
      </c>
      <c r="K17" s="92">
        <f t="shared" si="0"/>
        <v>7</v>
      </c>
      <c r="L17" s="92">
        <f t="shared" si="0"/>
        <v>8</v>
      </c>
      <c r="M17" s="92">
        <f t="shared" si="0"/>
        <v>46</v>
      </c>
      <c r="N17" s="92">
        <f t="shared" si="0"/>
        <v>8</v>
      </c>
      <c r="O17" s="92">
        <f t="shared" si="0"/>
        <v>1</v>
      </c>
      <c r="P17" s="92">
        <f t="shared" si="0"/>
        <v>1</v>
      </c>
      <c r="Q17" s="92"/>
      <c r="R17" s="92">
        <f>SUM(R3:R16)</f>
        <v>2</v>
      </c>
      <c r="S17" s="92">
        <f>SUM(S3:S16)</f>
        <v>17</v>
      </c>
      <c r="T17" s="92"/>
      <c r="U17" s="92"/>
      <c r="V17" s="92">
        <f>SUM(V3:V16)</f>
        <v>8</v>
      </c>
      <c r="W17" s="92">
        <f>SUM(W3:W16)</f>
        <v>26</v>
      </c>
      <c r="X17" s="92"/>
      <c r="Y17" s="92"/>
      <c r="Z17" s="92">
        <f>SUM(Z3:Z16)</f>
        <v>2</v>
      </c>
      <c r="AA17" s="92"/>
      <c r="AB17" s="92"/>
      <c r="AC17" s="92">
        <f>SUM(AC3:AC16)</f>
        <v>2</v>
      </c>
      <c r="AD17" s="92"/>
      <c r="AE17" s="92">
        <f>SUM(AE3:AE16)</f>
        <v>307</v>
      </c>
      <c r="AF17" s="99"/>
      <c r="AG17" s="99"/>
    </row>
    <row r="18" spans="1:33" ht="13" thickBot="1" x14ac:dyDescent="0.45">
      <c r="A18" s="29" t="s">
        <v>107</v>
      </c>
      <c r="B18" s="99"/>
      <c r="C18" s="111" t="s">
        <v>146</v>
      </c>
      <c r="D18" s="94"/>
      <c r="E18" s="7"/>
      <c r="F18" s="29"/>
      <c r="G18" s="29" t="s">
        <v>126</v>
      </c>
      <c r="H18" s="92"/>
      <c r="I18" s="92"/>
      <c r="J18" s="94" t="s">
        <v>147</v>
      </c>
      <c r="K18" s="92"/>
      <c r="L18" s="92"/>
      <c r="M18" s="92"/>
      <c r="N18" s="92"/>
      <c r="O18" s="92"/>
      <c r="P18" s="92"/>
      <c r="Q18" s="92"/>
      <c r="R18" s="92"/>
      <c r="S18" s="92"/>
      <c r="T18" s="92"/>
      <c r="U18" s="92"/>
      <c r="V18" s="92"/>
      <c r="W18" s="92"/>
      <c r="X18" s="92"/>
      <c r="Y18" s="92"/>
      <c r="Z18" s="92"/>
      <c r="AA18" s="92"/>
      <c r="AB18" s="92"/>
      <c r="AC18" s="92"/>
      <c r="AD18" s="92"/>
      <c r="AE18" s="99"/>
      <c r="AF18" s="99"/>
      <c r="AG18" s="99"/>
    </row>
    <row r="19" spans="1:33" ht="13" thickBot="1" x14ac:dyDescent="0.45">
      <c r="A19" s="10" t="str">
        <f>A2</f>
        <v>BLIND #</v>
      </c>
      <c r="B19" s="14"/>
      <c r="C19" s="65">
        <f t="shared" ref="C19:N19" si="1">C2</f>
        <v>1</v>
      </c>
      <c r="D19" s="12">
        <f t="shared" si="1"/>
        <v>2</v>
      </c>
      <c r="E19" s="12">
        <f t="shared" si="1"/>
        <v>3</v>
      </c>
      <c r="F19" s="12">
        <f t="shared" si="1"/>
        <v>4</v>
      </c>
      <c r="G19" s="12">
        <f t="shared" si="1"/>
        <v>5</v>
      </c>
      <c r="H19" s="12">
        <f t="shared" si="1"/>
        <v>6</v>
      </c>
      <c r="I19" s="12">
        <f t="shared" si="1"/>
        <v>7</v>
      </c>
      <c r="J19" s="12">
        <f t="shared" si="1"/>
        <v>8</v>
      </c>
      <c r="K19" s="12">
        <f t="shared" si="1"/>
        <v>9</v>
      </c>
      <c r="L19" s="12">
        <f t="shared" si="1"/>
        <v>10</v>
      </c>
      <c r="M19" s="12">
        <f t="shared" si="1"/>
        <v>11</v>
      </c>
      <c r="N19" s="12">
        <f t="shared" si="1"/>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3" t="s">
        <v>2</v>
      </c>
      <c r="AF19" s="99"/>
      <c r="AG19" s="99"/>
    </row>
    <row r="20" spans="1:33" x14ac:dyDescent="0.4">
      <c r="A20" s="99" t="str">
        <f>A3</f>
        <v>RINGNECK</v>
      </c>
      <c r="B20" s="99"/>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101"/>
      <c r="AF20" s="99"/>
      <c r="AG20" s="99"/>
    </row>
    <row r="21" spans="1:33" x14ac:dyDescent="0.4">
      <c r="A21" s="99" t="str">
        <f t="shared" ref="A21:A33" si="2">A4</f>
        <v>CANVASBACK</v>
      </c>
      <c r="B21" s="99"/>
      <c r="C21" s="92"/>
      <c r="D21" s="92"/>
      <c r="E21" s="92"/>
      <c r="F21" s="92"/>
      <c r="G21" s="92"/>
      <c r="H21" s="92"/>
      <c r="I21" s="92"/>
      <c r="J21" s="92"/>
      <c r="K21" s="92"/>
      <c r="L21" s="92"/>
      <c r="M21" s="92"/>
      <c r="N21" s="92"/>
      <c r="O21" s="92"/>
      <c r="P21" s="92"/>
      <c r="Q21" s="92"/>
      <c r="R21" s="92"/>
      <c r="S21" s="92"/>
      <c r="T21" s="92"/>
      <c r="U21" s="92"/>
      <c r="V21" s="92"/>
      <c r="W21" s="92"/>
      <c r="X21" s="92"/>
      <c r="Y21" s="92"/>
      <c r="Z21" s="92"/>
      <c r="AA21" s="92"/>
      <c r="AB21" s="92">
        <v>1</v>
      </c>
      <c r="AC21" s="92"/>
      <c r="AD21" s="92"/>
      <c r="AE21" s="101">
        <f t="shared" ref="AE21:AE26" si="3">SUM(C21:AD21)</f>
        <v>1</v>
      </c>
      <c r="AF21" s="99"/>
      <c r="AG21" s="99"/>
    </row>
    <row r="22" spans="1:33" x14ac:dyDescent="0.4">
      <c r="A22" s="99" t="str">
        <f t="shared" si="2"/>
        <v>GADWALL</v>
      </c>
      <c r="B22" s="99"/>
      <c r="C22" s="92">
        <v>2</v>
      </c>
      <c r="D22" s="92"/>
      <c r="E22" s="92"/>
      <c r="F22" s="92"/>
      <c r="G22" s="92"/>
      <c r="H22" s="92"/>
      <c r="I22" s="92">
        <v>2</v>
      </c>
      <c r="J22" s="92"/>
      <c r="K22" s="92"/>
      <c r="L22" s="92"/>
      <c r="M22" s="92">
        <v>1</v>
      </c>
      <c r="N22" s="92"/>
      <c r="O22" s="92"/>
      <c r="P22" s="92"/>
      <c r="Q22" s="92"/>
      <c r="R22" s="92">
        <v>1</v>
      </c>
      <c r="S22" s="92"/>
      <c r="T22" s="92"/>
      <c r="U22" s="92"/>
      <c r="V22" s="92"/>
      <c r="W22" s="92">
        <v>2</v>
      </c>
      <c r="X22" s="92"/>
      <c r="Y22" s="92"/>
      <c r="Z22" s="92"/>
      <c r="AA22" s="92"/>
      <c r="AB22" s="92"/>
      <c r="AC22" s="92"/>
      <c r="AD22" s="92">
        <v>1</v>
      </c>
      <c r="AE22" s="101">
        <f t="shared" si="3"/>
        <v>9</v>
      </c>
      <c r="AF22" s="99"/>
      <c r="AG22" s="99"/>
    </row>
    <row r="23" spans="1:33" x14ac:dyDescent="0.4">
      <c r="A23" s="99" t="str">
        <f t="shared" si="2"/>
        <v>GEESE</v>
      </c>
      <c r="B23" s="99"/>
      <c r="C23" s="92"/>
      <c r="D23" s="92"/>
      <c r="E23" s="92"/>
      <c r="F23" s="92">
        <v>1</v>
      </c>
      <c r="G23" s="92"/>
      <c r="H23" s="92"/>
      <c r="I23" s="92"/>
      <c r="J23" s="92"/>
      <c r="K23" s="92"/>
      <c r="L23" s="92"/>
      <c r="M23" s="92"/>
      <c r="N23" s="92"/>
      <c r="O23" s="92"/>
      <c r="P23" s="92"/>
      <c r="Q23" s="92"/>
      <c r="R23" s="92"/>
      <c r="S23" s="92"/>
      <c r="T23" s="92"/>
      <c r="U23" s="92"/>
      <c r="V23" s="92"/>
      <c r="W23" s="92"/>
      <c r="X23" s="92"/>
      <c r="Y23" s="92"/>
      <c r="Z23" s="92"/>
      <c r="AA23" s="92"/>
      <c r="AB23" s="92"/>
      <c r="AC23" s="92"/>
      <c r="AD23" s="92"/>
      <c r="AE23" s="101">
        <f t="shared" si="3"/>
        <v>1</v>
      </c>
      <c r="AF23" s="99"/>
      <c r="AG23" s="99"/>
    </row>
    <row r="24" spans="1:33" x14ac:dyDescent="0.4">
      <c r="A24" s="99" t="str">
        <f t="shared" si="2"/>
        <v>MALLARD</v>
      </c>
      <c r="B24" s="99"/>
      <c r="C24" s="92">
        <v>2</v>
      </c>
      <c r="D24" s="92"/>
      <c r="E24" s="92"/>
      <c r="F24" s="92"/>
      <c r="G24" s="92"/>
      <c r="H24" s="92">
        <v>1</v>
      </c>
      <c r="I24" s="92">
        <v>3</v>
      </c>
      <c r="J24" s="92"/>
      <c r="K24" s="92"/>
      <c r="L24" s="92"/>
      <c r="M24" s="92"/>
      <c r="N24" s="92"/>
      <c r="O24" s="92"/>
      <c r="P24" s="92"/>
      <c r="Q24" s="92"/>
      <c r="R24" s="92"/>
      <c r="S24" s="92"/>
      <c r="T24" s="92"/>
      <c r="U24" s="92"/>
      <c r="V24" s="92"/>
      <c r="W24" s="92">
        <v>1</v>
      </c>
      <c r="X24" s="92"/>
      <c r="Y24" s="92"/>
      <c r="Z24" s="92"/>
      <c r="AA24" s="92"/>
      <c r="AB24" s="92"/>
      <c r="AC24" s="92"/>
      <c r="AD24" s="92"/>
      <c r="AE24" s="101">
        <f t="shared" si="3"/>
        <v>7</v>
      </c>
      <c r="AF24" s="99"/>
      <c r="AG24" s="99"/>
    </row>
    <row r="25" spans="1:33" x14ac:dyDescent="0.4">
      <c r="A25" s="99" t="str">
        <f t="shared" si="2"/>
        <v>PINTAIL</v>
      </c>
      <c r="B25" s="99"/>
      <c r="C25" s="92">
        <v>5</v>
      </c>
      <c r="D25" s="92">
        <v>3</v>
      </c>
      <c r="E25" s="92">
        <v>1</v>
      </c>
      <c r="F25" s="92">
        <v>4</v>
      </c>
      <c r="G25" s="92"/>
      <c r="H25" s="92">
        <v>3</v>
      </c>
      <c r="I25" s="92">
        <v>8</v>
      </c>
      <c r="J25" s="92"/>
      <c r="K25" s="92">
        <v>2</v>
      </c>
      <c r="L25" s="92"/>
      <c r="M25" s="92">
        <v>1</v>
      </c>
      <c r="N25" s="92">
        <v>3</v>
      </c>
      <c r="O25" s="92">
        <v>1</v>
      </c>
      <c r="P25" s="92"/>
      <c r="Q25" s="92"/>
      <c r="R25" s="92">
        <v>6</v>
      </c>
      <c r="S25" s="92"/>
      <c r="T25" s="92"/>
      <c r="U25" s="92"/>
      <c r="V25" s="92">
        <v>2</v>
      </c>
      <c r="W25" s="92">
        <v>2</v>
      </c>
      <c r="X25" s="92"/>
      <c r="Y25" s="92"/>
      <c r="Z25" s="92">
        <v>2</v>
      </c>
      <c r="AA25" s="92"/>
      <c r="AB25" s="92">
        <v>8</v>
      </c>
      <c r="AC25" s="92"/>
      <c r="AD25" s="92">
        <v>3</v>
      </c>
      <c r="AE25" s="101">
        <f t="shared" si="3"/>
        <v>54</v>
      </c>
      <c r="AF25" s="99"/>
      <c r="AG25" s="99"/>
    </row>
    <row r="26" spans="1:33" x14ac:dyDescent="0.4">
      <c r="A26" s="99" t="str">
        <f t="shared" si="2"/>
        <v>REDHEAD</v>
      </c>
      <c r="B26" s="99"/>
      <c r="C26" s="92"/>
      <c r="D26" s="92"/>
      <c r="E26" s="92">
        <v>1</v>
      </c>
      <c r="F26" s="92"/>
      <c r="G26" s="92"/>
      <c r="H26" s="92"/>
      <c r="I26" s="92">
        <v>3</v>
      </c>
      <c r="J26" s="92"/>
      <c r="K26" s="92"/>
      <c r="L26" s="92"/>
      <c r="M26" s="92"/>
      <c r="N26" s="92"/>
      <c r="O26" s="92"/>
      <c r="P26" s="92"/>
      <c r="Q26" s="92"/>
      <c r="R26" s="92"/>
      <c r="S26" s="92"/>
      <c r="T26" s="92"/>
      <c r="U26" s="92"/>
      <c r="V26" s="92"/>
      <c r="W26" s="92"/>
      <c r="X26" s="92"/>
      <c r="Y26" s="92"/>
      <c r="Z26" s="92"/>
      <c r="AA26" s="92">
        <v>2</v>
      </c>
      <c r="AB26" s="92">
        <v>1</v>
      </c>
      <c r="AC26" s="92"/>
      <c r="AD26" s="92"/>
      <c r="AE26" s="101">
        <f t="shared" si="3"/>
        <v>7</v>
      </c>
      <c r="AF26" s="99"/>
      <c r="AG26" s="99"/>
    </row>
    <row r="27" spans="1:33" x14ac:dyDescent="0.4">
      <c r="A27" s="99" t="str">
        <f t="shared" si="2"/>
        <v>WOODY</v>
      </c>
      <c r="B27" s="99"/>
      <c r="C27" s="92"/>
      <c r="D27" s="92"/>
      <c r="E27" s="92"/>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101"/>
      <c r="AF27" s="99"/>
      <c r="AG27" s="99"/>
    </row>
    <row r="28" spans="1:33" x14ac:dyDescent="0.4">
      <c r="A28" s="99" t="str">
        <f t="shared" si="2"/>
        <v>B'HEAD</v>
      </c>
      <c r="B28" s="99"/>
      <c r="C28" s="92"/>
      <c r="D28" s="92"/>
      <c r="E28" s="92"/>
      <c r="F28" s="92"/>
      <c r="G28" s="92"/>
      <c r="H28" s="92">
        <v>1</v>
      </c>
      <c r="I28" s="92"/>
      <c r="J28" s="92"/>
      <c r="K28" s="92"/>
      <c r="L28" s="92">
        <v>1</v>
      </c>
      <c r="M28" s="92">
        <v>1</v>
      </c>
      <c r="N28" s="92"/>
      <c r="O28" s="92"/>
      <c r="P28" s="92"/>
      <c r="Q28" s="92"/>
      <c r="R28" s="92">
        <v>2</v>
      </c>
      <c r="S28" s="92"/>
      <c r="T28" s="92"/>
      <c r="U28" s="92"/>
      <c r="V28" s="92"/>
      <c r="W28" s="92"/>
      <c r="X28" s="92"/>
      <c r="Y28" s="92"/>
      <c r="Z28" s="92">
        <v>1</v>
      </c>
      <c r="AA28" s="92"/>
      <c r="AB28" s="92"/>
      <c r="AC28" s="92"/>
      <c r="AD28" s="92">
        <v>1</v>
      </c>
      <c r="AE28" s="101">
        <f>SUM(C28:AD28)</f>
        <v>7</v>
      </c>
      <c r="AF28" s="99"/>
      <c r="AG28" s="99"/>
    </row>
    <row r="29" spans="1:33" x14ac:dyDescent="0.4">
      <c r="A29" s="99" t="str">
        <f t="shared" si="2"/>
        <v>SPOONY</v>
      </c>
      <c r="B29" s="99"/>
      <c r="C29" s="92">
        <v>11</v>
      </c>
      <c r="D29" s="92">
        <v>8</v>
      </c>
      <c r="E29" s="92">
        <v>5</v>
      </c>
      <c r="F29" s="92">
        <v>13</v>
      </c>
      <c r="G29" s="92">
        <v>1</v>
      </c>
      <c r="H29" s="92">
        <v>14</v>
      </c>
      <c r="I29" s="92">
        <v>12</v>
      </c>
      <c r="J29" s="92">
        <v>4</v>
      </c>
      <c r="K29" s="92">
        <v>4</v>
      </c>
      <c r="L29" s="92">
        <v>1</v>
      </c>
      <c r="M29" s="92">
        <v>16</v>
      </c>
      <c r="N29" s="92">
        <v>4</v>
      </c>
      <c r="O29" s="92">
        <v>9</v>
      </c>
      <c r="P29" s="92"/>
      <c r="Q29" s="92"/>
      <c r="R29" s="92">
        <v>12</v>
      </c>
      <c r="S29" s="92">
        <v>6</v>
      </c>
      <c r="T29" s="92"/>
      <c r="U29" s="92"/>
      <c r="V29" s="92">
        <v>14</v>
      </c>
      <c r="W29" s="92">
        <v>30</v>
      </c>
      <c r="X29" s="92"/>
      <c r="Y29" s="92"/>
      <c r="Z29" s="92"/>
      <c r="AA29" s="92"/>
      <c r="AB29" s="92">
        <v>29</v>
      </c>
      <c r="AC29" s="92">
        <v>1</v>
      </c>
      <c r="AD29" s="92">
        <v>7</v>
      </c>
      <c r="AE29" s="101">
        <f>SUM(C29:AD29)</f>
        <v>201</v>
      </c>
      <c r="AF29" s="99"/>
      <c r="AG29" s="99"/>
    </row>
    <row r="30" spans="1:33" x14ac:dyDescent="0.4">
      <c r="A30" s="99" t="str">
        <f t="shared" si="2"/>
        <v>TEAL</v>
      </c>
      <c r="B30" s="99"/>
      <c r="C30" s="92">
        <v>33</v>
      </c>
      <c r="D30" s="92">
        <v>13</v>
      </c>
      <c r="E30" s="92">
        <v>19</v>
      </c>
      <c r="F30" s="92">
        <v>59</v>
      </c>
      <c r="G30" s="92">
        <v>6</v>
      </c>
      <c r="H30" s="92">
        <v>24</v>
      </c>
      <c r="I30" s="92">
        <v>42</v>
      </c>
      <c r="J30" s="92">
        <v>9</v>
      </c>
      <c r="K30" s="92">
        <v>11</v>
      </c>
      <c r="L30" s="92">
        <v>3</v>
      </c>
      <c r="M30" s="92">
        <v>53</v>
      </c>
      <c r="N30" s="92">
        <v>11</v>
      </c>
      <c r="O30" s="92">
        <v>18</v>
      </c>
      <c r="P30" s="92">
        <v>2</v>
      </c>
      <c r="Q30" s="92"/>
      <c r="R30" s="92">
        <v>29</v>
      </c>
      <c r="S30" s="92">
        <v>3</v>
      </c>
      <c r="T30" s="92"/>
      <c r="U30" s="92"/>
      <c r="V30" s="92">
        <v>12</v>
      </c>
      <c r="W30" s="92">
        <v>45</v>
      </c>
      <c r="X30" s="92">
        <v>2</v>
      </c>
      <c r="Y30" s="92">
        <v>2</v>
      </c>
      <c r="Z30" s="92">
        <v>3</v>
      </c>
      <c r="AA30" s="92">
        <v>26</v>
      </c>
      <c r="AB30" s="92">
        <v>47</v>
      </c>
      <c r="AC30" s="92">
        <v>1</v>
      </c>
      <c r="AD30" s="92">
        <v>31</v>
      </c>
      <c r="AE30" s="101">
        <f>SUM(C30:AD30)</f>
        <v>504</v>
      </c>
      <c r="AF30" s="99"/>
      <c r="AG30" s="99"/>
    </row>
    <row r="31" spans="1:33" x14ac:dyDescent="0.4">
      <c r="A31" s="99" t="str">
        <f t="shared" si="2"/>
        <v>WIDGEON</v>
      </c>
      <c r="B31" s="99"/>
      <c r="C31" s="92">
        <v>4</v>
      </c>
      <c r="D31" s="92">
        <v>7</v>
      </c>
      <c r="E31" s="92">
        <v>4</v>
      </c>
      <c r="F31" s="92">
        <v>5</v>
      </c>
      <c r="G31" s="92"/>
      <c r="H31" s="92">
        <v>4</v>
      </c>
      <c r="I31" s="92">
        <v>10</v>
      </c>
      <c r="J31" s="92">
        <v>3</v>
      </c>
      <c r="K31" s="92">
        <v>1</v>
      </c>
      <c r="L31" s="92">
        <v>1</v>
      </c>
      <c r="M31" s="92">
        <v>4</v>
      </c>
      <c r="N31" s="92">
        <v>1</v>
      </c>
      <c r="O31" s="92">
        <v>5</v>
      </c>
      <c r="P31" s="92">
        <v>1</v>
      </c>
      <c r="Q31" s="92"/>
      <c r="R31" s="92">
        <v>9</v>
      </c>
      <c r="S31" s="92">
        <v>1</v>
      </c>
      <c r="T31" s="92"/>
      <c r="U31" s="92"/>
      <c r="V31" s="92">
        <v>7</v>
      </c>
      <c r="W31" s="92">
        <v>29</v>
      </c>
      <c r="X31" s="92"/>
      <c r="Y31" s="92">
        <v>1</v>
      </c>
      <c r="Z31" s="92"/>
      <c r="AA31" s="92">
        <v>1</v>
      </c>
      <c r="AB31" s="92">
        <v>15</v>
      </c>
      <c r="AC31" s="92">
        <v>1</v>
      </c>
      <c r="AD31" s="92">
        <v>3</v>
      </c>
      <c r="AE31" s="101">
        <f>SUM(C31:AD31)</f>
        <v>117</v>
      </c>
      <c r="AF31" s="99"/>
      <c r="AG31" s="99"/>
    </row>
    <row r="32" spans="1:33" x14ac:dyDescent="0.4">
      <c r="A32" s="99" t="s">
        <v>111</v>
      </c>
      <c r="B32" s="99"/>
      <c r="C32" s="92"/>
      <c r="D32" s="9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101"/>
      <c r="AF32" s="99"/>
      <c r="AG32" s="99"/>
    </row>
    <row r="33" spans="1:33" ht="13" thickBot="1" x14ac:dyDescent="0.45">
      <c r="A33" s="99" t="str">
        <f t="shared" si="2"/>
        <v>MISC</v>
      </c>
      <c r="B33" s="99"/>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c r="AC33" s="93"/>
      <c r="AD33" s="93">
        <v>1</v>
      </c>
      <c r="AE33" s="102">
        <f>SUM(C33:AD33)</f>
        <v>1</v>
      </c>
      <c r="AF33" s="99"/>
      <c r="AG33" s="99"/>
    </row>
    <row r="34" spans="1:33" x14ac:dyDescent="0.4">
      <c r="A34" s="99" t="s">
        <v>25</v>
      </c>
      <c r="B34" s="99"/>
      <c r="C34" s="92">
        <f t="shared" ref="C34:P34" si="4">SUM(C20:C33)</f>
        <v>57</v>
      </c>
      <c r="D34" s="92">
        <f t="shared" si="4"/>
        <v>31</v>
      </c>
      <c r="E34" s="92">
        <f t="shared" si="4"/>
        <v>30</v>
      </c>
      <c r="F34" s="92">
        <f t="shared" si="4"/>
        <v>82</v>
      </c>
      <c r="G34" s="92">
        <f t="shared" si="4"/>
        <v>7</v>
      </c>
      <c r="H34" s="92">
        <f t="shared" si="4"/>
        <v>47</v>
      </c>
      <c r="I34" s="92">
        <f t="shared" si="4"/>
        <v>80</v>
      </c>
      <c r="J34" s="92">
        <f t="shared" si="4"/>
        <v>16</v>
      </c>
      <c r="K34" s="92">
        <f t="shared" si="4"/>
        <v>18</v>
      </c>
      <c r="L34" s="92">
        <f t="shared" si="4"/>
        <v>6</v>
      </c>
      <c r="M34" s="92">
        <f t="shared" si="4"/>
        <v>76</v>
      </c>
      <c r="N34" s="92">
        <f t="shared" si="4"/>
        <v>19</v>
      </c>
      <c r="O34" s="92">
        <f t="shared" si="4"/>
        <v>33</v>
      </c>
      <c r="P34" s="92">
        <f t="shared" si="4"/>
        <v>3</v>
      </c>
      <c r="Q34" s="92"/>
      <c r="R34" s="92">
        <f>SUM(R20:R33)</f>
        <v>59</v>
      </c>
      <c r="S34" s="92">
        <f>SUM(S20:S33)</f>
        <v>10</v>
      </c>
      <c r="T34" s="92"/>
      <c r="U34" s="92"/>
      <c r="V34" s="92">
        <f t="shared" ref="V34:AE34" si="5">SUM(V20:V33)</f>
        <v>35</v>
      </c>
      <c r="W34" s="92">
        <f t="shared" si="5"/>
        <v>109</v>
      </c>
      <c r="X34" s="92">
        <f t="shared" si="5"/>
        <v>2</v>
      </c>
      <c r="Y34" s="92">
        <f t="shared" si="5"/>
        <v>3</v>
      </c>
      <c r="Z34" s="92">
        <f t="shared" si="5"/>
        <v>6</v>
      </c>
      <c r="AA34" s="92">
        <f t="shared" si="5"/>
        <v>29</v>
      </c>
      <c r="AB34" s="92">
        <f t="shared" si="5"/>
        <v>101</v>
      </c>
      <c r="AC34" s="92">
        <f t="shared" si="5"/>
        <v>3</v>
      </c>
      <c r="AD34" s="92">
        <f t="shared" si="5"/>
        <v>47</v>
      </c>
      <c r="AE34" s="92">
        <f t="shared" si="5"/>
        <v>909</v>
      </c>
      <c r="AF34" s="99"/>
      <c r="AG34" s="99"/>
    </row>
    <row r="35" spans="1:33" ht="13" thickBot="1" x14ac:dyDescent="0.45">
      <c r="A35" s="99"/>
      <c r="B35" s="99"/>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9"/>
      <c r="AF35" s="99"/>
      <c r="AG35" s="99"/>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6">C19</f>
        <v>1</v>
      </c>
      <c r="D37" s="12">
        <f t="shared" si="6"/>
        <v>2</v>
      </c>
      <c r="E37" s="12">
        <f t="shared" si="6"/>
        <v>3</v>
      </c>
      <c r="F37" s="12">
        <f t="shared" si="6"/>
        <v>4</v>
      </c>
      <c r="G37" s="12">
        <f t="shared" si="6"/>
        <v>5</v>
      </c>
      <c r="H37" s="12">
        <f t="shared" si="6"/>
        <v>6</v>
      </c>
      <c r="I37" s="12">
        <f t="shared" si="6"/>
        <v>7</v>
      </c>
      <c r="J37" s="12">
        <f t="shared" si="6"/>
        <v>8</v>
      </c>
      <c r="K37" s="12">
        <f t="shared" si="6"/>
        <v>9</v>
      </c>
      <c r="L37" s="12">
        <f t="shared" si="6"/>
        <v>10</v>
      </c>
      <c r="M37" s="12">
        <f t="shared" si="6"/>
        <v>11</v>
      </c>
      <c r="N37" s="12">
        <f t="shared" si="6"/>
        <v>12</v>
      </c>
      <c r="O37" s="12">
        <f t="shared" si="6"/>
        <v>13</v>
      </c>
      <c r="P37" s="12">
        <f t="shared" si="6"/>
        <v>14</v>
      </c>
      <c r="Q37" s="12">
        <f t="shared" si="6"/>
        <v>15</v>
      </c>
      <c r="R37" s="12">
        <f t="shared" si="6"/>
        <v>16</v>
      </c>
      <c r="S37" s="12">
        <f t="shared" si="6"/>
        <v>17</v>
      </c>
      <c r="T37" s="12">
        <f t="shared" si="6"/>
        <v>18</v>
      </c>
      <c r="U37" s="12">
        <f t="shared" si="6"/>
        <v>19</v>
      </c>
      <c r="V37" s="65">
        <v>20</v>
      </c>
      <c r="W37" s="65">
        <v>21</v>
      </c>
      <c r="X37" s="65">
        <v>22</v>
      </c>
      <c r="Y37" s="65">
        <v>23</v>
      </c>
      <c r="Z37" s="65">
        <v>24</v>
      </c>
      <c r="AA37" s="65">
        <v>25</v>
      </c>
      <c r="AB37" s="65">
        <v>26</v>
      </c>
      <c r="AC37" s="65">
        <v>27</v>
      </c>
      <c r="AD37" s="65">
        <v>28</v>
      </c>
      <c r="AE37" s="13" t="s">
        <v>2</v>
      </c>
      <c r="AF37" s="26" t="s">
        <v>61</v>
      </c>
      <c r="AG37" s="27"/>
    </row>
    <row r="38" spans="1:33" x14ac:dyDescent="0.4">
      <c r="A38" s="99" t="str">
        <f>A20</f>
        <v>RINGNECK</v>
      </c>
      <c r="B38" s="99"/>
      <c r="C38" s="92">
        <f t="shared" ref="C38:AD47" si="7">C3+C20</f>
        <v>0</v>
      </c>
      <c r="D38" s="92">
        <f t="shared" si="7"/>
        <v>0</v>
      </c>
      <c r="E38" s="92">
        <f t="shared" si="7"/>
        <v>0</v>
      </c>
      <c r="F38" s="92">
        <f t="shared" si="7"/>
        <v>0</v>
      </c>
      <c r="G38" s="92">
        <f t="shared" si="7"/>
        <v>0</v>
      </c>
      <c r="H38" s="92">
        <f t="shared" si="7"/>
        <v>0</v>
      </c>
      <c r="I38" s="92">
        <f t="shared" si="7"/>
        <v>0</v>
      </c>
      <c r="J38" s="92">
        <f t="shared" si="7"/>
        <v>0</v>
      </c>
      <c r="K38" s="92">
        <f t="shared" si="7"/>
        <v>1</v>
      </c>
      <c r="L38" s="92">
        <f t="shared" si="7"/>
        <v>0</v>
      </c>
      <c r="M38" s="92">
        <f t="shared" si="7"/>
        <v>0</v>
      </c>
      <c r="N38" s="92">
        <f t="shared" si="7"/>
        <v>0</v>
      </c>
      <c r="O38" s="92">
        <f t="shared" si="7"/>
        <v>0</v>
      </c>
      <c r="P38" s="92">
        <f t="shared" si="7"/>
        <v>0</v>
      </c>
      <c r="Q38" s="92">
        <f t="shared" si="7"/>
        <v>0</v>
      </c>
      <c r="R38" s="92">
        <f t="shared" si="7"/>
        <v>0</v>
      </c>
      <c r="S38" s="92">
        <f t="shared" si="7"/>
        <v>0</v>
      </c>
      <c r="T38" s="92">
        <f t="shared" si="7"/>
        <v>0</v>
      </c>
      <c r="U38" s="92">
        <f t="shared" si="7"/>
        <v>0</v>
      </c>
      <c r="V38" s="92">
        <f t="shared" si="7"/>
        <v>0</v>
      </c>
      <c r="W38" s="92">
        <f t="shared" si="7"/>
        <v>0</v>
      </c>
      <c r="X38" s="92">
        <f t="shared" si="7"/>
        <v>0</v>
      </c>
      <c r="Y38" s="92">
        <f t="shared" si="7"/>
        <v>0</v>
      </c>
      <c r="Z38" s="92">
        <f t="shared" si="7"/>
        <v>0</v>
      </c>
      <c r="AA38" s="92">
        <f t="shared" si="7"/>
        <v>0</v>
      </c>
      <c r="AB38" s="92">
        <f t="shared" si="7"/>
        <v>0</v>
      </c>
      <c r="AC38" s="92">
        <f t="shared" si="7"/>
        <v>0</v>
      </c>
      <c r="AD38" s="92">
        <f t="shared" si="7"/>
        <v>0</v>
      </c>
      <c r="AE38" s="103">
        <f>SUM(C38:AD38)</f>
        <v>1</v>
      </c>
      <c r="AF38" s="114">
        <f>AE38/$AE$52</f>
        <v>8.2236842105263153E-4</v>
      </c>
      <c r="AG38" s="104">
        <f>100/7582</f>
        <v>1.3189132155104194E-2</v>
      </c>
    </row>
    <row r="39" spans="1:33" x14ac:dyDescent="0.4">
      <c r="A39" s="99" t="str">
        <f t="shared" ref="A39:A50" si="8">A21</f>
        <v>CANVASBACK</v>
      </c>
      <c r="B39" s="99"/>
      <c r="C39" s="92">
        <f t="shared" si="7"/>
        <v>0</v>
      </c>
      <c r="D39" s="92">
        <f t="shared" si="7"/>
        <v>0</v>
      </c>
      <c r="E39" s="92">
        <f t="shared" si="7"/>
        <v>0</v>
      </c>
      <c r="F39" s="92">
        <f t="shared" si="7"/>
        <v>0</v>
      </c>
      <c r="G39" s="92">
        <f t="shared" si="7"/>
        <v>0</v>
      </c>
      <c r="H39" s="92">
        <f t="shared" si="7"/>
        <v>0</v>
      </c>
      <c r="I39" s="92">
        <f t="shared" si="7"/>
        <v>0</v>
      </c>
      <c r="J39" s="92">
        <f t="shared" si="7"/>
        <v>0</v>
      </c>
      <c r="K39" s="92">
        <f t="shared" si="7"/>
        <v>0</v>
      </c>
      <c r="L39" s="92">
        <f t="shared" si="7"/>
        <v>0</v>
      </c>
      <c r="M39" s="92">
        <f t="shared" si="7"/>
        <v>0</v>
      </c>
      <c r="N39" s="92">
        <f t="shared" si="7"/>
        <v>0</v>
      </c>
      <c r="O39" s="92">
        <f t="shared" si="7"/>
        <v>0</v>
      </c>
      <c r="P39" s="92">
        <f t="shared" si="7"/>
        <v>0</v>
      </c>
      <c r="Q39" s="92">
        <f t="shared" si="7"/>
        <v>0</v>
      </c>
      <c r="R39" s="92">
        <f t="shared" si="7"/>
        <v>0</v>
      </c>
      <c r="S39" s="92">
        <f t="shared" si="7"/>
        <v>0</v>
      </c>
      <c r="T39" s="92">
        <f t="shared" si="7"/>
        <v>0</v>
      </c>
      <c r="U39" s="92">
        <f t="shared" si="7"/>
        <v>0</v>
      </c>
      <c r="V39" s="92">
        <f t="shared" si="7"/>
        <v>0</v>
      </c>
      <c r="W39" s="92">
        <f t="shared" si="7"/>
        <v>0</v>
      </c>
      <c r="X39" s="92">
        <f t="shared" si="7"/>
        <v>0</v>
      </c>
      <c r="Y39" s="92">
        <f t="shared" si="7"/>
        <v>0</v>
      </c>
      <c r="Z39" s="92">
        <f t="shared" si="7"/>
        <v>0</v>
      </c>
      <c r="AA39" s="92">
        <f t="shared" si="7"/>
        <v>0</v>
      </c>
      <c r="AB39" s="92">
        <f t="shared" si="7"/>
        <v>1</v>
      </c>
      <c r="AC39" s="92">
        <f t="shared" si="7"/>
        <v>0</v>
      </c>
      <c r="AD39" s="92">
        <f t="shared" si="7"/>
        <v>0</v>
      </c>
      <c r="AE39" s="101">
        <f t="shared" ref="AE39:AE51" si="9">SUM(C39:AD39)</f>
        <v>1</v>
      </c>
      <c r="AF39" s="114">
        <f>AE39/$AE$52</f>
        <v>8.2236842105263153E-4</v>
      </c>
      <c r="AG39" s="104">
        <f>14/7582</f>
        <v>1.8464785017145871E-3</v>
      </c>
    </row>
    <row r="40" spans="1:33" x14ac:dyDescent="0.4">
      <c r="A40" s="99" t="str">
        <f t="shared" si="8"/>
        <v>GADWALL</v>
      </c>
      <c r="B40" s="99"/>
      <c r="C40" s="92">
        <f t="shared" si="7"/>
        <v>3</v>
      </c>
      <c r="D40" s="92">
        <f t="shared" si="7"/>
        <v>0</v>
      </c>
      <c r="E40" s="92">
        <f t="shared" si="7"/>
        <v>0</v>
      </c>
      <c r="F40" s="92">
        <f t="shared" si="7"/>
        <v>1</v>
      </c>
      <c r="G40" s="92">
        <f t="shared" si="7"/>
        <v>0</v>
      </c>
      <c r="H40" s="92">
        <f t="shared" si="7"/>
        <v>1</v>
      </c>
      <c r="I40" s="92">
        <f t="shared" si="7"/>
        <v>3</v>
      </c>
      <c r="J40" s="92">
        <f t="shared" si="7"/>
        <v>0</v>
      </c>
      <c r="K40" s="92">
        <f t="shared" si="7"/>
        <v>0</v>
      </c>
      <c r="L40" s="92">
        <f t="shared" si="7"/>
        <v>0</v>
      </c>
      <c r="M40" s="92">
        <f t="shared" si="7"/>
        <v>1</v>
      </c>
      <c r="N40" s="92">
        <f t="shared" si="7"/>
        <v>0</v>
      </c>
      <c r="O40" s="92">
        <f t="shared" si="7"/>
        <v>0</v>
      </c>
      <c r="P40" s="92">
        <f t="shared" si="7"/>
        <v>0</v>
      </c>
      <c r="Q40" s="92">
        <f t="shared" si="7"/>
        <v>0</v>
      </c>
      <c r="R40" s="92">
        <f t="shared" si="7"/>
        <v>1</v>
      </c>
      <c r="S40" s="92">
        <f t="shared" si="7"/>
        <v>1</v>
      </c>
      <c r="T40" s="92">
        <f t="shared" si="7"/>
        <v>0</v>
      </c>
      <c r="U40" s="92">
        <f t="shared" si="7"/>
        <v>0</v>
      </c>
      <c r="V40" s="92">
        <f t="shared" si="7"/>
        <v>0</v>
      </c>
      <c r="W40" s="92">
        <f t="shared" si="7"/>
        <v>3</v>
      </c>
      <c r="X40" s="92">
        <f t="shared" si="7"/>
        <v>0</v>
      </c>
      <c r="Y40" s="92">
        <f t="shared" si="7"/>
        <v>0</v>
      </c>
      <c r="Z40" s="92">
        <f t="shared" si="7"/>
        <v>0</v>
      </c>
      <c r="AA40" s="92">
        <f t="shared" si="7"/>
        <v>0</v>
      </c>
      <c r="AB40" s="92">
        <f t="shared" si="7"/>
        <v>0</v>
      </c>
      <c r="AC40" s="92">
        <f t="shared" si="7"/>
        <v>0</v>
      </c>
      <c r="AD40" s="92">
        <f t="shared" si="7"/>
        <v>1</v>
      </c>
      <c r="AE40" s="101">
        <f t="shared" si="9"/>
        <v>15</v>
      </c>
      <c r="AF40" s="114">
        <f>AE40/$AE$52</f>
        <v>1.2335526315789474E-2</v>
      </c>
      <c r="AG40" s="104">
        <f>1208/7582</f>
        <v>0.15932471643365867</v>
      </c>
    </row>
    <row r="41" spans="1:33" x14ac:dyDescent="0.4">
      <c r="A41" s="99" t="str">
        <f t="shared" si="8"/>
        <v>GEESE</v>
      </c>
      <c r="B41" s="99"/>
      <c r="C41" s="92">
        <f t="shared" si="7"/>
        <v>0</v>
      </c>
      <c r="D41" s="92">
        <f t="shared" si="7"/>
        <v>0</v>
      </c>
      <c r="E41" s="92">
        <f t="shared" si="7"/>
        <v>0</v>
      </c>
      <c r="F41" s="92">
        <f t="shared" si="7"/>
        <v>1</v>
      </c>
      <c r="G41" s="92">
        <f t="shared" si="7"/>
        <v>2</v>
      </c>
      <c r="H41" s="92">
        <f t="shared" si="7"/>
        <v>1</v>
      </c>
      <c r="I41" s="92">
        <f t="shared" si="7"/>
        <v>0</v>
      </c>
      <c r="J41" s="92">
        <f t="shared" si="7"/>
        <v>0</v>
      </c>
      <c r="K41" s="92">
        <f t="shared" si="7"/>
        <v>0</v>
      </c>
      <c r="L41" s="92">
        <f t="shared" si="7"/>
        <v>0</v>
      </c>
      <c r="M41" s="92">
        <f t="shared" si="7"/>
        <v>0</v>
      </c>
      <c r="N41" s="92">
        <f t="shared" si="7"/>
        <v>0</v>
      </c>
      <c r="O41" s="92">
        <f t="shared" si="7"/>
        <v>0</v>
      </c>
      <c r="P41" s="92">
        <f t="shared" si="7"/>
        <v>0</v>
      </c>
      <c r="Q41" s="92">
        <f t="shared" si="7"/>
        <v>0</v>
      </c>
      <c r="R41" s="92">
        <f t="shared" si="7"/>
        <v>0</v>
      </c>
      <c r="S41" s="92">
        <f t="shared" si="7"/>
        <v>0</v>
      </c>
      <c r="T41" s="92">
        <f t="shared" si="7"/>
        <v>0</v>
      </c>
      <c r="U41" s="92">
        <f t="shared" si="7"/>
        <v>0</v>
      </c>
      <c r="V41" s="92">
        <f t="shared" si="7"/>
        <v>0</v>
      </c>
      <c r="W41" s="92">
        <f t="shared" si="7"/>
        <v>0</v>
      </c>
      <c r="X41" s="92">
        <f t="shared" si="7"/>
        <v>0</v>
      </c>
      <c r="Y41" s="92">
        <f t="shared" si="7"/>
        <v>0</v>
      </c>
      <c r="Z41" s="92">
        <f t="shared" si="7"/>
        <v>0</v>
      </c>
      <c r="AA41" s="92">
        <f t="shared" si="7"/>
        <v>0</v>
      </c>
      <c r="AB41" s="92">
        <f t="shared" si="7"/>
        <v>0</v>
      </c>
      <c r="AC41" s="92">
        <f t="shared" si="7"/>
        <v>0</v>
      </c>
      <c r="AD41" s="92">
        <f t="shared" si="7"/>
        <v>0</v>
      </c>
      <c r="AE41" s="101">
        <f t="shared" si="9"/>
        <v>4</v>
      </c>
      <c r="AF41" s="114">
        <f>AE41/$AE$52</f>
        <v>3.2894736842105261E-3</v>
      </c>
      <c r="AG41" s="104">
        <f>119/7582</f>
        <v>1.5695067264573991E-2</v>
      </c>
    </row>
    <row r="42" spans="1:33" x14ac:dyDescent="0.4">
      <c r="A42" s="99" t="str">
        <f t="shared" si="8"/>
        <v>MALLARD</v>
      </c>
      <c r="B42" s="99"/>
      <c r="C42" s="92">
        <f t="shared" si="7"/>
        <v>2</v>
      </c>
      <c r="D42" s="92">
        <f t="shared" si="7"/>
        <v>0</v>
      </c>
      <c r="E42" s="92">
        <f t="shared" si="7"/>
        <v>0</v>
      </c>
      <c r="F42" s="92">
        <f t="shared" si="7"/>
        <v>1</v>
      </c>
      <c r="G42" s="92">
        <f t="shared" si="7"/>
        <v>0</v>
      </c>
      <c r="H42" s="92">
        <f t="shared" si="7"/>
        <v>1</v>
      </c>
      <c r="I42" s="92">
        <f t="shared" si="7"/>
        <v>6</v>
      </c>
      <c r="J42" s="92">
        <f t="shared" si="7"/>
        <v>0</v>
      </c>
      <c r="K42" s="92">
        <f t="shared" si="7"/>
        <v>0</v>
      </c>
      <c r="L42" s="92">
        <f t="shared" si="7"/>
        <v>0</v>
      </c>
      <c r="M42" s="92">
        <f t="shared" si="7"/>
        <v>0</v>
      </c>
      <c r="N42" s="92">
        <f t="shared" si="7"/>
        <v>0</v>
      </c>
      <c r="O42" s="92">
        <f t="shared" si="7"/>
        <v>0</v>
      </c>
      <c r="P42" s="92">
        <f t="shared" si="7"/>
        <v>0</v>
      </c>
      <c r="Q42" s="92">
        <f t="shared" si="7"/>
        <v>0</v>
      </c>
      <c r="R42" s="92">
        <f t="shared" si="7"/>
        <v>0</v>
      </c>
      <c r="S42" s="92">
        <f t="shared" si="7"/>
        <v>1</v>
      </c>
      <c r="T42" s="92">
        <f t="shared" si="7"/>
        <v>0</v>
      </c>
      <c r="U42" s="92">
        <f t="shared" si="7"/>
        <v>0</v>
      </c>
      <c r="V42" s="92">
        <f t="shared" si="7"/>
        <v>0</v>
      </c>
      <c r="W42" s="92">
        <f t="shared" si="7"/>
        <v>2</v>
      </c>
      <c r="X42" s="92">
        <f t="shared" si="7"/>
        <v>0</v>
      </c>
      <c r="Y42" s="92">
        <f t="shared" si="7"/>
        <v>0</v>
      </c>
      <c r="Z42" s="92">
        <f t="shared" si="7"/>
        <v>0</v>
      </c>
      <c r="AA42" s="92">
        <f t="shared" si="7"/>
        <v>0</v>
      </c>
      <c r="AB42" s="92">
        <f t="shared" si="7"/>
        <v>0</v>
      </c>
      <c r="AC42" s="92">
        <f t="shared" si="7"/>
        <v>0</v>
      </c>
      <c r="AD42" s="92">
        <f t="shared" si="7"/>
        <v>0</v>
      </c>
      <c r="AE42" s="101">
        <f t="shared" si="9"/>
        <v>13</v>
      </c>
      <c r="AF42" s="114">
        <f t="shared" ref="AF42:AF51" si="10">AE42/$AE$52</f>
        <v>1.0690789473684211E-2</v>
      </c>
      <c r="AG42" s="104">
        <f>276/7582</f>
        <v>3.6402004748087573E-2</v>
      </c>
    </row>
    <row r="43" spans="1:33" x14ac:dyDescent="0.4">
      <c r="A43" s="99" t="str">
        <f t="shared" si="8"/>
        <v>PINTAIL</v>
      </c>
      <c r="B43" s="99"/>
      <c r="C43" s="92">
        <f t="shared" si="7"/>
        <v>5</v>
      </c>
      <c r="D43" s="92">
        <f t="shared" si="7"/>
        <v>3</v>
      </c>
      <c r="E43" s="92">
        <f t="shared" si="7"/>
        <v>2</v>
      </c>
      <c r="F43" s="92">
        <f t="shared" si="7"/>
        <v>5</v>
      </c>
      <c r="G43" s="92">
        <f t="shared" si="7"/>
        <v>0</v>
      </c>
      <c r="H43" s="92">
        <f t="shared" si="7"/>
        <v>6</v>
      </c>
      <c r="I43" s="92">
        <f t="shared" si="7"/>
        <v>9</v>
      </c>
      <c r="J43" s="92">
        <f t="shared" si="7"/>
        <v>0</v>
      </c>
      <c r="K43" s="92">
        <f t="shared" si="7"/>
        <v>2</v>
      </c>
      <c r="L43" s="92">
        <f t="shared" si="7"/>
        <v>0</v>
      </c>
      <c r="M43" s="92">
        <f t="shared" si="7"/>
        <v>5</v>
      </c>
      <c r="N43" s="92">
        <f t="shared" si="7"/>
        <v>3</v>
      </c>
      <c r="O43" s="92">
        <f t="shared" si="7"/>
        <v>1</v>
      </c>
      <c r="P43" s="92">
        <f t="shared" si="7"/>
        <v>0</v>
      </c>
      <c r="Q43" s="92">
        <f t="shared" si="7"/>
        <v>0</v>
      </c>
      <c r="R43" s="92">
        <f t="shared" si="7"/>
        <v>6</v>
      </c>
      <c r="S43" s="92">
        <f t="shared" si="7"/>
        <v>0</v>
      </c>
      <c r="T43" s="92">
        <f t="shared" si="7"/>
        <v>0</v>
      </c>
      <c r="U43" s="92">
        <f t="shared" si="7"/>
        <v>0</v>
      </c>
      <c r="V43" s="92">
        <f t="shared" si="7"/>
        <v>2</v>
      </c>
      <c r="W43" s="92">
        <f t="shared" si="7"/>
        <v>3</v>
      </c>
      <c r="X43" s="92">
        <f t="shared" si="7"/>
        <v>0</v>
      </c>
      <c r="Y43" s="92">
        <f t="shared" si="7"/>
        <v>0</v>
      </c>
      <c r="Z43" s="92">
        <f t="shared" si="7"/>
        <v>2</v>
      </c>
      <c r="AA43" s="92">
        <f t="shared" si="7"/>
        <v>0</v>
      </c>
      <c r="AB43" s="92">
        <f t="shared" si="7"/>
        <v>8</v>
      </c>
      <c r="AC43" s="92">
        <f t="shared" si="7"/>
        <v>0</v>
      </c>
      <c r="AD43" s="92">
        <f t="shared" si="7"/>
        <v>3</v>
      </c>
      <c r="AE43" s="101">
        <f t="shared" si="9"/>
        <v>65</v>
      </c>
      <c r="AF43" s="114">
        <f t="shared" si="10"/>
        <v>5.3453947368421052E-2</v>
      </c>
      <c r="AG43" s="104">
        <f>474/7582</f>
        <v>6.2516486415193875E-2</v>
      </c>
    </row>
    <row r="44" spans="1:33" x14ac:dyDescent="0.4">
      <c r="A44" s="99" t="str">
        <f t="shared" si="8"/>
        <v>REDHEAD</v>
      </c>
      <c r="B44" s="99"/>
      <c r="C44" s="92">
        <f t="shared" si="7"/>
        <v>0</v>
      </c>
      <c r="D44" s="92">
        <f t="shared" si="7"/>
        <v>0</v>
      </c>
      <c r="E44" s="92">
        <f t="shared" si="7"/>
        <v>1</v>
      </c>
      <c r="F44" s="92">
        <f t="shared" si="7"/>
        <v>0</v>
      </c>
      <c r="G44" s="92">
        <f t="shared" si="7"/>
        <v>0</v>
      </c>
      <c r="H44" s="92">
        <f t="shared" si="7"/>
        <v>0</v>
      </c>
      <c r="I44" s="92">
        <f t="shared" si="7"/>
        <v>3</v>
      </c>
      <c r="J44" s="92">
        <f t="shared" si="7"/>
        <v>0</v>
      </c>
      <c r="K44" s="92">
        <f t="shared" si="7"/>
        <v>0</v>
      </c>
      <c r="L44" s="92">
        <f t="shared" si="7"/>
        <v>0</v>
      </c>
      <c r="M44" s="92">
        <f t="shared" si="7"/>
        <v>0</v>
      </c>
      <c r="N44" s="92">
        <f t="shared" si="7"/>
        <v>0</v>
      </c>
      <c r="O44" s="92">
        <f t="shared" si="7"/>
        <v>0</v>
      </c>
      <c r="P44" s="92">
        <f t="shared" si="7"/>
        <v>0</v>
      </c>
      <c r="Q44" s="92">
        <f t="shared" si="7"/>
        <v>0</v>
      </c>
      <c r="R44" s="92">
        <f t="shared" si="7"/>
        <v>0</v>
      </c>
      <c r="S44" s="92">
        <f t="shared" si="7"/>
        <v>0</v>
      </c>
      <c r="T44" s="92">
        <f t="shared" si="7"/>
        <v>0</v>
      </c>
      <c r="U44" s="92">
        <f t="shared" si="7"/>
        <v>0</v>
      </c>
      <c r="V44" s="92">
        <f t="shared" si="7"/>
        <v>0</v>
      </c>
      <c r="W44" s="92">
        <f t="shared" si="7"/>
        <v>0</v>
      </c>
      <c r="X44" s="92">
        <f t="shared" si="7"/>
        <v>0</v>
      </c>
      <c r="Y44" s="92">
        <f t="shared" si="7"/>
        <v>0</v>
      </c>
      <c r="Z44" s="92">
        <f t="shared" si="7"/>
        <v>0</v>
      </c>
      <c r="AA44" s="92">
        <f t="shared" si="7"/>
        <v>2</v>
      </c>
      <c r="AB44" s="92">
        <f t="shared" si="7"/>
        <v>1</v>
      </c>
      <c r="AC44" s="92">
        <f t="shared" si="7"/>
        <v>0</v>
      </c>
      <c r="AD44" s="92">
        <f t="shared" si="7"/>
        <v>0</v>
      </c>
      <c r="AE44" s="101">
        <f t="shared" si="9"/>
        <v>7</v>
      </c>
      <c r="AF44" s="114">
        <f t="shared" si="10"/>
        <v>5.7565789473684207E-3</v>
      </c>
      <c r="AG44" s="104">
        <f>601/7582</f>
        <v>7.9266684252176201E-2</v>
      </c>
    </row>
    <row r="45" spans="1:33" x14ac:dyDescent="0.4">
      <c r="A45" s="99" t="str">
        <f t="shared" si="8"/>
        <v>WOODY</v>
      </c>
      <c r="B45" s="99"/>
      <c r="C45" s="92">
        <f t="shared" si="7"/>
        <v>0</v>
      </c>
      <c r="D45" s="92">
        <f t="shared" si="7"/>
        <v>0</v>
      </c>
      <c r="E45" s="92">
        <f t="shared" si="7"/>
        <v>0</v>
      </c>
      <c r="F45" s="92">
        <f t="shared" si="7"/>
        <v>0</v>
      </c>
      <c r="G45" s="92">
        <f t="shared" si="7"/>
        <v>0</v>
      </c>
      <c r="H45" s="92">
        <f t="shared" si="7"/>
        <v>0</v>
      </c>
      <c r="I45" s="92">
        <f t="shared" si="7"/>
        <v>0</v>
      </c>
      <c r="J45" s="92">
        <f t="shared" si="7"/>
        <v>0</v>
      </c>
      <c r="K45" s="92">
        <f t="shared" si="7"/>
        <v>0</v>
      </c>
      <c r="L45" s="92">
        <f t="shared" si="7"/>
        <v>0</v>
      </c>
      <c r="M45" s="92">
        <f t="shared" si="7"/>
        <v>1</v>
      </c>
      <c r="N45" s="92">
        <f t="shared" si="7"/>
        <v>0</v>
      </c>
      <c r="O45" s="92">
        <f t="shared" si="7"/>
        <v>0</v>
      </c>
      <c r="P45" s="92">
        <f t="shared" si="7"/>
        <v>0</v>
      </c>
      <c r="Q45" s="92">
        <f t="shared" si="7"/>
        <v>0</v>
      </c>
      <c r="R45" s="92">
        <f t="shared" si="7"/>
        <v>0</v>
      </c>
      <c r="S45" s="92">
        <f t="shared" si="7"/>
        <v>0</v>
      </c>
      <c r="T45" s="92">
        <f t="shared" si="7"/>
        <v>0</v>
      </c>
      <c r="U45" s="92">
        <f t="shared" si="7"/>
        <v>0</v>
      </c>
      <c r="V45" s="92">
        <f t="shared" si="7"/>
        <v>0</v>
      </c>
      <c r="W45" s="92">
        <f t="shared" si="7"/>
        <v>0</v>
      </c>
      <c r="X45" s="92">
        <f t="shared" si="7"/>
        <v>0</v>
      </c>
      <c r="Y45" s="92">
        <f t="shared" si="7"/>
        <v>0</v>
      </c>
      <c r="Z45" s="92">
        <f t="shared" si="7"/>
        <v>0</v>
      </c>
      <c r="AA45" s="92">
        <f t="shared" si="7"/>
        <v>0</v>
      </c>
      <c r="AB45" s="92">
        <f t="shared" si="7"/>
        <v>0</v>
      </c>
      <c r="AC45" s="92">
        <f t="shared" si="7"/>
        <v>0</v>
      </c>
      <c r="AD45" s="92">
        <f t="shared" si="7"/>
        <v>0</v>
      </c>
      <c r="AE45" s="101">
        <f t="shared" si="9"/>
        <v>1</v>
      </c>
      <c r="AF45" s="114">
        <f t="shared" si="10"/>
        <v>8.2236842105263153E-4</v>
      </c>
      <c r="AG45" s="104">
        <f>6/7582</f>
        <v>7.9134792930625161E-4</v>
      </c>
    </row>
    <row r="46" spans="1:33" x14ac:dyDescent="0.4">
      <c r="A46" s="99" t="str">
        <f t="shared" si="8"/>
        <v>B'HEAD</v>
      </c>
      <c r="B46" s="99"/>
      <c r="C46" s="92">
        <f t="shared" si="7"/>
        <v>0</v>
      </c>
      <c r="D46" s="92">
        <f t="shared" si="7"/>
        <v>0</v>
      </c>
      <c r="E46" s="92">
        <f t="shared" si="7"/>
        <v>0</v>
      </c>
      <c r="F46" s="92">
        <f t="shared" si="7"/>
        <v>0</v>
      </c>
      <c r="G46" s="92">
        <f t="shared" si="7"/>
        <v>1</v>
      </c>
      <c r="H46" s="92">
        <f t="shared" si="7"/>
        <v>2</v>
      </c>
      <c r="I46" s="92">
        <f t="shared" si="7"/>
        <v>2</v>
      </c>
      <c r="J46" s="92">
        <f t="shared" si="7"/>
        <v>0</v>
      </c>
      <c r="K46" s="92">
        <f t="shared" si="7"/>
        <v>0</v>
      </c>
      <c r="L46" s="92">
        <f t="shared" si="7"/>
        <v>1</v>
      </c>
      <c r="M46" s="92">
        <f t="shared" si="7"/>
        <v>1</v>
      </c>
      <c r="N46" s="92">
        <f t="shared" si="7"/>
        <v>0</v>
      </c>
      <c r="O46" s="92">
        <f t="shared" si="7"/>
        <v>0</v>
      </c>
      <c r="P46" s="92">
        <f t="shared" si="7"/>
        <v>0</v>
      </c>
      <c r="Q46" s="92">
        <f t="shared" si="7"/>
        <v>0</v>
      </c>
      <c r="R46" s="92">
        <f t="shared" si="7"/>
        <v>2</v>
      </c>
      <c r="S46" s="92">
        <f t="shared" si="7"/>
        <v>0</v>
      </c>
      <c r="T46" s="92">
        <f t="shared" si="7"/>
        <v>0</v>
      </c>
      <c r="U46" s="92">
        <f t="shared" si="7"/>
        <v>0</v>
      </c>
      <c r="V46" s="92">
        <f t="shared" si="7"/>
        <v>0</v>
      </c>
      <c r="W46" s="92">
        <f t="shared" si="7"/>
        <v>0</v>
      </c>
      <c r="X46" s="92">
        <f t="shared" si="7"/>
        <v>0</v>
      </c>
      <c r="Y46" s="92">
        <f t="shared" si="7"/>
        <v>0</v>
      </c>
      <c r="Z46" s="92">
        <f t="shared" si="7"/>
        <v>1</v>
      </c>
      <c r="AA46" s="92">
        <f t="shared" si="7"/>
        <v>0</v>
      </c>
      <c r="AB46" s="92">
        <f t="shared" si="7"/>
        <v>0</v>
      </c>
      <c r="AC46" s="92">
        <f t="shared" si="7"/>
        <v>0</v>
      </c>
      <c r="AD46" s="92">
        <f t="shared" si="7"/>
        <v>1</v>
      </c>
      <c r="AE46" s="101">
        <f t="shared" si="9"/>
        <v>11</v>
      </c>
      <c r="AF46" s="114">
        <f t="shared" si="10"/>
        <v>9.0460526315789477E-3</v>
      </c>
      <c r="AG46" s="104">
        <f>160/7582</f>
        <v>2.1102611448166712E-2</v>
      </c>
    </row>
    <row r="47" spans="1:33" x14ac:dyDescent="0.4">
      <c r="A47" s="99" t="str">
        <f t="shared" si="8"/>
        <v>SPOONY</v>
      </c>
      <c r="B47" s="99"/>
      <c r="C47" s="92">
        <f t="shared" si="7"/>
        <v>19</v>
      </c>
      <c r="D47" s="92">
        <f t="shared" si="7"/>
        <v>28</v>
      </c>
      <c r="E47" s="92">
        <f t="shared" si="7"/>
        <v>16</v>
      </c>
      <c r="F47" s="92">
        <f t="shared" ref="C47:AD51" si="11">F12+F29</f>
        <v>24</v>
      </c>
      <c r="G47" s="92">
        <f t="shared" si="11"/>
        <v>14</v>
      </c>
      <c r="H47" s="92">
        <f t="shared" si="11"/>
        <v>49</v>
      </c>
      <c r="I47" s="92">
        <f t="shared" si="11"/>
        <v>23</v>
      </c>
      <c r="J47" s="92">
        <f t="shared" si="11"/>
        <v>16</v>
      </c>
      <c r="K47" s="92">
        <f t="shared" si="11"/>
        <v>9</v>
      </c>
      <c r="L47" s="92">
        <f t="shared" si="11"/>
        <v>6</v>
      </c>
      <c r="M47" s="92">
        <f t="shared" si="11"/>
        <v>45</v>
      </c>
      <c r="N47" s="92">
        <f t="shared" si="11"/>
        <v>12</v>
      </c>
      <c r="O47" s="92">
        <f t="shared" si="11"/>
        <v>9</v>
      </c>
      <c r="P47" s="92">
        <f t="shared" si="11"/>
        <v>1</v>
      </c>
      <c r="Q47" s="92">
        <f t="shared" si="11"/>
        <v>0</v>
      </c>
      <c r="R47" s="92">
        <f t="shared" si="11"/>
        <v>14</v>
      </c>
      <c r="S47" s="92">
        <f t="shared" si="11"/>
        <v>14</v>
      </c>
      <c r="T47" s="92">
        <f t="shared" si="11"/>
        <v>0</v>
      </c>
      <c r="U47" s="92">
        <f t="shared" si="11"/>
        <v>0</v>
      </c>
      <c r="V47" s="92">
        <f t="shared" si="11"/>
        <v>22</v>
      </c>
      <c r="W47" s="92">
        <f t="shared" si="11"/>
        <v>41</v>
      </c>
      <c r="X47" s="92">
        <f t="shared" si="11"/>
        <v>0</v>
      </c>
      <c r="Y47" s="92">
        <f t="shared" si="11"/>
        <v>0</v>
      </c>
      <c r="Z47" s="92">
        <f t="shared" si="11"/>
        <v>0</v>
      </c>
      <c r="AA47" s="92">
        <f t="shared" si="11"/>
        <v>0</v>
      </c>
      <c r="AB47" s="92">
        <f t="shared" si="11"/>
        <v>29</v>
      </c>
      <c r="AC47" s="92">
        <f t="shared" si="11"/>
        <v>1</v>
      </c>
      <c r="AD47" s="92">
        <f t="shared" si="11"/>
        <v>7</v>
      </c>
      <c r="AE47" s="101">
        <f t="shared" si="9"/>
        <v>399</v>
      </c>
      <c r="AF47" s="114">
        <f>AE47/$AE$52</f>
        <v>0.328125</v>
      </c>
      <c r="AG47" s="104">
        <f>1773/7582</f>
        <v>0.23384331310999737</v>
      </c>
    </row>
    <row r="48" spans="1:33" x14ac:dyDescent="0.4">
      <c r="A48" s="99" t="str">
        <f t="shared" si="8"/>
        <v>TEAL</v>
      </c>
      <c r="B48" s="99"/>
      <c r="C48" s="92">
        <f t="shared" si="11"/>
        <v>34</v>
      </c>
      <c r="D48" s="92">
        <f t="shared" si="11"/>
        <v>14</v>
      </c>
      <c r="E48" s="92">
        <f t="shared" si="11"/>
        <v>20</v>
      </c>
      <c r="F48" s="92">
        <f t="shared" si="11"/>
        <v>60</v>
      </c>
      <c r="G48" s="92">
        <f t="shared" si="11"/>
        <v>10</v>
      </c>
      <c r="H48" s="92">
        <f t="shared" si="11"/>
        <v>39</v>
      </c>
      <c r="I48" s="92">
        <f t="shared" si="11"/>
        <v>44</v>
      </c>
      <c r="J48" s="92">
        <f t="shared" si="11"/>
        <v>9</v>
      </c>
      <c r="K48" s="92">
        <f t="shared" si="11"/>
        <v>12</v>
      </c>
      <c r="L48" s="92">
        <f t="shared" si="11"/>
        <v>6</v>
      </c>
      <c r="M48" s="92">
        <f t="shared" si="11"/>
        <v>60</v>
      </c>
      <c r="N48" s="92">
        <f t="shared" si="11"/>
        <v>11</v>
      </c>
      <c r="O48" s="92">
        <f t="shared" si="11"/>
        <v>18</v>
      </c>
      <c r="P48" s="92">
        <f t="shared" si="11"/>
        <v>2</v>
      </c>
      <c r="Q48" s="92">
        <f t="shared" si="11"/>
        <v>0</v>
      </c>
      <c r="R48" s="92">
        <f t="shared" si="11"/>
        <v>29</v>
      </c>
      <c r="S48" s="92">
        <f t="shared" si="11"/>
        <v>6</v>
      </c>
      <c r="T48" s="92">
        <f t="shared" si="11"/>
        <v>0</v>
      </c>
      <c r="U48" s="92">
        <f t="shared" si="11"/>
        <v>0</v>
      </c>
      <c r="V48" s="92">
        <f t="shared" si="11"/>
        <v>12</v>
      </c>
      <c r="W48" s="92">
        <f t="shared" si="11"/>
        <v>52</v>
      </c>
      <c r="X48" s="92">
        <f t="shared" si="11"/>
        <v>2</v>
      </c>
      <c r="Y48" s="92">
        <f t="shared" si="11"/>
        <v>2</v>
      </c>
      <c r="Z48" s="92">
        <f t="shared" si="11"/>
        <v>5</v>
      </c>
      <c r="AA48" s="92">
        <f t="shared" si="11"/>
        <v>26</v>
      </c>
      <c r="AB48" s="92">
        <f t="shared" si="11"/>
        <v>47</v>
      </c>
      <c r="AC48" s="92">
        <f t="shared" si="11"/>
        <v>3</v>
      </c>
      <c r="AD48" s="92">
        <f t="shared" si="11"/>
        <v>31</v>
      </c>
      <c r="AE48" s="101">
        <f t="shared" si="9"/>
        <v>554</v>
      </c>
      <c r="AF48" s="114">
        <f t="shared" si="10"/>
        <v>0.45559210526315791</v>
      </c>
      <c r="AG48" s="104">
        <f>(1535+773+5)/7582</f>
        <v>0.30506462674756002</v>
      </c>
    </row>
    <row r="49" spans="1:33" x14ac:dyDescent="0.4">
      <c r="A49" s="99" t="str">
        <f t="shared" si="8"/>
        <v>WIDGEON</v>
      </c>
      <c r="B49" s="99"/>
      <c r="C49" s="92">
        <f t="shared" si="11"/>
        <v>4</v>
      </c>
      <c r="D49" s="92">
        <f t="shared" si="11"/>
        <v>8</v>
      </c>
      <c r="E49" s="92">
        <f t="shared" si="11"/>
        <v>5</v>
      </c>
      <c r="F49" s="92">
        <f t="shared" si="11"/>
        <v>7</v>
      </c>
      <c r="G49" s="92">
        <f t="shared" si="11"/>
        <v>0</v>
      </c>
      <c r="H49" s="92">
        <f t="shared" si="11"/>
        <v>6</v>
      </c>
      <c r="I49" s="92">
        <f t="shared" si="11"/>
        <v>10</v>
      </c>
      <c r="J49" s="92">
        <f t="shared" si="11"/>
        <v>3</v>
      </c>
      <c r="K49" s="92">
        <f t="shared" si="11"/>
        <v>1</v>
      </c>
      <c r="L49" s="92">
        <f t="shared" si="11"/>
        <v>1</v>
      </c>
      <c r="M49" s="92">
        <f t="shared" si="11"/>
        <v>8</v>
      </c>
      <c r="N49" s="92">
        <f t="shared" si="11"/>
        <v>1</v>
      </c>
      <c r="O49" s="92">
        <f t="shared" si="11"/>
        <v>6</v>
      </c>
      <c r="P49" s="92">
        <f t="shared" si="11"/>
        <v>1</v>
      </c>
      <c r="Q49" s="92">
        <f t="shared" si="11"/>
        <v>0</v>
      </c>
      <c r="R49" s="92">
        <f t="shared" si="11"/>
        <v>9</v>
      </c>
      <c r="S49" s="92">
        <f t="shared" si="11"/>
        <v>5</v>
      </c>
      <c r="T49" s="92">
        <f t="shared" si="11"/>
        <v>0</v>
      </c>
      <c r="U49" s="92">
        <f t="shared" si="11"/>
        <v>0</v>
      </c>
      <c r="V49" s="92">
        <f t="shared" si="11"/>
        <v>7</v>
      </c>
      <c r="W49" s="92">
        <f t="shared" si="11"/>
        <v>34</v>
      </c>
      <c r="X49" s="92">
        <f t="shared" si="11"/>
        <v>0</v>
      </c>
      <c r="Y49" s="92">
        <f t="shared" si="11"/>
        <v>1</v>
      </c>
      <c r="Z49" s="92">
        <f t="shared" si="11"/>
        <v>0</v>
      </c>
      <c r="AA49" s="92">
        <f t="shared" si="11"/>
        <v>1</v>
      </c>
      <c r="AB49" s="92">
        <f t="shared" si="11"/>
        <v>15</v>
      </c>
      <c r="AC49" s="92">
        <f t="shared" si="11"/>
        <v>1</v>
      </c>
      <c r="AD49" s="92">
        <f t="shared" si="11"/>
        <v>3</v>
      </c>
      <c r="AE49" s="101">
        <f t="shared" si="9"/>
        <v>137</v>
      </c>
      <c r="AF49" s="114">
        <f t="shared" si="10"/>
        <v>0.11266447368421052</v>
      </c>
      <c r="AG49" s="104">
        <f>467/7582</f>
        <v>6.159324716433659E-2</v>
      </c>
    </row>
    <row r="50" spans="1:33" x14ac:dyDescent="0.4">
      <c r="A50" s="99" t="str">
        <f t="shared" si="8"/>
        <v>SCAUP</v>
      </c>
      <c r="B50" s="99"/>
      <c r="C50" s="92">
        <f t="shared" si="11"/>
        <v>0</v>
      </c>
      <c r="D50" s="92">
        <f t="shared" si="11"/>
        <v>0</v>
      </c>
      <c r="E50" s="92">
        <f t="shared" si="11"/>
        <v>0</v>
      </c>
      <c r="F50" s="92">
        <f t="shared" si="11"/>
        <v>0</v>
      </c>
      <c r="G50" s="92">
        <f t="shared" si="11"/>
        <v>0</v>
      </c>
      <c r="H50" s="92">
        <f t="shared" si="11"/>
        <v>0</v>
      </c>
      <c r="I50" s="92">
        <f t="shared" si="11"/>
        <v>0</v>
      </c>
      <c r="J50" s="92">
        <f t="shared" si="11"/>
        <v>0</v>
      </c>
      <c r="K50" s="92">
        <f t="shared" si="11"/>
        <v>0</v>
      </c>
      <c r="L50" s="92">
        <f t="shared" si="11"/>
        <v>0</v>
      </c>
      <c r="M50" s="92">
        <f t="shared" si="11"/>
        <v>0</v>
      </c>
      <c r="N50" s="92">
        <f t="shared" si="11"/>
        <v>0</v>
      </c>
      <c r="O50" s="92">
        <f t="shared" si="11"/>
        <v>0</v>
      </c>
      <c r="P50" s="92">
        <f t="shared" si="11"/>
        <v>0</v>
      </c>
      <c r="Q50" s="92">
        <f t="shared" si="11"/>
        <v>0</v>
      </c>
      <c r="R50" s="92">
        <f t="shared" si="11"/>
        <v>0</v>
      </c>
      <c r="S50" s="92">
        <f t="shared" si="11"/>
        <v>0</v>
      </c>
      <c r="T50" s="92">
        <f t="shared" si="11"/>
        <v>0</v>
      </c>
      <c r="U50" s="92">
        <f t="shared" si="11"/>
        <v>0</v>
      </c>
      <c r="V50" s="92">
        <f t="shared" si="11"/>
        <v>0</v>
      </c>
      <c r="W50" s="92">
        <f t="shared" si="11"/>
        <v>0</v>
      </c>
      <c r="X50" s="92">
        <f>X15+X32</f>
        <v>0</v>
      </c>
      <c r="Y50" s="92">
        <f>Y15+Y32</f>
        <v>0</v>
      </c>
      <c r="Z50" s="92">
        <f t="shared" si="11"/>
        <v>0</v>
      </c>
      <c r="AA50" s="92">
        <f t="shared" si="11"/>
        <v>0</v>
      </c>
      <c r="AB50" s="92">
        <f t="shared" si="11"/>
        <v>0</v>
      </c>
      <c r="AC50" s="92">
        <f t="shared" si="11"/>
        <v>0</v>
      </c>
      <c r="AD50" s="92">
        <f t="shared" si="11"/>
        <v>0</v>
      </c>
      <c r="AE50" s="101">
        <f t="shared" si="9"/>
        <v>0</v>
      </c>
      <c r="AF50" s="114">
        <f t="shared" si="10"/>
        <v>0</v>
      </c>
      <c r="AG50" s="104">
        <f>6/7582</f>
        <v>7.9134792930625161E-4</v>
      </c>
    </row>
    <row r="51" spans="1:33" ht="13" thickBot="1" x14ac:dyDescent="0.45">
      <c r="A51" s="99" t="str">
        <f>A33</f>
        <v>MISC</v>
      </c>
      <c r="B51" s="99"/>
      <c r="C51" s="93">
        <f t="shared" si="11"/>
        <v>0</v>
      </c>
      <c r="D51" s="93">
        <f t="shared" si="11"/>
        <v>0</v>
      </c>
      <c r="E51" s="93">
        <f t="shared" si="11"/>
        <v>0</v>
      </c>
      <c r="F51" s="93">
        <f t="shared" si="11"/>
        <v>0</v>
      </c>
      <c r="G51" s="93">
        <f t="shared" si="11"/>
        <v>0</v>
      </c>
      <c r="H51" s="93">
        <f t="shared" si="11"/>
        <v>4</v>
      </c>
      <c r="I51" s="93">
        <f t="shared" si="11"/>
        <v>2</v>
      </c>
      <c r="J51" s="93">
        <f t="shared" si="11"/>
        <v>0</v>
      </c>
      <c r="K51" s="93">
        <f t="shared" si="11"/>
        <v>0</v>
      </c>
      <c r="L51" s="93">
        <f t="shared" si="11"/>
        <v>0</v>
      </c>
      <c r="M51" s="93">
        <f t="shared" si="11"/>
        <v>1</v>
      </c>
      <c r="N51" s="93">
        <f t="shared" si="11"/>
        <v>0</v>
      </c>
      <c r="O51" s="93">
        <f t="shared" si="11"/>
        <v>0</v>
      </c>
      <c r="P51" s="93">
        <f t="shared" si="11"/>
        <v>0</v>
      </c>
      <c r="Q51" s="93">
        <f t="shared" si="11"/>
        <v>0</v>
      </c>
      <c r="R51" s="93">
        <f t="shared" si="11"/>
        <v>0</v>
      </c>
      <c r="S51" s="93">
        <f t="shared" si="11"/>
        <v>0</v>
      </c>
      <c r="T51" s="93">
        <f t="shared" si="11"/>
        <v>0</v>
      </c>
      <c r="U51" s="93">
        <f t="shared" si="11"/>
        <v>0</v>
      </c>
      <c r="V51" s="93">
        <f>V16+V33</f>
        <v>0</v>
      </c>
      <c r="W51" s="93">
        <f>W16+W33</f>
        <v>0</v>
      </c>
      <c r="X51" s="93">
        <f>X16+X33</f>
        <v>0</v>
      </c>
      <c r="Y51" s="93">
        <f>Y16+Y33</f>
        <v>0</v>
      </c>
      <c r="Z51" s="93">
        <f t="shared" si="11"/>
        <v>0</v>
      </c>
      <c r="AA51" s="93">
        <f t="shared" si="11"/>
        <v>0</v>
      </c>
      <c r="AB51" s="93">
        <f t="shared" si="11"/>
        <v>0</v>
      </c>
      <c r="AC51" s="93">
        <f t="shared" si="11"/>
        <v>0</v>
      </c>
      <c r="AD51" s="93">
        <f t="shared" si="11"/>
        <v>1</v>
      </c>
      <c r="AE51" s="102">
        <f t="shared" si="9"/>
        <v>8</v>
      </c>
      <c r="AF51" s="115">
        <f t="shared" si="10"/>
        <v>6.5789473684210523E-3</v>
      </c>
      <c r="AG51" s="105">
        <f>69/7582</f>
        <v>9.1005011870218932E-3</v>
      </c>
    </row>
    <row r="52" spans="1:33" x14ac:dyDescent="0.4">
      <c r="A52" s="99" t="s">
        <v>25</v>
      </c>
      <c r="B52" s="99"/>
      <c r="C52" s="92">
        <f>0+SUM(C38:C51)</f>
        <v>67</v>
      </c>
      <c r="D52" s="92">
        <f t="shared" ref="D52:U52" si="12">0+SUM(D38:D51)</f>
        <v>53</v>
      </c>
      <c r="E52" s="92">
        <f t="shared" si="12"/>
        <v>44</v>
      </c>
      <c r="F52" s="92">
        <f t="shared" si="12"/>
        <v>99</v>
      </c>
      <c r="G52" s="92">
        <f t="shared" si="12"/>
        <v>27</v>
      </c>
      <c r="H52" s="92">
        <f t="shared" si="12"/>
        <v>109</v>
      </c>
      <c r="I52" s="92">
        <f t="shared" si="12"/>
        <v>102</v>
      </c>
      <c r="J52" s="92">
        <f t="shared" si="12"/>
        <v>28</v>
      </c>
      <c r="K52" s="92">
        <f t="shared" si="12"/>
        <v>25</v>
      </c>
      <c r="L52" s="92">
        <f t="shared" si="12"/>
        <v>14</v>
      </c>
      <c r="M52" s="92">
        <f t="shared" si="12"/>
        <v>122</v>
      </c>
      <c r="N52" s="92">
        <f t="shared" si="12"/>
        <v>27</v>
      </c>
      <c r="O52" s="92">
        <f t="shared" si="12"/>
        <v>34</v>
      </c>
      <c r="P52" s="92">
        <f t="shared" si="12"/>
        <v>4</v>
      </c>
      <c r="Q52" s="92">
        <f t="shared" si="12"/>
        <v>0</v>
      </c>
      <c r="R52" s="92">
        <f t="shared" si="12"/>
        <v>61</v>
      </c>
      <c r="S52" s="92">
        <f t="shared" si="12"/>
        <v>27</v>
      </c>
      <c r="T52" s="92">
        <f t="shared" si="12"/>
        <v>0</v>
      </c>
      <c r="U52" s="92">
        <f t="shared" si="12"/>
        <v>0</v>
      </c>
      <c r="V52" s="92">
        <f>0+SUM(V38:V51)</f>
        <v>43</v>
      </c>
      <c r="W52" s="92">
        <f>0+SUM(W38:W51)</f>
        <v>135</v>
      </c>
      <c r="X52" s="92">
        <f>SUM(X17,X34)</f>
        <v>2</v>
      </c>
      <c r="Y52" s="92">
        <f t="shared" ref="Y52:AD52" si="13">0+SUM(Y38:Y51)</f>
        <v>3</v>
      </c>
      <c r="Z52" s="92">
        <f t="shared" si="13"/>
        <v>8</v>
      </c>
      <c r="AA52" s="92">
        <f t="shared" si="13"/>
        <v>29</v>
      </c>
      <c r="AB52" s="92">
        <f t="shared" si="13"/>
        <v>101</v>
      </c>
      <c r="AC52" s="92">
        <f t="shared" si="13"/>
        <v>5</v>
      </c>
      <c r="AD52" s="92">
        <f t="shared" si="13"/>
        <v>47</v>
      </c>
      <c r="AE52" s="99">
        <f>SUM(AE38:AE51)</f>
        <v>1216</v>
      </c>
      <c r="AF52" s="106"/>
      <c r="AG52" s="106"/>
    </row>
    <row r="53" spans="1:33" x14ac:dyDescent="0.4">
      <c r="A53" s="99" t="s">
        <v>48</v>
      </c>
      <c r="B53" s="99"/>
      <c r="C53" s="107">
        <f t="shared" ref="C53:AD53" si="14">C52/$AE$52</f>
        <v>5.5098684210526314E-2</v>
      </c>
      <c r="D53" s="107">
        <f t="shared" si="14"/>
        <v>4.358552631578947E-2</v>
      </c>
      <c r="E53" s="107">
        <f t="shared" si="14"/>
        <v>3.6184210526315791E-2</v>
      </c>
      <c r="F53" s="107">
        <f t="shared" si="14"/>
        <v>8.1414473684210523E-2</v>
      </c>
      <c r="G53" s="107">
        <f t="shared" si="14"/>
        <v>2.2203947368421052E-2</v>
      </c>
      <c r="H53" s="107">
        <f t="shared" si="14"/>
        <v>8.9638157894736836E-2</v>
      </c>
      <c r="I53" s="107">
        <f t="shared" si="14"/>
        <v>8.3881578947368418E-2</v>
      </c>
      <c r="J53" s="107">
        <f t="shared" si="14"/>
        <v>2.3026315789473683E-2</v>
      </c>
      <c r="K53" s="107">
        <f t="shared" si="14"/>
        <v>2.0559210526315791E-2</v>
      </c>
      <c r="L53" s="107">
        <f t="shared" si="14"/>
        <v>1.1513157894736841E-2</v>
      </c>
      <c r="M53" s="107">
        <f t="shared" si="14"/>
        <v>0.10032894736842106</v>
      </c>
      <c r="N53" s="107">
        <f t="shared" si="14"/>
        <v>2.2203947368421052E-2</v>
      </c>
      <c r="O53" s="107">
        <f t="shared" si="14"/>
        <v>2.7960526315789474E-2</v>
      </c>
      <c r="P53" s="107">
        <f t="shared" si="14"/>
        <v>3.2894736842105261E-3</v>
      </c>
      <c r="Q53" s="107">
        <f t="shared" si="14"/>
        <v>0</v>
      </c>
      <c r="R53" s="107">
        <f t="shared" si="14"/>
        <v>5.016447368421053E-2</v>
      </c>
      <c r="S53" s="107">
        <f t="shared" si="14"/>
        <v>2.2203947368421052E-2</v>
      </c>
      <c r="T53" s="107">
        <f t="shared" si="14"/>
        <v>0</v>
      </c>
      <c r="U53" s="107">
        <f t="shared" si="14"/>
        <v>0</v>
      </c>
      <c r="V53" s="107">
        <f t="shared" si="14"/>
        <v>3.5361842105263157E-2</v>
      </c>
      <c r="W53" s="107">
        <f t="shared" si="14"/>
        <v>0.11101973684210527</v>
      </c>
      <c r="X53" s="107">
        <f t="shared" si="14"/>
        <v>1.6447368421052631E-3</v>
      </c>
      <c r="Y53" s="107">
        <f t="shared" si="14"/>
        <v>2.4671052631578946E-3</v>
      </c>
      <c r="Z53" s="107">
        <f t="shared" si="14"/>
        <v>6.5789473684210523E-3</v>
      </c>
      <c r="AA53" s="107">
        <f t="shared" si="14"/>
        <v>2.3848684210526317E-2</v>
      </c>
      <c r="AB53" s="107">
        <f t="shared" si="14"/>
        <v>8.3059210526315791E-2</v>
      </c>
      <c r="AC53" s="107">
        <f t="shared" si="14"/>
        <v>4.1118421052631577E-3</v>
      </c>
      <c r="AD53" s="107">
        <f t="shared" si="14"/>
        <v>3.8651315789473686E-2</v>
      </c>
      <c r="AE53" s="99"/>
      <c r="AF53" s="99"/>
      <c r="AG53" s="99"/>
    </row>
    <row r="54" spans="1:33" x14ac:dyDescent="0.4">
      <c r="A54" s="5" t="s">
        <v>47</v>
      </c>
      <c r="B54" s="99"/>
      <c r="C54" s="112">
        <v>7</v>
      </c>
      <c r="D54" s="112">
        <v>9</v>
      </c>
      <c r="E54" s="112"/>
      <c r="F54" s="112">
        <v>6</v>
      </c>
      <c r="G54" s="112"/>
      <c r="H54" s="112">
        <v>3</v>
      </c>
      <c r="I54" s="112">
        <v>4</v>
      </c>
      <c r="J54" s="112"/>
      <c r="K54" s="112"/>
      <c r="L54" s="112"/>
      <c r="M54" s="112">
        <v>2</v>
      </c>
      <c r="N54" s="112"/>
      <c r="O54" s="112"/>
      <c r="P54" s="112"/>
      <c r="Q54" s="112"/>
      <c r="R54" s="112">
        <v>8</v>
      </c>
      <c r="S54" s="112"/>
      <c r="T54" s="112"/>
      <c r="U54" s="112"/>
      <c r="V54" s="112"/>
      <c r="W54" s="112">
        <v>1</v>
      </c>
      <c r="X54" s="112"/>
      <c r="Y54" s="112"/>
      <c r="Z54" s="112"/>
      <c r="AA54" s="112"/>
      <c r="AB54" s="112">
        <v>5</v>
      </c>
      <c r="AC54" s="112"/>
      <c r="AD54" s="112">
        <v>10</v>
      </c>
      <c r="AE54" s="113"/>
      <c r="AF54" s="99"/>
      <c r="AG54" s="99"/>
    </row>
    <row r="55" spans="1:33" x14ac:dyDescent="0.4">
      <c r="A55" s="99" t="s">
        <v>40</v>
      </c>
      <c r="B55" s="99"/>
      <c r="C55" s="92">
        <v>154</v>
      </c>
      <c r="D55" s="108"/>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c r="AE55" s="99"/>
      <c r="AF55" s="99"/>
      <c r="AG55" s="99"/>
    </row>
    <row r="56" spans="1:33" x14ac:dyDescent="0.4">
      <c r="A56" s="99" t="s">
        <v>41</v>
      </c>
      <c r="B56" s="99"/>
      <c r="C56" s="87">
        <f>AE17/C55</f>
        <v>1.9935064935064934</v>
      </c>
      <c r="D56" s="109"/>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9"/>
      <c r="AF56" s="99"/>
      <c r="AG56" s="99"/>
    </row>
    <row r="57" spans="1:33" x14ac:dyDescent="0.4">
      <c r="A57" s="99" t="s">
        <v>42</v>
      </c>
      <c r="B57" s="99"/>
      <c r="C57" s="92">
        <v>382</v>
      </c>
      <c r="D57" s="108"/>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9"/>
      <c r="AF57" s="99"/>
      <c r="AG57" s="99"/>
    </row>
    <row r="58" spans="1:33" x14ac:dyDescent="0.4">
      <c r="A58" s="99" t="s">
        <v>43</v>
      </c>
      <c r="B58" s="99"/>
      <c r="C58" s="87">
        <f>AE34/C57</f>
        <v>2.3795811518324608</v>
      </c>
      <c r="D58" s="109"/>
      <c r="E58" s="92"/>
      <c r="F58" s="29" t="s">
        <v>62</v>
      </c>
      <c r="G58" s="92"/>
      <c r="H58" s="92"/>
      <c r="I58" s="92"/>
      <c r="J58" s="92"/>
      <c r="K58" s="92"/>
      <c r="L58" s="92"/>
      <c r="M58" s="92"/>
      <c r="N58" s="92"/>
      <c r="O58" s="92"/>
      <c r="P58" s="92"/>
      <c r="Q58" s="92"/>
      <c r="R58" s="92"/>
      <c r="S58" s="92"/>
      <c r="T58" s="92"/>
      <c r="U58" s="92"/>
      <c r="V58" s="92"/>
      <c r="W58" s="92"/>
      <c r="X58" s="92"/>
      <c r="Y58" s="92"/>
      <c r="Z58" s="92"/>
      <c r="AA58" s="92"/>
      <c r="AB58" s="92"/>
      <c r="AC58" s="92"/>
      <c r="AD58" s="92"/>
      <c r="AE58" s="99"/>
      <c r="AF58" s="99"/>
      <c r="AG58" s="99"/>
    </row>
    <row r="59" spans="1:33" x14ac:dyDescent="0.4">
      <c r="A59" s="99" t="s">
        <v>44</v>
      </c>
      <c r="B59" s="99"/>
      <c r="C59" s="92">
        <v>536</v>
      </c>
      <c r="D59" s="108"/>
      <c r="E59" s="92"/>
      <c r="F59" s="109"/>
      <c r="G59" s="92"/>
      <c r="H59" s="92"/>
      <c r="I59" s="92"/>
      <c r="J59" s="76" t="s">
        <v>86</v>
      </c>
      <c r="K59" s="92"/>
      <c r="L59" s="92">
        <v>151</v>
      </c>
      <c r="M59" s="76" t="s">
        <v>134</v>
      </c>
      <c r="N59" s="2"/>
      <c r="O59" s="92">
        <v>71</v>
      </c>
      <c r="P59" s="76" t="s">
        <v>149</v>
      </c>
      <c r="Q59" s="92"/>
      <c r="R59" s="92">
        <f>C59-L59-O59</f>
        <v>314</v>
      </c>
      <c r="S59" s="92"/>
      <c r="T59" s="92"/>
      <c r="U59" s="92"/>
      <c r="V59" s="92"/>
      <c r="W59" s="92"/>
      <c r="X59" s="92"/>
      <c r="Y59" s="92"/>
      <c r="Z59" s="92"/>
      <c r="AA59" s="92"/>
      <c r="AB59" s="92"/>
      <c r="AC59" s="92"/>
      <c r="AD59" s="92"/>
      <c r="AE59" s="99"/>
      <c r="AF59" s="99"/>
      <c r="AG59" s="99"/>
    </row>
    <row r="60" spans="1:33" x14ac:dyDescent="0.4">
      <c r="A60" s="99" t="s">
        <v>45</v>
      </c>
      <c r="B60" s="99"/>
      <c r="C60" s="87">
        <f>AE52/C59</f>
        <v>2.2686567164179103</v>
      </c>
      <c r="D60" s="109"/>
      <c r="E60" s="92"/>
      <c r="F60" s="109">
        <v>3.01</v>
      </c>
      <c r="G60" s="94" t="s">
        <v>148</v>
      </c>
      <c r="H60" s="92"/>
      <c r="I60" s="92"/>
      <c r="J60" s="76" t="s">
        <v>82</v>
      </c>
      <c r="K60" s="92"/>
      <c r="L60" s="109">
        <f>SUM(O52:Z52)/L59</f>
        <v>2.0993377483443707</v>
      </c>
      <c r="M60" s="76" t="s">
        <v>135</v>
      </c>
      <c r="N60" s="92"/>
      <c r="O60" s="109">
        <f>SUM(AA52:AD52)/O59</f>
        <v>2.563380281690141</v>
      </c>
      <c r="P60" s="76" t="s">
        <v>150</v>
      </c>
      <c r="Q60" s="92"/>
      <c r="R60" s="109">
        <f>SUM(C52:N52)/R59</f>
        <v>2.2834394904458599</v>
      </c>
      <c r="S60" s="92"/>
      <c r="T60" s="92"/>
      <c r="U60" s="92"/>
      <c r="V60" s="92"/>
      <c r="W60" s="92"/>
      <c r="X60" s="92"/>
      <c r="Y60" s="92"/>
      <c r="Z60" s="92"/>
      <c r="AA60" s="92"/>
      <c r="AB60" s="92"/>
      <c r="AC60" s="92"/>
      <c r="AD60" s="92"/>
      <c r="AE60" s="99"/>
      <c r="AF60" s="99"/>
      <c r="AG60" s="99"/>
    </row>
    <row r="61" spans="1:33" x14ac:dyDescent="0.4">
      <c r="A61" s="99" t="s">
        <v>46</v>
      </c>
      <c r="B61" s="99"/>
      <c r="C61" s="109">
        <f>AE52/330</f>
        <v>3.684848484848485</v>
      </c>
      <c r="D61" s="110"/>
      <c r="E61" s="92"/>
      <c r="F61" s="109">
        <f>5000/7582</f>
        <v>0.65945660775520976</v>
      </c>
      <c r="G61" s="94" t="s">
        <v>64</v>
      </c>
      <c r="H61" s="92"/>
      <c r="I61" s="92"/>
      <c r="J61" s="92"/>
      <c r="K61" s="92"/>
      <c r="L61" s="92"/>
      <c r="M61" s="92"/>
      <c r="N61" s="92"/>
      <c r="O61" s="92"/>
      <c r="P61" s="92"/>
      <c r="Q61" s="92"/>
      <c r="R61" s="92"/>
      <c r="S61" s="92"/>
      <c r="T61" s="92"/>
      <c r="U61" s="92"/>
      <c r="V61" s="92"/>
      <c r="W61" s="92"/>
      <c r="X61" s="92"/>
      <c r="Y61" s="92"/>
      <c r="Z61" s="92"/>
      <c r="AA61" s="92"/>
      <c r="AB61" s="92"/>
      <c r="AC61" s="92"/>
      <c r="AD61" s="92"/>
      <c r="AE61" s="99"/>
      <c r="AF61" s="99"/>
      <c r="AG61" s="99"/>
    </row>
    <row r="62" spans="1:33" x14ac:dyDescent="0.4">
      <c r="A62" s="5" t="s">
        <v>49</v>
      </c>
      <c r="B62" s="99"/>
      <c r="C62" s="92"/>
      <c r="D62" s="7"/>
      <c r="E62" s="92"/>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9"/>
      <c r="AF62" s="99"/>
      <c r="AG62" s="99"/>
    </row>
    <row r="63" spans="1:33" x14ac:dyDescent="0.4">
      <c r="A63" s="99" t="s">
        <v>152</v>
      </c>
      <c r="B63" s="99"/>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9"/>
      <c r="AF63" s="99"/>
      <c r="AG63" s="99"/>
    </row>
    <row r="64" spans="1:33" x14ac:dyDescent="0.4">
      <c r="A64" s="5" t="s">
        <v>56</v>
      </c>
      <c r="B64" s="99"/>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9"/>
      <c r="AF64" s="99"/>
      <c r="AG64" s="99"/>
    </row>
    <row r="65" spans="1:33" x14ac:dyDescent="0.4">
      <c r="A65" s="99" t="s">
        <v>151</v>
      </c>
      <c r="B65" s="99"/>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9"/>
      <c r="AF65" s="99"/>
      <c r="AG65" s="99"/>
    </row>
    <row r="66" spans="1:33" x14ac:dyDescent="0.4">
      <c r="A66" s="99"/>
      <c r="B66" s="99"/>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9"/>
      <c r="AF66" s="99"/>
      <c r="AG66" s="99"/>
    </row>
    <row r="67" spans="1:33" x14ac:dyDescent="0.4">
      <c r="B67" s="99"/>
      <c r="C67" s="92"/>
      <c r="D67" s="7"/>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9"/>
      <c r="AF67" s="99"/>
      <c r="AG67" s="99"/>
    </row>
    <row r="68" spans="1:33" x14ac:dyDescent="0.4">
      <c r="A68" s="99"/>
      <c r="B68" s="99"/>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9"/>
      <c r="AF68" s="99"/>
      <c r="AG68" s="99"/>
    </row>
    <row r="69" spans="1:33" x14ac:dyDescent="0.4">
      <c r="A69" s="99"/>
      <c r="B69" s="99"/>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9"/>
      <c r="AF69" s="99"/>
      <c r="AG69" s="99"/>
    </row>
    <row r="70" spans="1:33" x14ac:dyDescent="0.4">
      <c r="A70" s="99"/>
      <c r="B70" s="99"/>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9"/>
      <c r="AF70" s="99"/>
      <c r="AG70" s="99"/>
    </row>
    <row r="71" spans="1:33" x14ac:dyDescent="0.4">
      <c r="A71" s="99"/>
      <c r="B71" s="99"/>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9"/>
      <c r="AF71" s="99"/>
      <c r="AG71" s="99"/>
    </row>
  </sheetData>
  <pageMargins left="0" right="0" top="0.75" bottom="0.75" header="0.3" footer="0.3"/>
  <pageSetup scale="59" orientation="landscape" r:id="rId1"/>
  <headerFooter>
    <oddHeader>&amp;CBurbank Land Club, Inc, 2019-20 season</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2D68D-8C2C-4191-914F-EE171DE70E55}">
  <dimension ref="A1:AG71"/>
  <sheetViews>
    <sheetView zoomScale="80" zoomScaleNormal="80" workbookViewId="0">
      <selection activeCell="I20" sqref="I20"/>
    </sheetView>
  </sheetViews>
  <sheetFormatPr defaultRowHeight="12.7" x14ac:dyDescent="0.4"/>
  <cols>
    <col min="1" max="1" width="18.87890625" customWidth="1"/>
    <col min="2" max="2" width="5.8203125" customWidth="1"/>
    <col min="3" max="3" width="6.29296875" customWidth="1"/>
    <col min="4" max="4" width="6.41015625" customWidth="1"/>
    <col min="5" max="5" width="6.46875" customWidth="1"/>
    <col min="6" max="6" width="6.41015625" customWidth="1"/>
    <col min="7" max="7" width="6.3515625" customWidth="1"/>
    <col min="8" max="8" width="6.8203125" customWidth="1"/>
    <col min="9" max="9" width="7.05859375" customWidth="1"/>
    <col min="10" max="10" width="6.41015625" customWidth="1"/>
    <col min="11" max="12" width="6.29296875" customWidth="1"/>
    <col min="13" max="13" width="6.1171875" customWidth="1"/>
    <col min="14" max="14" width="6.703125" customWidth="1"/>
    <col min="15" max="15" width="6.17578125" customWidth="1"/>
    <col min="16" max="17" width="6.41015625" customWidth="1"/>
    <col min="18" max="18" width="6.52734375" customWidth="1"/>
    <col min="19" max="19" width="6.29296875" customWidth="1"/>
    <col min="20" max="20" width="6.17578125" customWidth="1"/>
    <col min="21" max="21" width="6.41015625" customWidth="1"/>
    <col min="22" max="22" width="6" customWidth="1"/>
    <col min="23" max="23" width="7.41015625" customWidth="1"/>
    <col min="24" max="24" width="6.29296875" customWidth="1"/>
    <col min="25" max="25" width="5.87890625" customWidth="1"/>
    <col min="26" max="26" width="6.29296875" customWidth="1"/>
    <col min="27" max="27" width="6" customWidth="1"/>
    <col min="28" max="28" width="6.41015625" customWidth="1"/>
    <col min="29" max="29" width="6.52734375" customWidth="1"/>
    <col min="30" max="30" width="6.41015625" customWidth="1"/>
    <col min="31" max="31" width="5.29296875" customWidth="1"/>
    <col min="32" max="32" width="7.52734375" customWidth="1"/>
    <col min="33" max="33" width="8.3515625" customWidth="1"/>
  </cols>
  <sheetData>
    <row r="1" spans="1:33" ht="18.5" customHeight="1" thickBot="1" x14ac:dyDescent="0.45">
      <c r="A1" s="5" t="s">
        <v>106</v>
      </c>
      <c r="B1" s="99"/>
      <c r="C1" s="94" t="s">
        <v>153</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9"/>
      <c r="AF1" s="99"/>
      <c r="AG1" s="99"/>
    </row>
    <row r="2" spans="1:33" ht="13" thickBot="1" x14ac:dyDescent="0.45">
      <c r="A2" s="10" t="s">
        <v>39</v>
      </c>
      <c r="B2" s="100"/>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20" t="s">
        <v>2</v>
      </c>
      <c r="AF2" s="99"/>
      <c r="AG2" s="99"/>
    </row>
    <row r="3" spans="1:33" x14ac:dyDescent="0.4">
      <c r="A3" s="121" t="s">
        <v>21</v>
      </c>
      <c r="B3" s="121"/>
      <c r="C3" s="122"/>
      <c r="D3" s="122"/>
      <c r="E3" s="122"/>
      <c r="F3" s="122"/>
      <c r="G3" s="122"/>
      <c r="H3" s="122"/>
      <c r="I3" s="122"/>
      <c r="J3" s="122"/>
      <c r="K3" s="122">
        <v>1</v>
      </c>
      <c r="L3" s="122"/>
      <c r="M3" s="122"/>
      <c r="N3" s="122">
        <v>3</v>
      </c>
      <c r="O3" s="122"/>
      <c r="P3" s="122"/>
      <c r="Q3" s="122"/>
      <c r="R3" s="122"/>
      <c r="S3" s="122"/>
      <c r="T3" s="122"/>
      <c r="U3" s="122"/>
      <c r="V3" s="122"/>
      <c r="W3" s="122"/>
      <c r="X3" s="122"/>
      <c r="Y3" s="122"/>
      <c r="Z3" s="122"/>
      <c r="AA3" s="122"/>
      <c r="AB3" s="122"/>
      <c r="AC3" s="122"/>
      <c r="AD3" s="122"/>
      <c r="AE3" s="123">
        <f>SUM(C3:AD3)</f>
        <v>4</v>
      </c>
      <c r="AF3" s="99"/>
      <c r="AG3" s="99"/>
    </row>
    <row r="4" spans="1:33" x14ac:dyDescent="0.4">
      <c r="A4" s="124" t="s">
        <v>35</v>
      </c>
      <c r="B4" s="124"/>
      <c r="C4" s="125"/>
      <c r="D4" s="125"/>
      <c r="E4" s="125"/>
      <c r="F4" s="125"/>
      <c r="G4" s="125"/>
      <c r="H4" s="125">
        <v>5</v>
      </c>
      <c r="I4" s="125">
        <v>2</v>
      </c>
      <c r="J4" s="125"/>
      <c r="K4" s="125"/>
      <c r="L4" s="125"/>
      <c r="M4" s="125"/>
      <c r="N4" s="125">
        <v>1</v>
      </c>
      <c r="O4" s="125"/>
      <c r="P4" s="125"/>
      <c r="Q4" s="125"/>
      <c r="R4" s="125"/>
      <c r="S4" s="125"/>
      <c r="T4" s="125"/>
      <c r="U4" s="125"/>
      <c r="V4" s="125"/>
      <c r="W4" s="125"/>
      <c r="X4" s="125"/>
      <c r="Y4" s="125"/>
      <c r="Z4" s="125">
        <v>2</v>
      </c>
      <c r="AA4" s="125"/>
      <c r="AB4" s="125"/>
      <c r="AC4" s="125"/>
      <c r="AD4" s="125">
        <v>2</v>
      </c>
      <c r="AE4" s="126">
        <f>SUM(C4:AD4)</f>
        <v>12</v>
      </c>
      <c r="AF4" s="99"/>
      <c r="AG4" s="99"/>
    </row>
    <row r="5" spans="1:33" x14ac:dyDescent="0.4">
      <c r="A5" s="124" t="s">
        <v>16</v>
      </c>
      <c r="B5" s="124"/>
      <c r="C5" s="125"/>
      <c r="D5" s="125"/>
      <c r="E5" s="125"/>
      <c r="F5" s="125"/>
      <c r="G5" s="125"/>
      <c r="H5" s="125">
        <v>3</v>
      </c>
      <c r="I5" s="125"/>
      <c r="J5" s="125"/>
      <c r="K5" s="125"/>
      <c r="L5" s="125"/>
      <c r="M5" s="125">
        <v>2</v>
      </c>
      <c r="N5" s="125"/>
      <c r="O5" s="125"/>
      <c r="P5" s="125"/>
      <c r="Q5" s="125"/>
      <c r="R5" s="125">
        <v>1</v>
      </c>
      <c r="S5" s="125"/>
      <c r="T5" s="125"/>
      <c r="U5" s="125"/>
      <c r="V5" s="125"/>
      <c r="W5" s="125"/>
      <c r="X5" s="125"/>
      <c r="Y5" s="125"/>
      <c r="Z5" s="125"/>
      <c r="AA5" s="125"/>
      <c r="AB5" s="125">
        <v>1</v>
      </c>
      <c r="AC5" s="125"/>
      <c r="AD5" s="125">
        <v>2</v>
      </c>
      <c r="AE5" s="126">
        <f t="shared" ref="AE5:AE15" si="0">SUM(C5:AD5)</f>
        <v>9</v>
      </c>
      <c r="AF5" s="99"/>
      <c r="AG5" s="99"/>
    </row>
    <row r="6" spans="1:33" x14ac:dyDescent="0.4">
      <c r="A6" s="124" t="s">
        <v>29</v>
      </c>
      <c r="B6" s="124"/>
      <c r="C6" s="125"/>
      <c r="D6" s="125"/>
      <c r="E6" s="125"/>
      <c r="F6" s="125"/>
      <c r="G6" s="125"/>
      <c r="H6" s="125"/>
      <c r="I6" s="125"/>
      <c r="J6" s="125"/>
      <c r="K6" s="125"/>
      <c r="L6" s="125"/>
      <c r="M6" s="125">
        <v>2</v>
      </c>
      <c r="N6" s="125"/>
      <c r="O6" s="125"/>
      <c r="P6" s="125"/>
      <c r="Q6" s="125"/>
      <c r="R6" s="125"/>
      <c r="S6" s="125"/>
      <c r="T6" s="125"/>
      <c r="U6" s="125"/>
      <c r="V6" s="125"/>
      <c r="W6" s="125"/>
      <c r="X6" s="125"/>
      <c r="Y6" s="125"/>
      <c r="Z6" s="125"/>
      <c r="AA6" s="125"/>
      <c r="AB6" s="125">
        <v>3</v>
      </c>
      <c r="AC6" s="125"/>
      <c r="AD6" s="125"/>
      <c r="AE6" s="126">
        <f t="shared" si="0"/>
        <v>5</v>
      </c>
      <c r="AF6" s="99"/>
      <c r="AG6" s="99"/>
    </row>
    <row r="7" spans="1:33" x14ac:dyDescent="0.4">
      <c r="A7" s="124" t="s">
        <v>18</v>
      </c>
      <c r="B7" s="124"/>
      <c r="C7" s="125"/>
      <c r="D7" s="125"/>
      <c r="E7" s="125"/>
      <c r="F7" s="125">
        <v>1</v>
      </c>
      <c r="G7" s="125"/>
      <c r="H7" s="125"/>
      <c r="I7" s="125"/>
      <c r="J7" s="125"/>
      <c r="K7" s="125"/>
      <c r="L7" s="125"/>
      <c r="M7" s="125">
        <v>2</v>
      </c>
      <c r="N7" s="125"/>
      <c r="O7" s="125"/>
      <c r="P7" s="125"/>
      <c r="Q7" s="125"/>
      <c r="R7" s="125"/>
      <c r="S7" s="125"/>
      <c r="T7" s="125"/>
      <c r="U7" s="125"/>
      <c r="V7" s="125"/>
      <c r="W7" s="125"/>
      <c r="X7" s="125"/>
      <c r="Y7" s="125"/>
      <c r="Z7" s="125"/>
      <c r="AA7" s="125"/>
      <c r="AB7" s="125">
        <v>2</v>
      </c>
      <c r="AC7" s="125"/>
      <c r="AD7" s="125"/>
      <c r="AE7" s="126">
        <f t="shared" si="0"/>
        <v>5</v>
      </c>
      <c r="AF7" s="99"/>
      <c r="AG7" s="99"/>
    </row>
    <row r="8" spans="1:33" x14ac:dyDescent="0.4">
      <c r="A8" s="124" t="s">
        <v>19</v>
      </c>
      <c r="B8" s="124"/>
      <c r="C8" s="125">
        <v>1</v>
      </c>
      <c r="D8" s="125"/>
      <c r="E8" s="125"/>
      <c r="F8" s="125"/>
      <c r="G8" s="125"/>
      <c r="H8" s="125">
        <v>5</v>
      </c>
      <c r="I8" s="125"/>
      <c r="J8" s="125">
        <v>1</v>
      </c>
      <c r="K8" s="125">
        <v>1</v>
      </c>
      <c r="L8" s="125"/>
      <c r="M8" s="125">
        <v>3</v>
      </c>
      <c r="N8" s="125">
        <v>1</v>
      </c>
      <c r="O8" s="125"/>
      <c r="P8" s="125"/>
      <c r="Q8" s="125"/>
      <c r="R8" s="125"/>
      <c r="S8" s="125"/>
      <c r="T8" s="125"/>
      <c r="U8" s="125"/>
      <c r="V8" s="125"/>
      <c r="W8" s="125"/>
      <c r="X8" s="125"/>
      <c r="Y8" s="125"/>
      <c r="Z8" s="125">
        <v>2</v>
      </c>
      <c r="AA8" s="125"/>
      <c r="AB8" s="125">
        <v>5</v>
      </c>
      <c r="AC8" s="125"/>
      <c r="AD8" s="125"/>
      <c r="AE8" s="126">
        <f t="shared" si="0"/>
        <v>19</v>
      </c>
      <c r="AF8" s="99"/>
      <c r="AG8" s="99"/>
    </row>
    <row r="9" spans="1:33" x14ac:dyDescent="0.4">
      <c r="A9" s="124" t="s">
        <v>20</v>
      </c>
      <c r="B9" s="124"/>
      <c r="C9" s="125"/>
      <c r="D9" s="125"/>
      <c r="E9" s="125"/>
      <c r="F9" s="125">
        <v>1</v>
      </c>
      <c r="G9" s="125"/>
      <c r="H9" s="125"/>
      <c r="I9" s="125"/>
      <c r="J9" s="125"/>
      <c r="K9" s="125"/>
      <c r="L9" s="125"/>
      <c r="M9" s="125"/>
      <c r="N9" s="125"/>
      <c r="O9" s="125"/>
      <c r="P9" s="125"/>
      <c r="Q9" s="125"/>
      <c r="R9" s="125"/>
      <c r="S9" s="125"/>
      <c r="T9" s="125"/>
      <c r="U9" s="125"/>
      <c r="V9" s="125"/>
      <c r="W9" s="125"/>
      <c r="X9" s="125"/>
      <c r="Y9" s="125"/>
      <c r="Z9" s="125"/>
      <c r="AA9" s="125"/>
      <c r="AB9" s="125"/>
      <c r="AC9" s="125"/>
      <c r="AD9" s="125"/>
      <c r="AE9" s="126">
        <f t="shared" si="0"/>
        <v>1</v>
      </c>
      <c r="AF9" s="99"/>
      <c r="AG9" s="99"/>
    </row>
    <row r="10" spans="1:33" x14ac:dyDescent="0.4">
      <c r="A10" s="124" t="s">
        <v>136</v>
      </c>
      <c r="B10" s="124"/>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6">
        <f t="shared" si="0"/>
        <v>0</v>
      </c>
      <c r="AF10" s="99"/>
      <c r="AG10" s="99"/>
    </row>
    <row r="11" spans="1:33" x14ac:dyDescent="0.4">
      <c r="A11" s="124" t="s">
        <v>98</v>
      </c>
      <c r="B11" s="124"/>
      <c r="C11" s="125"/>
      <c r="D11" s="125"/>
      <c r="E11" s="125">
        <v>1</v>
      </c>
      <c r="F11" s="125">
        <v>1</v>
      </c>
      <c r="G11" s="125">
        <v>2</v>
      </c>
      <c r="H11" s="125"/>
      <c r="I11" s="125">
        <v>1</v>
      </c>
      <c r="J11" s="125"/>
      <c r="K11" s="125">
        <v>2</v>
      </c>
      <c r="L11" s="125"/>
      <c r="M11" s="125">
        <v>1</v>
      </c>
      <c r="N11" s="125">
        <v>1</v>
      </c>
      <c r="O11" s="125"/>
      <c r="P11" s="125"/>
      <c r="Q11" s="125"/>
      <c r="R11" s="125"/>
      <c r="S11" s="125"/>
      <c r="T11" s="125"/>
      <c r="U11" s="125"/>
      <c r="V11" s="125"/>
      <c r="W11" s="125"/>
      <c r="X11" s="125"/>
      <c r="Y11" s="125"/>
      <c r="Z11" s="125">
        <v>1</v>
      </c>
      <c r="AA11" s="125"/>
      <c r="AB11" s="125">
        <v>1</v>
      </c>
      <c r="AC11" s="125"/>
      <c r="AD11" s="125"/>
      <c r="AE11" s="126">
        <f t="shared" si="0"/>
        <v>11</v>
      </c>
      <c r="AF11" s="99"/>
      <c r="AG11" s="99"/>
    </row>
    <row r="12" spans="1:33" x14ac:dyDescent="0.4">
      <c r="A12" s="124" t="s">
        <v>22</v>
      </c>
      <c r="B12" s="124"/>
      <c r="C12" s="125">
        <v>17</v>
      </c>
      <c r="D12" s="125">
        <v>14</v>
      </c>
      <c r="E12" s="125">
        <v>13</v>
      </c>
      <c r="F12" s="125">
        <v>20</v>
      </c>
      <c r="G12" s="125">
        <v>23</v>
      </c>
      <c r="H12" s="125">
        <v>30</v>
      </c>
      <c r="I12" s="125">
        <v>17</v>
      </c>
      <c r="J12" s="125">
        <v>4</v>
      </c>
      <c r="K12" s="125">
        <v>16</v>
      </c>
      <c r="L12" s="125">
        <v>2</v>
      </c>
      <c r="M12" s="125">
        <v>26</v>
      </c>
      <c r="N12" s="125">
        <v>6</v>
      </c>
      <c r="O12" s="125"/>
      <c r="P12" s="125"/>
      <c r="Q12" s="125"/>
      <c r="R12" s="125">
        <v>4</v>
      </c>
      <c r="S12" s="125">
        <v>3</v>
      </c>
      <c r="T12" s="125"/>
      <c r="U12" s="125"/>
      <c r="V12" s="125"/>
      <c r="W12" s="125">
        <v>12</v>
      </c>
      <c r="X12" s="125"/>
      <c r="Y12" s="125"/>
      <c r="Z12" s="125">
        <v>6</v>
      </c>
      <c r="AA12" s="125"/>
      <c r="AB12" s="125">
        <v>22</v>
      </c>
      <c r="AC12" s="125"/>
      <c r="AD12" s="125">
        <v>22</v>
      </c>
      <c r="AE12" s="126">
        <f t="shared" si="0"/>
        <v>257</v>
      </c>
      <c r="AF12" s="99"/>
      <c r="AG12" s="99"/>
    </row>
    <row r="13" spans="1:33" x14ac:dyDescent="0.4">
      <c r="A13" s="124" t="s">
        <v>23</v>
      </c>
      <c r="B13" s="124"/>
      <c r="C13" s="125">
        <v>3</v>
      </c>
      <c r="D13" s="125">
        <v>3</v>
      </c>
      <c r="E13" s="125">
        <v>4</v>
      </c>
      <c r="F13" s="125">
        <v>3</v>
      </c>
      <c r="G13" s="125">
        <v>3</v>
      </c>
      <c r="H13" s="125">
        <v>5</v>
      </c>
      <c r="I13" s="125">
        <v>2</v>
      </c>
      <c r="J13" s="125">
        <v>1</v>
      </c>
      <c r="K13" s="125">
        <v>5</v>
      </c>
      <c r="L13" s="125">
        <v>1</v>
      </c>
      <c r="M13" s="125">
        <v>11</v>
      </c>
      <c r="N13" s="125"/>
      <c r="O13" s="125"/>
      <c r="P13" s="125"/>
      <c r="Q13" s="125"/>
      <c r="R13" s="125">
        <v>1</v>
      </c>
      <c r="S13" s="125">
        <v>1</v>
      </c>
      <c r="T13" s="125"/>
      <c r="U13" s="125"/>
      <c r="V13" s="125"/>
      <c r="W13" s="125">
        <v>2</v>
      </c>
      <c r="X13" s="125"/>
      <c r="Y13" s="125"/>
      <c r="Z13" s="125">
        <v>4</v>
      </c>
      <c r="AA13" s="125"/>
      <c r="AB13" s="125">
        <v>7</v>
      </c>
      <c r="AC13" s="125"/>
      <c r="AD13" s="125">
        <v>2</v>
      </c>
      <c r="AE13" s="126">
        <f t="shared" si="0"/>
        <v>58</v>
      </c>
      <c r="AF13" s="99"/>
      <c r="AG13" s="99"/>
    </row>
    <row r="14" spans="1:33" x14ac:dyDescent="0.4">
      <c r="A14" s="124" t="s">
        <v>24</v>
      </c>
      <c r="B14" s="124"/>
      <c r="C14" s="125"/>
      <c r="D14" s="125">
        <v>1</v>
      </c>
      <c r="E14" s="125"/>
      <c r="F14" s="125">
        <v>2</v>
      </c>
      <c r="G14" s="125">
        <v>1</v>
      </c>
      <c r="H14" s="125">
        <v>2</v>
      </c>
      <c r="I14" s="125"/>
      <c r="J14" s="125"/>
      <c r="K14" s="125"/>
      <c r="L14" s="125">
        <v>1</v>
      </c>
      <c r="M14" s="125">
        <v>4</v>
      </c>
      <c r="N14" s="125"/>
      <c r="O14" s="125"/>
      <c r="P14" s="125"/>
      <c r="Q14" s="125"/>
      <c r="R14" s="125"/>
      <c r="S14" s="125"/>
      <c r="T14" s="125"/>
      <c r="U14" s="125"/>
      <c r="V14" s="125"/>
      <c r="W14" s="125">
        <v>1</v>
      </c>
      <c r="X14" s="125"/>
      <c r="Y14" s="125"/>
      <c r="Z14" s="125">
        <v>1</v>
      </c>
      <c r="AA14" s="125"/>
      <c r="AB14" s="125">
        <v>7</v>
      </c>
      <c r="AC14" s="125"/>
      <c r="AD14" s="125">
        <v>5</v>
      </c>
      <c r="AE14" s="126">
        <f t="shared" si="0"/>
        <v>25</v>
      </c>
      <c r="AF14" s="99"/>
      <c r="AG14" s="99"/>
    </row>
    <row r="15" spans="1:33" x14ac:dyDescent="0.4">
      <c r="A15" s="124" t="s">
        <v>111</v>
      </c>
      <c r="B15" s="124"/>
      <c r="C15" s="125"/>
      <c r="D15" s="125"/>
      <c r="E15" s="125"/>
      <c r="F15" s="125"/>
      <c r="G15" s="125">
        <v>1</v>
      </c>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6">
        <f t="shared" si="0"/>
        <v>1</v>
      </c>
      <c r="AF15" s="99"/>
      <c r="AG15" s="99"/>
    </row>
    <row r="16" spans="1:33" ht="13" thickBot="1" x14ac:dyDescent="0.45">
      <c r="A16" s="127" t="s">
        <v>36</v>
      </c>
      <c r="B16" s="127"/>
      <c r="C16" s="93"/>
      <c r="D16" s="93"/>
      <c r="E16" s="93"/>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102">
        <f>SUM(C16:AD16)</f>
        <v>0</v>
      </c>
      <c r="AF16" s="99"/>
      <c r="AG16" s="99"/>
    </row>
    <row r="17" spans="1:33" x14ac:dyDescent="0.4">
      <c r="A17" s="99" t="s">
        <v>25</v>
      </c>
      <c r="B17" s="99"/>
      <c r="C17" s="92">
        <f t="shared" ref="C17:P17" si="1">SUM(C3:C16)</f>
        <v>21</v>
      </c>
      <c r="D17" s="92">
        <f t="shared" si="1"/>
        <v>18</v>
      </c>
      <c r="E17" s="92">
        <f t="shared" si="1"/>
        <v>18</v>
      </c>
      <c r="F17" s="92">
        <f t="shared" si="1"/>
        <v>28</v>
      </c>
      <c r="G17" s="92">
        <f t="shared" si="1"/>
        <v>30</v>
      </c>
      <c r="H17" s="92">
        <f t="shared" si="1"/>
        <v>50</v>
      </c>
      <c r="I17" s="92">
        <f t="shared" si="1"/>
        <v>22</v>
      </c>
      <c r="J17" s="92">
        <f t="shared" si="1"/>
        <v>6</v>
      </c>
      <c r="K17" s="92">
        <f t="shared" si="1"/>
        <v>25</v>
      </c>
      <c r="L17" s="92">
        <f t="shared" si="1"/>
        <v>4</v>
      </c>
      <c r="M17" s="92">
        <f t="shared" si="1"/>
        <v>51</v>
      </c>
      <c r="N17" s="92">
        <f t="shared" si="1"/>
        <v>12</v>
      </c>
      <c r="O17" s="92">
        <f t="shared" si="1"/>
        <v>0</v>
      </c>
      <c r="P17" s="92">
        <f t="shared" si="1"/>
        <v>0</v>
      </c>
      <c r="Q17" s="92"/>
      <c r="R17" s="92">
        <f>SUM(R3:R16)</f>
        <v>6</v>
      </c>
      <c r="S17" s="92">
        <f>SUM(S3:S16)</f>
        <v>4</v>
      </c>
      <c r="T17" s="92"/>
      <c r="U17" s="92"/>
      <c r="V17" s="92">
        <f>SUM(V3:V16)</f>
        <v>0</v>
      </c>
      <c r="W17" s="92">
        <f>SUM(W3:W16)</f>
        <v>15</v>
      </c>
      <c r="X17" s="92"/>
      <c r="Y17" s="92"/>
      <c r="Z17" s="92">
        <f>SUM(Z3:Z16)</f>
        <v>16</v>
      </c>
      <c r="AA17" s="92"/>
      <c r="AB17" s="92">
        <v>48</v>
      </c>
      <c r="AC17" s="92">
        <f>SUM(AC3:AC16)</f>
        <v>0</v>
      </c>
      <c r="AD17" s="92">
        <v>33</v>
      </c>
      <c r="AE17" s="92">
        <f>SUM(C17:AD17)</f>
        <v>407</v>
      </c>
      <c r="AF17" s="99"/>
      <c r="AG17" s="99"/>
    </row>
    <row r="18" spans="1:33" ht="13" thickBot="1" x14ac:dyDescent="0.45">
      <c r="A18" s="29" t="s">
        <v>107</v>
      </c>
      <c r="B18" s="99"/>
      <c r="C18" s="95" t="s">
        <v>154</v>
      </c>
      <c r="D18" s="94"/>
      <c r="E18" s="7"/>
      <c r="F18" s="29"/>
      <c r="G18" s="29" t="s">
        <v>166</v>
      </c>
      <c r="H18" s="92"/>
      <c r="I18" s="92"/>
      <c r="J18" s="119" t="s">
        <v>155</v>
      </c>
      <c r="K18" s="92"/>
      <c r="L18" s="92"/>
      <c r="M18" s="92"/>
      <c r="N18" s="92" t="s">
        <v>156</v>
      </c>
      <c r="O18" s="92"/>
      <c r="P18" s="92"/>
      <c r="Q18" s="92"/>
      <c r="R18" s="92"/>
      <c r="S18" s="92"/>
      <c r="T18" s="92"/>
      <c r="U18" s="92"/>
      <c r="V18" s="92"/>
      <c r="W18" s="92"/>
      <c r="X18" s="92"/>
      <c r="Y18" s="92"/>
      <c r="Z18" s="92"/>
      <c r="AA18" s="92"/>
      <c r="AB18" s="92"/>
      <c r="AC18" s="92"/>
      <c r="AD18" s="92"/>
      <c r="AE18" s="99"/>
      <c r="AF18" s="99"/>
      <c r="AG18" s="99"/>
    </row>
    <row r="19" spans="1:33" ht="13" thickBot="1" x14ac:dyDescent="0.45">
      <c r="A19" s="10" t="str">
        <f>A2</f>
        <v>BLIND #</v>
      </c>
      <c r="B19" s="14"/>
      <c r="C19" s="65">
        <f t="shared" ref="C19:N19" si="2">C2</f>
        <v>1</v>
      </c>
      <c r="D19" s="12">
        <f t="shared" si="2"/>
        <v>2</v>
      </c>
      <c r="E19" s="12">
        <f t="shared" si="2"/>
        <v>3</v>
      </c>
      <c r="F19" s="12">
        <f t="shared" si="2"/>
        <v>4</v>
      </c>
      <c r="G19" s="12">
        <f t="shared" si="2"/>
        <v>5</v>
      </c>
      <c r="H19" s="12">
        <f t="shared" si="2"/>
        <v>6</v>
      </c>
      <c r="I19" s="12">
        <f t="shared" si="2"/>
        <v>7</v>
      </c>
      <c r="J19" s="12">
        <f t="shared" si="2"/>
        <v>8</v>
      </c>
      <c r="K19" s="12">
        <f t="shared" si="2"/>
        <v>9</v>
      </c>
      <c r="L19" s="12">
        <f t="shared" si="2"/>
        <v>10</v>
      </c>
      <c r="M19" s="12">
        <f t="shared" si="2"/>
        <v>11</v>
      </c>
      <c r="N19" s="12">
        <f t="shared" si="2"/>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20" t="s">
        <v>2</v>
      </c>
      <c r="AF19" s="99"/>
      <c r="AG19" s="99"/>
    </row>
    <row r="20" spans="1:33" x14ac:dyDescent="0.4">
      <c r="A20" s="121" t="str">
        <f>A3</f>
        <v>RINGNECK</v>
      </c>
      <c r="B20" s="121"/>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3">
        <f>SUM(C20:AD20)</f>
        <v>0</v>
      </c>
      <c r="AF20" s="99"/>
      <c r="AG20" s="99"/>
    </row>
    <row r="21" spans="1:33" x14ac:dyDescent="0.4">
      <c r="A21" s="124" t="str">
        <f t="shared" ref="A21:A31" si="3">A4</f>
        <v>CANVASBACK</v>
      </c>
      <c r="B21" s="124"/>
      <c r="C21" s="125"/>
      <c r="D21" s="125">
        <v>1</v>
      </c>
      <c r="E21" s="125"/>
      <c r="F21" s="125"/>
      <c r="G21" s="125"/>
      <c r="H21" s="125">
        <v>1</v>
      </c>
      <c r="I21" s="125"/>
      <c r="J21" s="125"/>
      <c r="K21" s="125"/>
      <c r="L21" s="125"/>
      <c r="M21" s="125"/>
      <c r="N21" s="125"/>
      <c r="O21" s="125"/>
      <c r="P21" s="125"/>
      <c r="Q21" s="125"/>
      <c r="R21" s="125"/>
      <c r="S21" s="125"/>
      <c r="T21" s="125"/>
      <c r="U21" s="125"/>
      <c r="V21" s="125">
        <v>1</v>
      </c>
      <c r="W21" s="125"/>
      <c r="X21" s="125"/>
      <c r="Y21" s="125"/>
      <c r="Z21" s="125"/>
      <c r="AA21" s="125"/>
      <c r="AB21" s="125"/>
      <c r="AC21" s="125"/>
      <c r="AD21" s="125"/>
      <c r="AE21" s="126">
        <f>SUM(C21:AD21)</f>
        <v>3</v>
      </c>
      <c r="AF21" s="99"/>
      <c r="AG21" s="99"/>
    </row>
    <row r="22" spans="1:33" x14ac:dyDescent="0.4">
      <c r="A22" s="124" t="str">
        <f t="shared" si="3"/>
        <v>GADWALL</v>
      </c>
      <c r="B22" s="124"/>
      <c r="C22" s="125">
        <v>2</v>
      </c>
      <c r="D22" s="125"/>
      <c r="E22" s="125"/>
      <c r="F22" s="125">
        <v>2</v>
      </c>
      <c r="G22" s="125"/>
      <c r="H22" s="125">
        <v>1</v>
      </c>
      <c r="I22" s="125">
        <v>5</v>
      </c>
      <c r="J22" s="125"/>
      <c r="K22" s="125">
        <v>1</v>
      </c>
      <c r="L22" s="125"/>
      <c r="M22" s="125"/>
      <c r="N22" s="125"/>
      <c r="O22" s="125"/>
      <c r="P22" s="125"/>
      <c r="Q22" s="125"/>
      <c r="R22" s="125"/>
      <c r="S22" s="125">
        <v>1</v>
      </c>
      <c r="T22" s="125"/>
      <c r="U22" s="125"/>
      <c r="V22" s="125">
        <v>3</v>
      </c>
      <c r="W22" s="125">
        <v>5</v>
      </c>
      <c r="X22" s="125"/>
      <c r="Y22" s="125"/>
      <c r="Z22" s="125"/>
      <c r="AA22" s="125"/>
      <c r="AB22" s="125">
        <v>4</v>
      </c>
      <c r="AC22" s="125"/>
      <c r="AD22" s="125">
        <v>1</v>
      </c>
      <c r="AE22" s="126">
        <f t="shared" ref="AE22:AE32" si="4">SUM(C22:AD22)</f>
        <v>25</v>
      </c>
      <c r="AF22" s="99"/>
      <c r="AG22" s="99"/>
    </row>
    <row r="23" spans="1:33" x14ac:dyDescent="0.4">
      <c r="A23" s="124" t="str">
        <f t="shared" si="3"/>
        <v>GEESE</v>
      </c>
      <c r="B23" s="124"/>
      <c r="C23" s="125"/>
      <c r="D23" s="125"/>
      <c r="E23" s="125"/>
      <c r="F23" s="125"/>
      <c r="G23" s="125">
        <v>1</v>
      </c>
      <c r="H23" s="125"/>
      <c r="I23" s="125"/>
      <c r="J23" s="125"/>
      <c r="K23" s="125"/>
      <c r="L23" s="125"/>
      <c r="M23" s="125"/>
      <c r="N23" s="125"/>
      <c r="O23" s="125"/>
      <c r="P23" s="125"/>
      <c r="Q23" s="125"/>
      <c r="R23" s="125"/>
      <c r="S23" s="125"/>
      <c r="T23" s="125"/>
      <c r="U23" s="125"/>
      <c r="V23" s="125"/>
      <c r="W23" s="125"/>
      <c r="X23" s="125"/>
      <c r="Y23" s="125"/>
      <c r="Z23" s="125"/>
      <c r="AA23" s="125"/>
      <c r="AB23" s="125"/>
      <c r="AC23" s="125"/>
      <c r="AD23" s="125"/>
      <c r="AE23" s="126">
        <f t="shared" si="4"/>
        <v>1</v>
      </c>
      <c r="AF23" s="99"/>
      <c r="AG23" s="99"/>
    </row>
    <row r="24" spans="1:33" x14ac:dyDescent="0.4">
      <c r="A24" s="124" t="str">
        <f>A7</f>
        <v>MALLARD</v>
      </c>
      <c r="B24" s="124"/>
      <c r="C24" s="125"/>
      <c r="D24" s="125">
        <v>1</v>
      </c>
      <c r="E24" s="125"/>
      <c r="F24" s="125"/>
      <c r="G24" s="125"/>
      <c r="H24" s="125">
        <v>1</v>
      </c>
      <c r="I24" s="125"/>
      <c r="J24" s="125">
        <v>2</v>
      </c>
      <c r="K24" s="125"/>
      <c r="L24" s="125"/>
      <c r="M24" s="125"/>
      <c r="N24" s="125"/>
      <c r="O24" s="125"/>
      <c r="P24" s="125"/>
      <c r="Q24" s="125"/>
      <c r="R24" s="125"/>
      <c r="S24" s="125"/>
      <c r="T24" s="125"/>
      <c r="U24" s="125"/>
      <c r="V24" s="125"/>
      <c r="W24" s="125">
        <v>1</v>
      </c>
      <c r="X24" s="125"/>
      <c r="Y24" s="125"/>
      <c r="Z24" s="125"/>
      <c r="AA24" s="125"/>
      <c r="AB24" s="125">
        <v>1</v>
      </c>
      <c r="AC24" s="125"/>
      <c r="AD24" s="125">
        <v>4</v>
      </c>
      <c r="AE24" s="126">
        <f t="shared" si="4"/>
        <v>10</v>
      </c>
      <c r="AF24" s="99"/>
      <c r="AG24" s="99"/>
    </row>
    <row r="25" spans="1:33" x14ac:dyDescent="0.4">
      <c r="A25" s="124" t="str">
        <f t="shared" si="3"/>
        <v>PINTAIL</v>
      </c>
      <c r="B25" s="124"/>
      <c r="C25" s="125">
        <v>4</v>
      </c>
      <c r="D25" s="125">
        <v>1</v>
      </c>
      <c r="E25" s="125"/>
      <c r="F25" s="125">
        <v>2</v>
      </c>
      <c r="G25" s="125"/>
      <c r="H25" s="125">
        <v>4</v>
      </c>
      <c r="I25" s="125">
        <v>11</v>
      </c>
      <c r="J25" s="125"/>
      <c r="K25" s="125"/>
      <c r="L25" s="125"/>
      <c r="M25" s="125">
        <v>2</v>
      </c>
      <c r="N25" s="125"/>
      <c r="O25" s="125"/>
      <c r="P25" s="125"/>
      <c r="Q25" s="125"/>
      <c r="R25" s="125"/>
      <c r="S25" s="125">
        <v>5</v>
      </c>
      <c r="T25" s="125"/>
      <c r="U25" s="125"/>
      <c r="V25" s="125"/>
      <c r="W25" s="125">
        <v>2</v>
      </c>
      <c r="X25" s="125"/>
      <c r="Y25" s="125"/>
      <c r="Z25" s="125"/>
      <c r="AA25" s="125"/>
      <c r="AB25" s="125">
        <v>3</v>
      </c>
      <c r="AC25" s="125"/>
      <c r="AD25" s="125">
        <v>2</v>
      </c>
      <c r="AE25" s="126">
        <f t="shared" si="4"/>
        <v>36</v>
      </c>
      <c r="AF25" s="99"/>
      <c r="AG25" s="99"/>
    </row>
    <row r="26" spans="1:33" x14ac:dyDescent="0.4">
      <c r="A26" s="124" t="str">
        <f t="shared" si="3"/>
        <v>REDHEAD</v>
      </c>
      <c r="B26" s="124"/>
      <c r="C26" s="125"/>
      <c r="D26" s="125"/>
      <c r="E26" s="125"/>
      <c r="F26" s="125"/>
      <c r="G26" s="125"/>
      <c r="H26" s="125"/>
      <c r="I26" s="125">
        <v>3</v>
      </c>
      <c r="J26" s="125"/>
      <c r="K26" s="125"/>
      <c r="L26" s="125"/>
      <c r="M26" s="125"/>
      <c r="N26" s="125"/>
      <c r="O26" s="125"/>
      <c r="P26" s="125"/>
      <c r="Q26" s="125"/>
      <c r="R26" s="125"/>
      <c r="S26" s="125">
        <v>1</v>
      </c>
      <c r="T26" s="125"/>
      <c r="U26" s="125"/>
      <c r="V26" s="125"/>
      <c r="W26" s="125"/>
      <c r="X26" s="125"/>
      <c r="Y26" s="125"/>
      <c r="Z26" s="125"/>
      <c r="AA26" s="125"/>
      <c r="AB26" s="125"/>
      <c r="AC26" s="125"/>
      <c r="AD26" s="125"/>
      <c r="AE26" s="126">
        <f t="shared" si="4"/>
        <v>4</v>
      </c>
      <c r="AF26" s="99"/>
      <c r="AG26" s="99"/>
    </row>
    <row r="27" spans="1:33" x14ac:dyDescent="0.4">
      <c r="A27" s="124" t="str">
        <f t="shared" si="3"/>
        <v>WOODY</v>
      </c>
      <c r="B27" s="124"/>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6">
        <f t="shared" si="4"/>
        <v>0</v>
      </c>
      <c r="AF27" s="99"/>
      <c r="AG27" s="99"/>
    </row>
    <row r="28" spans="1:33" x14ac:dyDescent="0.4">
      <c r="A28" s="124" t="str">
        <f t="shared" si="3"/>
        <v>B'HEAD</v>
      </c>
      <c r="B28" s="124"/>
      <c r="C28" s="125"/>
      <c r="D28" s="125"/>
      <c r="E28" s="125"/>
      <c r="F28" s="125"/>
      <c r="G28" s="125"/>
      <c r="H28" s="125">
        <v>3</v>
      </c>
      <c r="I28" s="125"/>
      <c r="J28" s="125"/>
      <c r="K28" s="125">
        <v>9</v>
      </c>
      <c r="L28" s="125"/>
      <c r="M28" s="125">
        <v>1</v>
      </c>
      <c r="N28" s="125">
        <v>1</v>
      </c>
      <c r="O28" s="125"/>
      <c r="P28" s="125"/>
      <c r="Q28" s="125"/>
      <c r="R28" s="125"/>
      <c r="S28" s="125"/>
      <c r="T28" s="125"/>
      <c r="U28" s="125"/>
      <c r="V28" s="125"/>
      <c r="W28" s="125"/>
      <c r="X28" s="125"/>
      <c r="Y28" s="125"/>
      <c r="Z28" s="125"/>
      <c r="AA28" s="125">
        <v>1</v>
      </c>
      <c r="AB28" s="125"/>
      <c r="AC28" s="125"/>
      <c r="AD28" s="125"/>
      <c r="AE28" s="126">
        <f t="shared" si="4"/>
        <v>15</v>
      </c>
      <c r="AF28" s="99"/>
      <c r="AG28" s="99"/>
    </row>
    <row r="29" spans="1:33" x14ac:dyDescent="0.4">
      <c r="A29" s="124" t="str">
        <f t="shared" si="3"/>
        <v>SPOONY</v>
      </c>
      <c r="B29" s="124"/>
      <c r="C29" s="125">
        <v>8</v>
      </c>
      <c r="D29" s="125">
        <v>3</v>
      </c>
      <c r="E29" s="125">
        <v>5</v>
      </c>
      <c r="F29" s="125">
        <v>7</v>
      </c>
      <c r="G29" s="125">
        <v>6</v>
      </c>
      <c r="H29" s="125">
        <v>26</v>
      </c>
      <c r="I29" s="125">
        <v>29</v>
      </c>
      <c r="J29" s="125"/>
      <c r="K29" s="125">
        <v>4</v>
      </c>
      <c r="L29" s="125"/>
      <c r="M29" s="125">
        <v>12</v>
      </c>
      <c r="N29" s="125">
        <v>1</v>
      </c>
      <c r="O29" s="125">
        <v>5</v>
      </c>
      <c r="P29" s="125"/>
      <c r="Q29" s="125"/>
      <c r="R29" s="125">
        <v>2</v>
      </c>
      <c r="S29" s="125">
        <v>6</v>
      </c>
      <c r="T29" s="125"/>
      <c r="U29" s="125">
        <v>2</v>
      </c>
      <c r="V29" s="125">
        <v>4</v>
      </c>
      <c r="W29" s="125">
        <v>13</v>
      </c>
      <c r="X29" s="125"/>
      <c r="Y29" s="125"/>
      <c r="Z29" s="125">
        <v>1</v>
      </c>
      <c r="AA29" s="125">
        <v>3</v>
      </c>
      <c r="AB29" s="125">
        <v>12</v>
      </c>
      <c r="AC29" s="125"/>
      <c r="AD29" s="125">
        <v>11</v>
      </c>
      <c r="AE29" s="126">
        <f t="shared" si="4"/>
        <v>160</v>
      </c>
      <c r="AF29" s="99"/>
      <c r="AG29" s="99"/>
    </row>
    <row r="30" spans="1:33" x14ac:dyDescent="0.4">
      <c r="A30" s="124" t="str">
        <f t="shared" si="3"/>
        <v>TEAL</v>
      </c>
      <c r="B30" s="124"/>
      <c r="C30" s="125">
        <v>70</v>
      </c>
      <c r="D30" s="125">
        <v>22</v>
      </c>
      <c r="E30" s="125">
        <v>17</v>
      </c>
      <c r="F30" s="125">
        <v>32</v>
      </c>
      <c r="G30" s="125">
        <v>14</v>
      </c>
      <c r="H30" s="125">
        <v>57</v>
      </c>
      <c r="I30" s="125">
        <v>99</v>
      </c>
      <c r="J30" s="125"/>
      <c r="K30" s="125">
        <v>21</v>
      </c>
      <c r="L30" s="125"/>
      <c r="M30" s="125">
        <v>39</v>
      </c>
      <c r="N30" s="125">
        <v>2</v>
      </c>
      <c r="O30" s="125">
        <v>13</v>
      </c>
      <c r="P30" s="125"/>
      <c r="Q30" s="125"/>
      <c r="R30" s="125">
        <v>6</v>
      </c>
      <c r="S30" s="125">
        <v>34</v>
      </c>
      <c r="T30" s="125"/>
      <c r="U30" s="125"/>
      <c r="V30" s="125">
        <v>3</v>
      </c>
      <c r="W30" s="125">
        <v>66</v>
      </c>
      <c r="X30" s="125"/>
      <c r="Y30" s="125"/>
      <c r="Z30" s="125">
        <v>9</v>
      </c>
      <c r="AA30" s="125">
        <v>34</v>
      </c>
      <c r="AB30" s="125">
        <v>33</v>
      </c>
      <c r="AC30" s="125">
        <v>9</v>
      </c>
      <c r="AD30" s="125">
        <v>20</v>
      </c>
      <c r="AE30" s="126">
        <f t="shared" si="4"/>
        <v>600</v>
      </c>
      <c r="AF30" s="99"/>
      <c r="AG30" s="99"/>
    </row>
    <row r="31" spans="1:33" x14ac:dyDescent="0.4">
      <c r="A31" s="124" t="str">
        <f t="shared" si="3"/>
        <v>WIDGEON</v>
      </c>
      <c r="B31" s="124"/>
      <c r="C31" s="125">
        <v>8</v>
      </c>
      <c r="D31" s="125">
        <v>3</v>
      </c>
      <c r="E31" s="125">
        <v>1</v>
      </c>
      <c r="F31" s="125">
        <v>1</v>
      </c>
      <c r="G31" s="125"/>
      <c r="H31" s="125">
        <v>7</v>
      </c>
      <c r="I31" s="125">
        <v>19</v>
      </c>
      <c r="J31" s="125"/>
      <c r="K31" s="125">
        <v>3</v>
      </c>
      <c r="L31" s="125"/>
      <c r="M31" s="125">
        <v>2</v>
      </c>
      <c r="N31" s="125"/>
      <c r="O31" s="125">
        <v>4</v>
      </c>
      <c r="P31" s="125"/>
      <c r="Q31" s="125"/>
      <c r="R31" s="125">
        <v>1</v>
      </c>
      <c r="S31" s="125">
        <v>7</v>
      </c>
      <c r="T31" s="125"/>
      <c r="U31" s="125"/>
      <c r="V31" s="125">
        <v>4</v>
      </c>
      <c r="W31" s="125">
        <v>15</v>
      </c>
      <c r="X31" s="125">
        <v>2</v>
      </c>
      <c r="Y31" s="125"/>
      <c r="Z31" s="125"/>
      <c r="AA31" s="125"/>
      <c r="AB31" s="125">
        <v>6</v>
      </c>
      <c r="AC31" s="125">
        <v>2</v>
      </c>
      <c r="AD31" s="125">
        <v>10</v>
      </c>
      <c r="AE31" s="126">
        <f t="shared" si="4"/>
        <v>95</v>
      </c>
      <c r="AF31" s="99"/>
      <c r="AG31" s="99"/>
    </row>
    <row r="32" spans="1:33" x14ac:dyDescent="0.4">
      <c r="A32" s="124" t="s">
        <v>111</v>
      </c>
      <c r="B32" s="124"/>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6">
        <f t="shared" si="4"/>
        <v>0</v>
      </c>
      <c r="AF32" s="99"/>
      <c r="AG32" s="99"/>
    </row>
    <row r="33" spans="1:33" ht="13" thickBot="1" x14ac:dyDescent="0.45">
      <c r="A33" s="128" t="str">
        <f>A16</f>
        <v>MISC</v>
      </c>
      <c r="B33" s="128"/>
      <c r="C33" s="93">
        <v>1</v>
      </c>
      <c r="D33" s="93"/>
      <c r="E33" s="93"/>
      <c r="F33" s="93"/>
      <c r="G33" s="93"/>
      <c r="H33" s="93"/>
      <c r="I33" s="93">
        <v>1</v>
      </c>
      <c r="J33" s="93">
        <v>1</v>
      </c>
      <c r="K33" s="93">
        <v>2</v>
      </c>
      <c r="L33" s="93"/>
      <c r="M33" s="93"/>
      <c r="N33" s="93"/>
      <c r="O33" s="93"/>
      <c r="P33" s="93"/>
      <c r="Q33" s="93"/>
      <c r="R33" s="93"/>
      <c r="S33" s="93"/>
      <c r="T33" s="93"/>
      <c r="U33" s="93"/>
      <c r="V33" s="93"/>
      <c r="W33" s="93"/>
      <c r="X33" s="93">
        <v>1</v>
      </c>
      <c r="Y33" s="93"/>
      <c r="Z33" s="93"/>
      <c r="AA33" s="93"/>
      <c r="AB33" s="93"/>
      <c r="AC33" s="93"/>
      <c r="AD33" s="93">
        <v>3</v>
      </c>
      <c r="AE33" s="102">
        <f>SUM(C33:AD33)</f>
        <v>9</v>
      </c>
      <c r="AF33" s="99"/>
      <c r="AG33" s="99"/>
    </row>
    <row r="34" spans="1:33" x14ac:dyDescent="0.4">
      <c r="A34" s="99" t="s">
        <v>25</v>
      </c>
      <c r="B34" s="99"/>
      <c r="C34" s="92">
        <f t="shared" ref="C34:P34" si="5">SUM(C20:C33)</f>
        <v>93</v>
      </c>
      <c r="D34" s="92">
        <f t="shared" si="5"/>
        <v>31</v>
      </c>
      <c r="E34" s="92">
        <f t="shared" si="5"/>
        <v>23</v>
      </c>
      <c r="F34" s="92">
        <f t="shared" si="5"/>
        <v>44</v>
      </c>
      <c r="G34" s="92">
        <f t="shared" si="5"/>
        <v>21</v>
      </c>
      <c r="H34" s="92">
        <f t="shared" si="5"/>
        <v>100</v>
      </c>
      <c r="I34" s="92">
        <f t="shared" si="5"/>
        <v>167</v>
      </c>
      <c r="J34" s="92">
        <f t="shared" si="5"/>
        <v>3</v>
      </c>
      <c r="K34" s="92">
        <f t="shared" si="5"/>
        <v>40</v>
      </c>
      <c r="L34" s="92">
        <f t="shared" si="5"/>
        <v>0</v>
      </c>
      <c r="M34" s="92">
        <f t="shared" si="5"/>
        <v>56</v>
      </c>
      <c r="N34" s="92">
        <f t="shared" si="5"/>
        <v>4</v>
      </c>
      <c r="O34" s="92">
        <f t="shared" si="5"/>
        <v>22</v>
      </c>
      <c r="P34" s="92">
        <f t="shared" si="5"/>
        <v>0</v>
      </c>
      <c r="Q34" s="92">
        <f>SUM(Q20:Q33)</f>
        <v>0</v>
      </c>
      <c r="R34" s="92">
        <f>SUM(R20:R33)</f>
        <v>9</v>
      </c>
      <c r="S34" s="92">
        <f>SUM(S20:S33)</f>
        <v>54</v>
      </c>
      <c r="T34" s="92">
        <f>SUM(T20:T33)</f>
        <v>0</v>
      </c>
      <c r="U34" s="92">
        <f>SUM(U20:U33)</f>
        <v>2</v>
      </c>
      <c r="V34" s="92">
        <f t="shared" ref="V34:AD34" si="6">SUM(V20:V33)</f>
        <v>15</v>
      </c>
      <c r="W34" s="92">
        <f t="shared" si="6"/>
        <v>102</v>
      </c>
      <c r="X34" s="92">
        <f t="shared" si="6"/>
        <v>3</v>
      </c>
      <c r="Y34" s="92">
        <f t="shared" si="6"/>
        <v>0</v>
      </c>
      <c r="Z34" s="92">
        <f t="shared" si="6"/>
        <v>10</v>
      </c>
      <c r="AA34" s="92">
        <f t="shared" si="6"/>
        <v>38</v>
      </c>
      <c r="AB34" s="92">
        <f t="shared" si="6"/>
        <v>59</v>
      </c>
      <c r="AC34" s="92">
        <f t="shared" si="6"/>
        <v>11</v>
      </c>
      <c r="AD34" s="92">
        <f t="shared" si="6"/>
        <v>51</v>
      </c>
      <c r="AE34" s="92">
        <f>SUM(C34:AD34)</f>
        <v>958</v>
      </c>
      <c r="AF34" s="92"/>
      <c r="AG34" s="99"/>
    </row>
    <row r="35" spans="1:33" ht="13" thickBot="1" x14ac:dyDescent="0.45">
      <c r="A35" s="99"/>
      <c r="B35" s="99"/>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9"/>
      <c r="AF35" s="99"/>
      <c r="AG35" s="99"/>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7">C19</f>
        <v>1</v>
      </c>
      <c r="D37" s="12">
        <f t="shared" si="7"/>
        <v>2</v>
      </c>
      <c r="E37" s="12">
        <f t="shared" si="7"/>
        <v>3</v>
      </c>
      <c r="F37" s="12">
        <f t="shared" si="7"/>
        <v>4</v>
      </c>
      <c r="G37" s="12">
        <f t="shared" si="7"/>
        <v>5</v>
      </c>
      <c r="H37" s="12">
        <f t="shared" si="7"/>
        <v>6</v>
      </c>
      <c r="I37" s="12">
        <f t="shared" si="7"/>
        <v>7</v>
      </c>
      <c r="J37" s="12">
        <f t="shared" si="7"/>
        <v>8</v>
      </c>
      <c r="K37" s="12">
        <f t="shared" si="7"/>
        <v>9</v>
      </c>
      <c r="L37" s="12">
        <f t="shared" si="7"/>
        <v>10</v>
      </c>
      <c r="M37" s="12">
        <f t="shared" si="7"/>
        <v>11</v>
      </c>
      <c r="N37" s="12">
        <f t="shared" si="7"/>
        <v>12</v>
      </c>
      <c r="O37" s="12">
        <f t="shared" si="7"/>
        <v>13</v>
      </c>
      <c r="P37" s="12">
        <f t="shared" si="7"/>
        <v>14</v>
      </c>
      <c r="Q37" s="12">
        <f t="shared" si="7"/>
        <v>15</v>
      </c>
      <c r="R37" s="12">
        <f t="shared" si="7"/>
        <v>16</v>
      </c>
      <c r="S37" s="12">
        <f t="shared" si="7"/>
        <v>17</v>
      </c>
      <c r="T37" s="12">
        <f t="shared" si="7"/>
        <v>18</v>
      </c>
      <c r="U37" s="12">
        <f t="shared" si="7"/>
        <v>19</v>
      </c>
      <c r="V37" s="65">
        <v>20</v>
      </c>
      <c r="W37" s="65">
        <v>21</v>
      </c>
      <c r="X37" s="65">
        <v>22</v>
      </c>
      <c r="Y37" s="65">
        <v>23</v>
      </c>
      <c r="Z37" s="65">
        <v>24</v>
      </c>
      <c r="AA37" s="65">
        <v>25</v>
      </c>
      <c r="AB37" s="65">
        <v>26</v>
      </c>
      <c r="AC37" s="65">
        <v>27</v>
      </c>
      <c r="AD37" s="65">
        <v>28</v>
      </c>
      <c r="AE37" s="131" t="s">
        <v>2</v>
      </c>
      <c r="AF37" s="26" t="s">
        <v>61</v>
      </c>
      <c r="AG37" s="27" t="s">
        <v>59</v>
      </c>
    </row>
    <row r="38" spans="1:33" x14ac:dyDescent="0.4">
      <c r="A38" s="121" t="str">
        <f>A20</f>
        <v>RINGNECK</v>
      </c>
      <c r="B38" s="121"/>
      <c r="C38" s="122">
        <f t="shared" ref="C38:AD47" si="8">C3+C20</f>
        <v>0</v>
      </c>
      <c r="D38" s="122">
        <f t="shared" si="8"/>
        <v>0</v>
      </c>
      <c r="E38" s="122">
        <f t="shared" si="8"/>
        <v>0</v>
      </c>
      <c r="F38" s="122">
        <f t="shared" si="8"/>
        <v>0</v>
      </c>
      <c r="G38" s="122">
        <f t="shared" si="8"/>
        <v>0</v>
      </c>
      <c r="H38" s="122">
        <f t="shared" si="8"/>
        <v>0</v>
      </c>
      <c r="I38" s="122">
        <f t="shared" si="8"/>
        <v>0</v>
      </c>
      <c r="J38" s="122">
        <f t="shared" si="8"/>
        <v>0</v>
      </c>
      <c r="K38" s="122">
        <f t="shared" si="8"/>
        <v>1</v>
      </c>
      <c r="L38" s="122">
        <f t="shared" si="8"/>
        <v>0</v>
      </c>
      <c r="M38" s="122">
        <f t="shared" si="8"/>
        <v>0</v>
      </c>
      <c r="N38" s="122">
        <f t="shared" si="8"/>
        <v>3</v>
      </c>
      <c r="O38" s="122">
        <f t="shared" si="8"/>
        <v>0</v>
      </c>
      <c r="P38" s="122">
        <f t="shared" si="8"/>
        <v>0</v>
      </c>
      <c r="Q38" s="122">
        <f t="shared" si="8"/>
        <v>0</v>
      </c>
      <c r="R38" s="122">
        <f t="shared" si="8"/>
        <v>0</v>
      </c>
      <c r="S38" s="122">
        <f t="shared" si="8"/>
        <v>0</v>
      </c>
      <c r="T38" s="122">
        <f t="shared" si="8"/>
        <v>0</v>
      </c>
      <c r="U38" s="122">
        <f t="shared" si="8"/>
        <v>0</v>
      </c>
      <c r="V38" s="122">
        <f t="shared" si="8"/>
        <v>0</v>
      </c>
      <c r="W38" s="122">
        <f t="shared" si="8"/>
        <v>0</v>
      </c>
      <c r="X38" s="122">
        <f t="shared" si="8"/>
        <v>0</v>
      </c>
      <c r="Y38" s="122">
        <f t="shared" si="8"/>
        <v>0</v>
      </c>
      <c r="Z38" s="122">
        <f t="shared" si="8"/>
        <v>0</v>
      </c>
      <c r="AA38" s="122">
        <f t="shared" si="8"/>
        <v>0</v>
      </c>
      <c r="AB38" s="122">
        <f t="shared" si="8"/>
        <v>0</v>
      </c>
      <c r="AC38" s="122">
        <f t="shared" si="8"/>
        <v>0</v>
      </c>
      <c r="AD38" s="122">
        <f t="shared" si="8"/>
        <v>0</v>
      </c>
      <c r="AE38" s="123">
        <f>SUM(C38:AD38)</f>
        <v>4</v>
      </c>
      <c r="AF38" s="132">
        <f>AE38/$AE$52</f>
        <v>2.9304029304029304E-3</v>
      </c>
      <c r="AG38" s="133">
        <f>0/10068</f>
        <v>0</v>
      </c>
    </row>
    <row r="39" spans="1:33" x14ac:dyDescent="0.4">
      <c r="A39" s="124" t="str">
        <f t="shared" ref="A39:A50" si="9">A21</f>
        <v>CANVASBACK</v>
      </c>
      <c r="B39" s="124"/>
      <c r="C39" s="125">
        <f t="shared" si="8"/>
        <v>0</v>
      </c>
      <c r="D39" s="125">
        <f t="shared" si="8"/>
        <v>1</v>
      </c>
      <c r="E39" s="125">
        <f t="shared" si="8"/>
        <v>0</v>
      </c>
      <c r="F39" s="125">
        <f t="shared" si="8"/>
        <v>0</v>
      </c>
      <c r="G39" s="125">
        <f t="shared" si="8"/>
        <v>0</v>
      </c>
      <c r="H39" s="125">
        <f t="shared" si="8"/>
        <v>6</v>
      </c>
      <c r="I39" s="125">
        <f t="shared" si="8"/>
        <v>2</v>
      </c>
      <c r="J39" s="125">
        <f t="shared" si="8"/>
        <v>0</v>
      </c>
      <c r="K39" s="125">
        <f t="shared" si="8"/>
        <v>0</v>
      </c>
      <c r="L39" s="125">
        <f t="shared" si="8"/>
        <v>0</v>
      </c>
      <c r="M39" s="125">
        <f t="shared" si="8"/>
        <v>0</v>
      </c>
      <c r="N39" s="125">
        <f t="shared" si="8"/>
        <v>1</v>
      </c>
      <c r="O39" s="125">
        <f t="shared" si="8"/>
        <v>0</v>
      </c>
      <c r="P39" s="125">
        <f t="shared" si="8"/>
        <v>0</v>
      </c>
      <c r="Q39" s="125">
        <f t="shared" si="8"/>
        <v>0</v>
      </c>
      <c r="R39" s="125">
        <f t="shared" si="8"/>
        <v>0</v>
      </c>
      <c r="S39" s="125">
        <f t="shared" si="8"/>
        <v>0</v>
      </c>
      <c r="T39" s="125">
        <f t="shared" si="8"/>
        <v>0</v>
      </c>
      <c r="U39" s="125">
        <f t="shared" si="8"/>
        <v>0</v>
      </c>
      <c r="V39" s="125">
        <f t="shared" si="8"/>
        <v>1</v>
      </c>
      <c r="W39" s="125">
        <f t="shared" si="8"/>
        <v>0</v>
      </c>
      <c r="X39" s="125">
        <f t="shared" si="8"/>
        <v>0</v>
      </c>
      <c r="Y39" s="125">
        <f t="shared" si="8"/>
        <v>0</v>
      </c>
      <c r="Z39" s="125">
        <f t="shared" si="8"/>
        <v>2</v>
      </c>
      <c r="AA39" s="125">
        <f t="shared" si="8"/>
        <v>0</v>
      </c>
      <c r="AB39" s="125">
        <f t="shared" si="8"/>
        <v>0</v>
      </c>
      <c r="AC39" s="125">
        <f t="shared" si="8"/>
        <v>0</v>
      </c>
      <c r="AD39" s="125">
        <f t="shared" si="8"/>
        <v>2</v>
      </c>
      <c r="AE39" s="126">
        <f t="shared" ref="AE39:AE51" si="10">SUM(C39:AD39)</f>
        <v>15</v>
      </c>
      <c r="AF39" s="129">
        <f>AE39/$AE$52</f>
        <v>1.098901098901099E-2</v>
      </c>
      <c r="AG39" s="130">
        <v>0</v>
      </c>
    </row>
    <row r="40" spans="1:33" x14ac:dyDescent="0.4">
      <c r="A40" s="124" t="str">
        <f t="shared" si="9"/>
        <v>GADWALL</v>
      </c>
      <c r="B40" s="124"/>
      <c r="C40" s="125">
        <f t="shared" si="8"/>
        <v>2</v>
      </c>
      <c r="D40" s="125">
        <f t="shared" si="8"/>
        <v>0</v>
      </c>
      <c r="E40" s="125">
        <f t="shared" si="8"/>
        <v>0</v>
      </c>
      <c r="F40" s="125">
        <f t="shared" si="8"/>
        <v>2</v>
      </c>
      <c r="G40" s="125">
        <f t="shared" si="8"/>
        <v>0</v>
      </c>
      <c r="H40" s="125">
        <f t="shared" si="8"/>
        <v>4</v>
      </c>
      <c r="I40" s="125">
        <f t="shared" si="8"/>
        <v>5</v>
      </c>
      <c r="J40" s="125">
        <f t="shared" si="8"/>
        <v>0</v>
      </c>
      <c r="K40" s="125">
        <f t="shared" si="8"/>
        <v>1</v>
      </c>
      <c r="L40" s="125">
        <f t="shared" si="8"/>
        <v>0</v>
      </c>
      <c r="M40" s="125">
        <f t="shared" si="8"/>
        <v>2</v>
      </c>
      <c r="N40" s="125">
        <f t="shared" si="8"/>
        <v>0</v>
      </c>
      <c r="O40" s="125">
        <f t="shared" si="8"/>
        <v>0</v>
      </c>
      <c r="P40" s="125">
        <f t="shared" si="8"/>
        <v>0</v>
      </c>
      <c r="Q40" s="125">
        <f t="shared" si="8"/>
        <v>0</v>
      </c>
      <c r="R40" s="125">
        <f t="shared" si="8"/>
        <v>1</v>
      </c>
      <c r="S40" s="125">
        <f t="shared" si="8"/>
        <v>1</v>
      </c>
      <c r="T40" s="125">
        <f t="shared" si="8"/>
        <v>0</v>
      </c>
      <c r="U40" s="125">
        <f t="shared" si="8"/>
        <v>0</v>
      </c>
      <c r="V40" s="125">
        <f t="shared" si="8"/>
        <v>3</v>
      </c>
      <c r="W40" s="125">
        <f t="shared" si="8"/>
        <v>5</v>
      </c>
      <c r="X40" s="125">
        <f t="shared" si="8"/>
        <v>0</v>
      </c>
      <c r="Y40" s="125">
        <f t="shared" si="8"/>
        <v>0</v>
      </c>
      <c r="Z40" s="125">
        <f t="shared" si="8"/>
        <v>0</v>
      </c>
      <c r="AA40" s="125">
        <f t="shared" si="8"/>
        <v>0</v>
      </c>
      <c r="AB40" s="125">
        <f t="shared" si="8"/>
        <v>5</v>
      </c>
      <c r="AC40" s="125">
        <f t="shared" si="8"/>
        <v>0</v>
      </c>
      <c r="AD40" s="125">
        <f t="shared" si="8"/>
        <v>3</v>
      </c>
      <c r="AE40" s="126">
        <f t="shared" si="10"/>
        <v>34</v>
      </c>
      <c r="AF40" s="129">
        <f>AE40/$AE$52</f>
        <v>2.490842490842491E-2</v>
      </c>
      <c r="AG40" s="130">
        <v>0</v>
      </c>
    </row>
    <row r="41" spans="1:33" x14ac:dyDescent="0.4">
      <c r="A41" s="124" t="str">
        <f t="shared" si="9"/>
        <v>GEESE</v>
      </c>
      <c r="B41" s="124"/>
      <c r="C41" s="125">
        <f t="shared" si="8"/>
        <v>0</v>
      </c>
      <c r="D41" s="125">
        <f t="shared" si="8"/>
        <v>0</v>
      </c>
      <c r="E41" s="125">
        <f t="shared" si="8"/>
        <v>0</v>
      </c>
      <c r="F41" s="125">
        <f t="shared" si="8"/>
        <v>0</v>
      </c>
      <c r="G41" s="125">
        <f t="shared" si="8"/>
        <v>1</v>
      </c>
      <c r="H41" s="125">
        <f t="shared" si="8"/>
        <v>0</v>
      </c>
      <c r="I41" s="125">
        <f t="shared" si="8"/>
        <v>0</v>
      </c>
      <c r="J41" s="125">
        <f t="shared" si="8"/>
        <v>0</v>
      </c>
      <c r="K41" s="125">
        <f t="shared" si="8"/>
        <v>0</v>
      </c>
      <c r="L41" s="125">
        <f t="shared" si="8"/>
        <v>0</v>
      </c>
      <c r="M41" s="125">
        <f t="shared" si="8"/>
        <v>2</v>
      </c>
      <c r="N41" s="125">
        <f t="shared" si="8"/>
        <v>0</v>
      </c>
      <c r="O41" s="125">
        <f t="shared" si="8"/>
        <v>0</v>
      </c>
      <c r="P41" s="125">
        <f t="shared" si="8"/>
        <v>0</v>
      </c>
      <c r="Q41" s="125">
        <f t="shared" si="8"/>
        <v>0</v>
      </c>
      <c r="R41" s="125">
        <f t="shared" si="8"/>
        <v>0</v>
      </c>
      <c r="S41" s="125">
        <f t="shared" si="8"/>
        <v>0</v>
      </c>
      <c r="T41" s="125">
        <f t="shared" si="8"/>
        <v>0</v>
      </c>
      <c r="U41" s="125">
        <f t="shared" si="8"/>
        <v>0</v>
      </c>
      <c r="V41" s="125">
        <f t="shared" si="8"/>
        <v>0</v>
      </c>
      <c r="W41" s="125">
        <f t="shared" si="8"/>
        <v>0</v>
      </c>
      <c r="X41" s="125">
        <f t="shared" si="8"/>
        <v>0</v>
      </c>
      <c r="Y41" s="125">
        <f t="shared" si="8"/>
        <v>0</v>
      </c>
      <c r="Z41" s="125">
        <f t="shared" si="8"/>
        <v>0</v>
      </c>
      <c r="AA41" s="125">
        <f t="shared" si="8"/>
        <v>0</v>
      </c>
      <c r="AB41" s="125">
        <f t="shared" si="8"/>
        <v>3</v>
      </c>
      <c r="AC41" s="125">
        <f t="shared" si="8"/>
        <v>0</v>
      </c>
      <c r="AD41" s="125">
        <f t="shared" si="8"/>
        <v>0</v>
      </c>
      <c r="AE41" s="126">
        <f t="shared" si="10"/>
        <v>6</v>
      </c>
      <c r="AF41" s="129">
        <f>AE41/$AE$52</f>
        <v>4.3956043956043956E-3</v>
      </c>
      <c r="AG41" s="130">
        <v>0</v>
      </c>
    </row>
    <row r="42" spans="1:33" x14ac:dyDescent="0.4">
      <c r="A42" s="124" t="str">
        <f t="shared" si="9"/>
        <v>MALLARD</v>
      </c>
      <c r="B42" s="124"/>
      <c r="C42" s="125">
        <f t="shared" si="8"/>
        <v>0</v>
      </c>
      <c r="D42" s="125">
        <f t="shared" si="8"/>
        <v>1</v>
      </c>
      <c r="E42" s="125">
        <f t="shared" si="8"/>
        <v>0</v>
      </c>
      <c r="F42" s="125">
        <f t="shared" si="8"/>
        <v>1</v>
      </c>
      <c r="G42" s="125">
        <f t="shared" si="8"/>
        <v>0</v>
      </c>
      <c r="H42" s="125">
        <f t="shared" si="8"/>
        <v>1</v>
      </c>
      <c r="I42" s="125">
        <f t="shared" si="8"/>
        <v>0</v>
      </c>
      <c r="J42" s="125">
        <f t="shared" si="8"/>
        <v>2</v>
      </c>
      <c r="K42" s="125">
        <f t="shared" si="8"/>
        <v>0</v>
      </c>
      <c r="L42" s="125">
        <f t="shared" si="8"/>
        <v>0</v>
      </c>
      <c r="M42" s="125">
        <f t="shared" si="8"/>
        <v>2</v>
      </c>
      <c r="N42" s="125">
        <f t="shared" si="8"/>
        <v>0</v>
      </c>
      <c r="O42" s="125">
        <f t="shared" si="8"/>
        <v>0</v>
      </c>
      <c r="P42" s="125">
        <f t="shared" si="8"/>
        <v>0</v>
      </c>
      <c r="Q42" s="125">
        <f t="shared" si="8"/>
        <v>0</v>
      </c>
      <c r="R42" s="125">
        <f t="shared" si="8"/>
        <v>0</v>
      </c>
      <c r="S42" s="125">
        <f t="shared" si="8"/>
        <v>0</v>
      </c>
      <c r="T42" s="125">
        <f t="shared" si="8"/>
        <v>0</v>
      </c>
      <c r="U42" s="125">
        <f t="shared" si="8"/>
        <v>0</v>
      </c>
      <c r="V42" s="125">
        <f t="shared" si="8"/>
        <v>0</v>
      </c>
      <c r="W42" s="125">
        <f t="shared" si="8"/>
        <v>1</v>
      </c>
      <c r="X42" s="125">
        <f t="shared" si="8"/>
        <v>0</v>
      </c>
      <c r="Y42" s="125">
        <f t="shared" si="8"/>
        <v>0</v>
      </c>
      <c r="Z42" s="125">
        <f t="shared" si="8"/>
        <v>0</v>
      </c>
      <c r="AA42" s="125">
        <f t="shared" si="8"/>
        <v>0</v>
      </c>
      <c r="AB42" s="125">
        <f t="shared" si="8"/>
        <v>3</v>
      </c>
      <c r="AC42" s="125">
        <f t="shared" si="8"/>
        <v>0</v>
      </c>
      <c r="AD42" s="125">
        <f t="shared" si="8"/>
        <v>4</v>
      </c>
      <c r="AE42" s="126">
        <f t="shared" si="10"/>
        <v>15</v>
      </c>
      <c r="AF42" s="129">
        <f t="shared" ref="AF42:AF51" si="11">AE42/$AE$52</f>
        <v>1.098901098901099E-2</v>
      </c>
      <c r="AG42" s="130">
        <v>0</v>
      </c>
    </row>
    <row r="43" spans="1:33" x14ac:dyDescent="0.4">
      <c r="A43" s="124" t="str">
        <f t="shared" si="9"/>
        <v>PINTAIL</v>
      </c>
      <c r="B43" s="124"/>
      <c r="C43" s="125">
        <f t="shared" si="8"/>
        <v>5</v>
      </c>
      <c r="D43" s="125">
        <f>D8+D25</f>
        <v>1</v>
      </c>
      <c r="E43" s="125">
        <f t="shared" si="8"/>
        <v>0</v>
      </c>
      <c r="F43" s="125">
        <f t="shared" si="8"/>
        <v>2</v>
      </c>
      <c r="G43" s="125">
        <f t="shared" si="8"/>
        <v>0</v>
      </c>
      <c r="H43" s="125">
        <f t="shared" si="8"/>
        <v>9</v>
      </c>
      <c r="I43" s="125">
        <f t="shared" si="8"/>
        <v>11</v>
      </c>
      <c r="J43" s="125">
        <f t="shared" si="8"/>
        <v>1</v>
      </c>
      <c r="K43" s="125">
        <f t="shared" si="8"/>
        <v>1</v>
      </c>
      <c r="L43" s="125">
        <f t="shared" si="8"/>
        <v>0</v>
      </c>
      <c r="M43" s="125">
        <f t="shared" si="8"/>
        <v>5</v>
      </c>
      <c r="N43" s="125">
        <f t="shared" si="8"/>
        <v>1</v>
      </c>
      <c r="O43" s="125">
        <f t="shared" si="8"/>
        <v>0</v>
      </c>
      <c r="P43" s="125">
        <f t="shared" si="8"/>
        <v>0</v>
      </c>
      <c r="Q43" s="125">
        <f t="shared" si="8"/>
        <v>0</v>
      </c>
      <c r="R43" s="125">
        <f t="shared" si="8"/>
        <v>0</v>
      </c>
      <c r="S43" s="125">
        <f t="shared" si="8"/>
        <v>5</v>
      </c>
      <c r="T43" s="125">
        <f t="shared" si="8"/>
        <v>0</v>
      </c>
      <c r="U43" s="125">
        <f t="shared" si="8"/>
        <v>0</v>
      </c>
      <c r="V43" s="125">
        <f t="shared" si="8"/>
        <v>0</v>
      </c>
      <c r="W43" s="125">
        <f t="shared" si="8"/>
        <v>2</v>
      </c>
      <c r="X43" s="125">
        <f t="shared" si="8"/>
        <v>0</v>
      </c>
      <c r="Y43" s="125">
        <f t="shared" si="8"/>
        <v>0</v>
      </c>
      <c r="Z43" s="125">
        <f t="shared" si="8"/>
        <v>2</v>
      </c>
      <c r="AA43" s="125">
        <f t="shared" si="8"/>
        <v>0</v>
      </c>
      <c r="AB43" s="125">
        <f t="shared" si="8"/>
        <v>8</v>
      </c>
      <c r="AC43" s="125">
        <f t="shared" si="8"/>
        <v>0</v>
      </c>
      <c r="AD43" s="125">
        <f t="shared" si="8"/>
        <v>2</v>
      </c>
      <c r="AE43" s="126">
        <f t="shared" si="10"/>
        <v>55</v>
      </c>
      <c r="AF43" s="129">
        <f t="shared" si="11"/>
        <v>4.0293040293040296E-2</v>
      </c>
      <c r="AG43" s="130">
        <v>0</v>
      </c>
    </row>
    <row r="44" spans="1:33" x14ac:dyDescent="0.4">
      <c r="A44" s="124" t="str">
        <f t="shared" si="9"/>
        <v>REDHEAD</v>
      </c>
      <c r="B44" s="124"/>
      <c r="C44" s="125">
        <f t="shared" si="8"/>
        <v>0</v>
      </c>
      <c r="D44" s="125">
        <f t="shared" si="8"/>
        <v>0</v>
      </c>
      <c r="E44" s="125">
        <f t="shared" si="8"/>
        <v>0</v>
      </c>
      <c r="F44" s="125">
        <f t="shared" si="8"/>
        <v>1</v>
      </c>
      <c r="G44" s="125">
        <f t="shared" si="8"/>
        <v>0</v>
      </c>
      <c r="H44" s="125">
        <f t="shared" si="8"/>
        <v>0</v>
      </c>
      <c r="I44" s="125">
        <f t="shared" si="8"/>
        <v>3</v>
      </c>
      <c r="J44" s="125">
        <f t="shared" si="8"/>
        <v>0</v>
      </c>
      <c r="K44" s="125">
        <f t="shared" si="8"/>
        <v>0</v>
      </c>
      <c r="L44" s="125">
        <f t="shared" si="8"/>
        <v>0</v>
      </c>
      <c r="M44" s="125">
        <f t="shared" si="8"/>
        <v>0</v>
      </c>
      <c r="N44" s="125">
        <f t="shared" si="8"/>
        <v>0</v>
      </c>
      <c r="O44" s="125">
        <f t="shared" si="8"/>
        <v>0</v>
      </c>
      <c r="P44" s="125">
        <f t="shared" si="8"/>
        <v>0</v>
      </c>
      <c r="Q44" s="125">
        <f t="shared" si="8"/>
        <v>0</v>
      </c>
      <c r="R44" s="125">
        <f t="shared" si="8"/>
        <v>0</v>
      </c>
      <c r="S44" s="125">
        <f t="shared" si="8"/>
        <v>1</v>
      </c>
      <c r="T44" s="125">
        <f t="shared" si="8"/>
        <v>0</v>
      </c>
      <c r="U44" s="125">
        <f t="shared" si="8"/>
        <v>0</v>
      </c>
      <c r="V44" s="125">
        <f t="shared" si="8"/>
        <v>0</v>
      </c>
      <c r="W44" s="125">
        <f t="shared" si="8"/>
        <v>0</v>
      </c>
      <c r="X44" s="125">
        <f t="shared" si="8"/>
        <v>0</v>
      </c>
      <c r="Y44" s="125">
        <f t="shared" si="8"/>
        <v>0</v>
      </c>
      <c r="Z44" s="125">
        <f t="shared" si="8"/>
        <v>0</v>
      </c>
      <c r="AA44" s="125">
        <f t="shared" si="8"/>
        <v>0</v>
      </c>
      <c r="AB44" s="125">
        <f t="shared" si="8"/>
        <v>0</v>
      </c>
      <c r="AC44" s="125">
        <f t="shared" si="8"/>
        <v>0</v>
      </c>
      <c r="AD44" s="125">
        <f t="shared" si="8"/>
        <v>0</v>
      </c>
      <c r="AE44" s="126">
        <f t="shared" si="10"/>
        <v>5</v>
      </c>
      <c r="AF44" s="129">
        <f t="shared" si="11"/>
        <v>3.663003663003663E-3</v>
      </c>
      <c r="AG44" s="130">
        <v>0</v>
      </c>
    </row>
    <row r="45" spans="1:33" x14ac:dyDescent="0.4">
      <c r="A45" s="124" t="str">
        <f t="shared" si="9"/>
        <v>WOODY</v>
      </c>
      <c r="B45" s="124"/>
      <c r="C45" s="125">
        <f t="shared" si="8"/>
        <v>0</v>
      </c>
      <c r="D45" s="125">
        <f t="shared" si="8"/>
        <v>0</v>
      </c>
      <c r="E45" s="125">
        <f t="shared" si="8"/>
        <v>0</v>
      </c>
      <c r="F45" s="125">
        <f t="shared" si="8"/>
        <v>0</v>
      </c>
      <c r="G45" s="125">
        <f t="shared" si="8"/>
        <v>0</v>
      </c>
      <c r="H45" s="125">
        <f t="shared" si="8"/>
        <v>0</v>
      </c>
      <c r="I45" s="125">
        <f t="shared" si="8"/>
        <v>0</v>
      </c>
      <c r="J45" s="125">
        <f t="shared" si="8"/>
        <v>0</v>
      </c>
      <c r="K45" s="125">
        <f t="shared" si="8"/>
        <v>0</v>
      </c>
      <c r="L45" s="125">
        <f t="shared" si="8"/>
        <v>0</v>
      </c>
      <c r="M45" s="125">
        <f t="shared" si="8"/>
        <v>0</v>
      </c>
      <c r="N45" s="125">
        <f t="shared" si="8"/>
        <v>0</v>
      </c>
      <c r="O45" s="125">
        <f t="shared" si="8"/>
        <v>0</v>
      </c>
      <c r="P45" s="125">
        <f t="shared" si="8"/>
        <v>0</v>
      </c>
      <c r="Q45" s="125">
        <f t="shared" si="8"/>
        <v>0</v>
      </c>
      <c r="R45" s="125">
        <f t="shared" si="8"/>
        <v>0</v>
      </c>
      <c r="S45" s="125">
        <f t="shared" si="8"/>
        <v>0</v>
      </c>
      <c r="T45" s="125">
        <f t="shared" si="8"/>
        <v>0</v>
      </c>
      <c r="U45" s="125">
        <f t="shared" si="8"/>
        <v>0</v>
      </c>
      <c r="V45" s="125">
        <f t="shared" si="8"/>
        <v>0</v>
      </c>
      <c r="W45" s="125">
        <f t="shared" si="8"/>
        <v>0</v>
      </c>
      <c r="X45" s="125">
        <f t="shared" si="8"/>
        <v>0</v>
      </c>
      <c r="Y45" s="125">
        <f t="shared" si="8"/>
        <v>0</v>
      </c>
      <c r="Z45" s="125">
        <f t="shared" si="8"/>
        <v>0</v>
      </c>
      <c r="AA45" s="125">
        <f t="shared" si="8"/>
        <v>0</v>
      </c>
      <c r="AB45" s="125">
        <f t="shared" si="8"/>
        <v>0</v>
      </c>
      <c r="AC45" s="125">
        <f t="shared" si="8"/>
        <v>0</v>
      </c>
      <c r="AD45" s="125">
        <f t="shared" si="8"/>
        <v>0</v>
      </c>
      <c r="AE45" s="126">
        <f t="shared" si="10"/>
        <v>0</v>
      </c>
      <c r="AF45" s="129">
        <f t="shared" si="11"/>
        <v>0</v>
      </c>
      <c r="AG45" s="130">
        <v>0</v>
      </c>
    </row>
    <row r="46" spans="1:33" x14ac:dyDescent="0.4">
      <c r="A46" s="124" t="str">
        <f t="shared" si="9"/>
        <v>B'HEAD</v>
      </c>
      <c r="B46" s="124"/>
      <c r="C46" s="125">
        <f t="shared" si="8"/>
        <v>0</v>
      </c>
      <c r="D46" s="125">
        <f t="shared" si="8"/>
        <v>0</v>
      </c>
      <c r="E46" s="125">
        <f t="shared" si="8"/>
        <v>1</v>
      </c>
      <c r="F46" s="125">
        <f t="shared" si="8"/>
        <v>1</v>
      </c>
      <c r="G46" s="125">
        <f t="shared" si="8"/>
        <v>2</v>
      </c>
      <c r="H46" s="125">
        <f t="shared" si="8"/>
        <v>3</v>
      </c>
      <c r="I46" s="125">
        <f t="shared" si="8"/>
        <v>1</v>
      </c>
      <c r="J46" s="125">
        <f t="shared" si="8"/>
        <v>0</v>
      </c>
      <c r="K46" s="125">
        <f t="shared" si="8"/>
        <v>11</v>
      </c>
      <c r="L46" s="125">
        <f t="shared" si="8"/>
        <v>0</v>
      </c>
      <c r="M46" s="125">
        <f t="shared" si="8"/>
        <v>2</v>
      </c>
      <c r="N46" s="125">
        <f t="shared" si="8"/>
        <v>2</v>
      </c>
      <c r="O46" s="125">
        <f t="shared" si="8"/>
        <v>0</v>
      </c>
      <c r="P46" s="125">
        <f t="shared" si="8"/>
        <v>0</v>
      </c>
      <c r="Q46" s="125">
        <f t="shared" si="8"/>
        <v>0</v>
      </c>
      <c r="R46" s="125">
        <f t="shared" si="8"/>
        <v>0</v>
      </c>
      <c r="S46" s="125">
        <f t="shared" si="8"/>
        <v>0</v>
      </c>
      <c r="T46" s="125">
        <f t="shared" si="8"/>
        <v>0</v>
      </c>
      <c r="U46" s="125">
        <f t="shared" si="8"/>
        <v>0</v>
      </c>
      <c r="V46" s="125">
        <f t="shared" si="8"/>
        <v>0</v>
      </c>
      <c r="W46" s="125">
        <f t="shared" si="8"/>
        <v>0</v>
      </c>
      <c r="X46" s="125">
        <f t="shared" si="8"/>
        <v>0</v>
      </c>
      <c r="Y46" s="125">
        <f t="shared" si="8"/>
        <v>0</v>
      </c>
      <c r="Z46" s="125">
        <f t="shared" si="8"/>
        <v>1</v>
      </c>
      <c r="AA46" s="125">
        <f t="shared" si="8"/>
        <v>1</v>
      </c>
      <c r="AB46" s="125">
        <f t="shared" si="8"/>
        <v>1</v>
      </c>
      <c r="AC46" s="125">
        <f t="shared" si="8"/>
        <v>0</v>
      </c>
      <c r="AD46" s="125">
        <f t="shared" si="8"/>
        <v>0</v>
      </c>
      <c r="AE46" s="126">
        <f t="shared" si="10"/>
        <v>26</v>
      </c>
      <c r="AF46" s="129">
        <f t="shared" si="11"/>
        <v>1.9047619047619049E-2</v>
      </c>
      <c r="AG46" s="130">
        <v>0</v>
      </c>
    </row>
    <row r="47" spans="1:33" x14ac:dyDescent="0.4">
      <c r="A47" s="124" t="str">
        <f t="shared" si="9"/>
        <v>SPOONY</v>
      </c>
      <c r="B47" s="124"/>
      <c r="C47" s="125">
        <f t="shared" si="8"/>
        <v>25</v>
      </c>
      <c r="D47" s="125">
        <f t="shared" si="8"/>
        <v>17</v>
      </c>
      <c r="E47" s="125">
        <f t="shared" si="8"/>
        <v>18</v>
      </c>
      <c r="F47" s="125">
        <f t="shared" ref="C47:AD51" si="12">F12+F29</f>
        <v>27</v>
      </c>
      <c r="G47" s="125">
        <f t="shared" si="12"/>
        <v>29</v>
      </c>
      <c r="H47" s="125">
        <f t="shared" si="12"/>
        <v>56</v>
      </c>
      <c r="I47" s="125">
        <f t="shared" si="12"/>
        <v>46</v>
      </c>
      <c r="J47" s="125">
        <f t="shared" si="12"/>
        <v>4</v>
      </c>
      <c r="K47" s="125">
        <f t="shared" si="12"/>
        <v>20</v>
      </c>
      <c r="L47" s="125">
        <f t="shared" si="12"/>
        <v>2</v>
      </c>
      <c r="M47" s="125">
        <f t="shared" si="12"/>
        <v>38</v>
      </c>
      <c r="N47" s="125">
        <f t="shared" si="12"/>
        <v>7</v>
      </c>
      <c r="O47" s="125">
        <f t="shared" si="12"/>
        <v>5</v>
      </c>
      <c r="P47" s="125">
        <f t="shared" si="12"/>
        <v>0</v>
      </c>
      <c r="Q47" s="125">
        <f t="shared" si="12"/>
        <v>0</v>
      </c>
      <c r="R47" s="125">
        <f t="shared" si="12"/>
        <v>6</v>
      </c>
      <c r="S47" s="125">
        <f t="shared" si="12"/>
        <v>9</v>
      </c>
      <c r="T47" s="125">
        <f t="shared" si="12"/>
        <v>0</v>
      </c>
      <c r="U47" s="125">
        <f t="shared" si="12"/>
        <v>2</v>
      </c>
      <c r="V47" s="125">
        <f t="shared" si="12"/>
        <v>4</v>
      </c>
      <c r="W47" s="125">
        <f t="shared" si="12"/>
        <v>25</v>
      </c>
      <c r="X47" s="125">
        <f t="shared" si="12"/>
        <v>0</v>
      </c>
      <c r="Y47" s="125">
        <f t="shared" si="12"/>
        <v>0</v>
      </c>
      <c r="Z47" s="125">
        <f t="shared" si="12"/>
        <v>7</v>
      </c>
      <c r="AA47" s="125">
        <f t="shared" si="12"/>
        <v>3</v>
      </c>
      <c r="AB47" s="125">
        <f t="shared" si="12"/>
        <v>34</v>
      </c>
      <c r="AC47" s="125">
        <f t="shared" si="12"/>
        <v>0</v>
      </c>
      <c r="AD47" s="125">
        <f t="shared" si="12"/>
        <v>33</v>
      </c>
      <c r="AE47" s="126">
        <f t="shared" si="10"/>
        <v>417</v>
      </c>
      <c r="AF47" s="129">
        <f>AE47/$AE$52</f>
        <v>0.30549450549450552</v>
      </c>
      <c r="AG47" s="130">
        <v>0</v>
      </c>
    </row>
    <row r="48" spans="1:33" x14ac:dyDescent="0.4">
      <c r="A48" s="124" t="str">
        <f t="shared" si="9"/>
        <v>TEAL</v>
      </c>
      <c r="B48" s="124"/>
      <c r="C48" s="125">
        <f t="shared" si="12"/>
        <v>73</v>
      </c>
      <c r="D48" s="125">
        <f t="shared" si="12"/>
        <v>25</v>
      </c>
      <c r="E48" s="125">
        <f t="shared" si="12"/>
        <v>21</v>
      </c>
      <c r="F48" s="125">
        <f t="shared" si="12"/>
        <v>35</v>
      </c>
      <c r="G48" s="125">
        <f t="shared" si="12"/>
        <v>17</v>
      </c>
      <c r="H48" s="125">
        <f t="shared" si="12"/>
        <v>62</v>
      </c>
      <c r="I48" s="125">
        <f t="shared" si="12"/>
        <v>101</v>
      </c>
      <c r="J48" s="125">
        <f t="shared" si="12"/>
        <v>1</v>
      </c>
      <c r="K48" s="125">
        <f t="shared" si="12"/>
        <v>26</v>
      </c>
      <c r="L48" s="125">
        <f t="shared" si="12"/>
        <v>1</v>
      </c>
      <c r="M48" s="125">
        <f t="shared" si="12"/>
        <v>50</v>
      </c>
      <c r="N48" s="125">
        <f t="shared" si="12"/>
        <v>2</v>
      </c>
      <c r="O48" s="125">
        <f t="shared" si="12"/>
        <v>13</v>
      </c>
      <c r="P48" s="125">
        <f t="shared" si="12"/>
        <v>0</v>
      </c>
      <c r="Q48" s="125">
        <f t="shared" si="12"/>
        <v>0</v>
      </c>
      <c r="R48" s="125">
        <f t="shared" si="12"/>
        <v>7</v>
      </c>
      <c r="S48" s="125">
        <f t="shared" si="12"/>
        <v>35</v>
      </c>
      <c r="T48" s="125">
        <f t="shared" si="12"/>
        <v>0</v>
      </c>
      <c r="U48" s="125">
        <f t="shared" si="12"/>
        <v>0</v>
      </c>
      <c r="V48" s="125">
        <f t="shared" si="12"/>
        <v>3</v>
      </c>
      <c r="W48" s="125">
        <f t="shared" si="12"/>
        <v>68</v>
      </c>
      <c r="X48" s="125">
        <f t="shared" si="12"/>
        <v>0</v>
      </c>
      <c r="Y48" s="125">
        <f t="shared" si="12"/>
        <v>0</v>
      </c>
      <c r="Z48" s="125">
        <f t="shared" si="12"/>
        <v>13</v>
      </c>
      <c r="AA48" s="125">
        <f t="shared" si="12"/>
        <v>34</v>
      </c>
      <c r="AB48" s="125">
        <f t="shared" si="12"/>
        <v>40</v>
      </c>
      <c r="AC48" s="125">
        <f t="shared" si="12"/>
        <v>9</v>
      </c>
      <c r="AD48" s="125">
        <f t="shared" si="12"/>
        <v>22</v>
      </c>
      <c r="AE48" s="126">
        <f t="shared" si="10"/>
        <v>658</v>
      </c>
      <c r="AF48" s="129">
        <f t="shared" si="11"/>
        <v>0.48205128205128206</v>
      </c>
      <c r="AG48" s="130">
        <v>0</v>
      </c>
    </row>
    <row r="49" spans="1:33" x14ac:dyDescent="0.4">
      <c r="A49" s="124" t="str">
        <f>A31</f>
        <v>WIDGEON</v>
      </c>
      <c r="B49" s="124"/>
      <c r="C49" s="125">
        <f t="shared" si="12"/>
        <v>8</v>
      </c>
      <c r="D49" s="125">
        <f t="shared" si="12"/>
        <v>4</v>
      </c>
      <c r="E49" s="125">
        <f t="shared" si="12"/>
        <v>1</v>
      </c>
      <c r="F49" s="125">
        <f t="shared" si="12"/>
        <v>3</v>
      </c>
      <c r="G49" s="125">
        <f t="shared" si="12"/>
        <v>1</v>
      </c>
      <c r="H49" s="125">
        <f t="shared" si="12"/>
        <v>9</v>
      </c>
      <c r="I49" s="125">
        <f t="shared" si="12"/>
        <v>19</v>
      </c>
      <c r="J49" s="125">
        <f t="shared" si="12"/>
        <v>0</v>
      </c>
      <c r="K49" s="125">
        <f t="shared" si="12"/>
        <v>3</v>
      </c>
      <c r="L49" s="125">
        <f t="shared" si="12"/>
        <v>1</v>
      </c>
      <c r="M49" s="125">
        <f t="shared" si="12"/>
        <v>6</v>
      </c>
      <c r="N49" s="125">
        <f t="shared" si="12"/>
        <v>0</v>
      </c>
      <c r="O49" s="125">
        <f t="shared" si="12"/>
        <v>4</v>
      </c>
      <c r="P49" s="125">
        <f t="shared" si="12"/>
        <v>0</v>
      </c>
      <c r="Q49" s="125">
        <f t="shared" si="12"/>
        <v>0</v>
      </c>
      <c r="R49" s="125">
        <f t="shared" si="12"/>
        <v>1</v>
      </c>
      <c r="S49" s="125">
        <f t="shared" si="12"/>
        <v>7</v>
      </c>
      <c r="T49" s="125">
        <f t="shared" si="12"/>
        <v>0</v>
      </c>
      <c r="U49" s="125">
        <f t="shared" si="12"/>
        <v>0</v>
      </c>
      <c r="V49" s="125">
        <f t="shared" si="12"/>
        <v>4</v>
      </c>
      <c r="W49" s="125">
        <f t="shared" si="12"/>
        <v>16</v>
      </c>
      <c r="X49" s="125">
        <f t="shared" si="12"/>
        <v>2</v>
      </c>
      <c r="Y49" s="125">
        <f t="shared" si="12"/>
        <v>0</v>
      </c>
      <c r="Z49" s="125">
        <f t="shared" si="12"/>
        <v>1</v>
      </c>
      <c r="AA49" s="125">
        <f t="shared" si="12"/>
        <v>0</v>
      </c>
      <c r="AB49" s="125">
        <f t="shared" si="12"/>
        <v>13</v>
      </c>
      <c r="AC49" s="125">
        <f t="shared" si="12"/>
        <v>2</v>
      </c>
      <c r="AD49" s="125">
        <f t="shared" si="12"/>
        <v>15</v>
      </c>
      <c r="AE49" s="126">
        <f t="shared" si="10"/>
        <v>120</v>
      </c>
      <c r="AF49" s="129">
        <f t="shared" si="11"/>
        <v>8.7912087912087919E-2</v>
      </c>
      <c r="AG49" s="130">
        <v>0</v>
      </c>
    </row>
    <row r="50" spans="1:33" x14ac:dyDescent="0.4">
      <c r="A50" s="124" t="str">
        <f t="shared" si="9"/>
        <v>SCAUP</v>
      </c>
      <c r="B50" s="124"/>
      <c r="C50" s="125">
        <f t="shared" si="12"/>
        <v>0</v>
      </c>
      <c r="D50" s="125">
        <f t="shared" si="12"/>
        <v>0</v>
      </c>
      <c r="E50" s="125">
        <f t="shared" si="12"/>
        <v>0</v>
      </c>
      <c r="F50" s="125">
        <f t="shared" si="12"/>
        <v>0</v>
      </c>
      <c r="G50" s="125">
        <f t="shared" si="12"/>
        <v>1</v>
      </c>
      <c r="H50" s="125">
        <f t="shared" si="12"/>
        <v>0</v>
      </c>
      <c r="I50" s="125">
        <f t="shared" si="12"/>
        <v>0</v>
      </c>
      <c r="J50" s="125">
        <f t="shared" si="12"/>
        <v>0</v>
      </c>
      <c r="K50" s="125">
        <f t="shared" si="12"/>
        <v>0</v>
      </c>
      <c r="L50" s="125">
        <f t="shared" si="12"/>
        <v>0</v>
      </c>
      <c r="M50" s="125">
        <f t="shared" si="12"/>
        <v>0</v>
      </c>
      <c r="N50" s="125">
        <f t="shared" si="12"/>
        <v>0</v>
      </c>
      <c r="O50" s="125">
        <f t="shared" si="12"/>
        <v>0</v>
      </c>
      <c r="P50" s="125">
        <f t="shared" si="12"/>
        <v>0</v>
      </c>
      <c r="Q50" s="125">
        <f t="shared" si="12"/>
        <v>0</v>
      </c>
      <c r="R50" s="125">
        <f t="shared" si="12"/>
        <v>0</v>
      </c>
      <c r="S50" s="125">
        <f t="shared" si="12"/>
        <v>0</v>
      </c>
      <c r="T50" s="125">
        <f t="shared" si="12"/>
        <v>0</v>
      </c>
      <c r="U50" s="125">
        <f t="shared" si="12"/>
        <v>0</v>
      </c>
      <c r="V50" s="125">
        <f t="shared" si="12"/>
        <v>0</v>
      </c>
      <c r="W50" s="125">
        <f t="shared" si="12"/>
        <v>0</v>
      </c>
      <c r="X50" s="125">
        <f>X15+X32</f>
        <v>0</v>
      </c>
      <c r="Y50" s="125">
        <f>Y15+Y32</f>
        <v>0</v>
      </c>
      <c r="Z50" s="125">
        <f t="shared" si="12"/>
        <v>0</v>
      </c>
      <c r="AA50" s="125">
        <f t="shared" si="12"/>
        <v>0</v>
      </c>
      <c r="AB50" s="125">
        <f t="shared" si="12"/>
        <v>0</v>
      </c>
      <c r="AC50" s="125">
        <f t="shared" si="12"/>
        <v>0</v>
      </c>
      <c r="AD50" s="125">
        <f t="shared" si="12"/>
        <v>0</v>
      </c>
      <c r="AE50" s="126">
        <f t="shared" si="10"/>
        <v>1</v>
      </c>
      <c r="AF50" s="129">
        <f t="shared" si="11"/>
        <v>7.326007326007326E-4</v>
      </c>
      <c r="AG50" s="130">
        <v>0</v>
      </c>
    </row>
    <row r="51" spans="1:33" ht="13" thickBot="1" x14ac:dyDescent="0.45">
      <c r="A51" s="128" t="str">
        <f>A33</f>
        <v>MISC</v>
      </c>
      <c r="B51" s="128"/>
      <c r="C51" s="93">
        <f t="shared" si="12"/>
        <v>1</v>
      </c>
      <c r="D51" s="93">
        <f t="shared" si="12"/>
        <v>0</v>
      </c>
      <c r="E51" s="93">
        <f t="shared" si="12"/>
        <v>0</v>
      </c>
      <c r="F51" s="93">
        <f t="shared" si="12"/>
        <v>0</v>
      </c>
      <c r="G51" s="93">
        <f t="shared" si="12"/>
        <v>0</v>
      </c>
      <c r="H51" s="93">
        <f t="shared" si="12"/>
        <v>0</v>
      </c>
      <c r="I51" s="93">
        <f t="shared" si="12"/>
        <v>1</v>
      </c>
      <c r="J51" s="93">
        <f t="shared" si="12"/>
        <v>1</v>
      </c>
      <c r="K51" s="93">
        <f t="shared" si="12"/>
        <v>2</v>
      </c>
      <c r="L51" s="93">
        <f t="shared" si="12"/>
        <v>0</v>
      </c>
      <c r="M51" s="93">
        <f t="shared" si="12"/>
        <v>0</v>
      </c>
      <c r="N51" s="93">
        <f t="shared" si="12"/>
        <v>0</v>
      </c>
      <c r="O51" s="93">
        <f t="shared" si="12"/>
        <v>0</v>
      </c>
      <c r="P51" s="93">
        <f t="shared" si="12"/>
        <v>0</v>
      </c>
      <c r="Q51" s="93">
        <f t="shared" si="12"/>
        <v>0</v>
      </c>
      <c r="R51" s="93">
        <f t="shared" si="12"/>
        <v>0</v>
      </c>
      <c r="S51" s="93">
        <f t="shared" si="12"/>
        <v>0</v>
      </c>
      <c r="T51" s="93">
        <f t="shared" si="12"/>
        <v>0</v>
      </c>
      <c r="U51" s="93">
        <f t="shared" si="12"/>
        <v>0</v>
      </c>
      <c r="V51" s="93">
        <f>V16+V33</f>
        <v>0</v>
      </c>
      <c r="W51" s="93">
        <f>W16+W33</f>
        <v>0</v>
      </c>
      <c r="X51" s="93">
        <f>X16+X33</f>
        <v>1</v>
      </c>
      <c r="Y51" s="93">
        <f>Y16+Y33</f>
        <v>0</v>
      </c>
      <c r="Z51" s="93">
        <f t="shared" si="12"/>
        <v>0</v>
      </c>
      <c r="AA51" s="93">
        <f t="shared" si="12"/>
        <v>0</v>
      </c>
      <c r="AB51" s="93">
        <f t="shared" si="12"/>
        <v>0</v>
      </c>
      <c r="AC51" s="93">
        <f t="shared" si="12"/>
        <v>0</v>
      </c>
      <c r="AD51" s="93">
        <f t="shared" si="12"/>
        <v>3</v>
      </c>
      <c r="AE51" s="102">
        <f t="shared" si="10"/>
        <v>9</v>
      </c>
      <c r="AF51" s="116">
        <f t="shared" si="11"/>
        <v>6.5934065934065934E-3</v>
      </c>
      <c r="AG51" s="105">
        <v>0</v>
      </c>
    </row>
    <row r="52" spans="1:33" x14ac:dyDescent="0.4">
      <c r="A52" s="99" t="s">
        <v>25</v>
      </c>
      <c r="B52" s="99"/>
      <c r="C52" s="92">
        <f>0+SUM(C38:C51)</f>
        <v>114</v>
      </c>
      <c r="D52" s="92">
        <f t="shared" ref="D52:U52" si="13">0+SUM(D38:D51)</f>
        <v>49</v>
      </c>
      <c r="E52" s="92">
        <f t="shared" si="13"/>
        <v>41</v>
      </c>
      <c r="F52" s="92">
        <f t="shared" si="13"/>
        <v>72</v>
      </c>
      <c r="G52" s="92">
        <f t="shared" si="13"/>
        <v>51</v>
      </c>
      <c r="H52" s="92">
        <f t="shared" si="13"/>
        <v>150</v>
      </c>
      <c r="I52" s="92">
        <f t="shared" si="13"/>
        <v>189</v>
      </c>
      <c r="J52" s="92">
        <f t="shared" si="13"/>
        <v>9</v>
      </c>
      <c r="K52" s="92">
        <f t="shared" si="13"/>
        <v>65</v>
      </c>
      <c r="L52" s="92">
        <f t="shared" si="13"/>
        <v>4</v>
      </c>
      <c r="M52" s="92">
        <f t="shared" si="13"/>
        <v>107</v>
      </c>
      <c r="N52" s="92">
        <f t="shared" si="13"/>
        <v>16</v>
      </c>
      <c r="O52" s="92">
        <f t="shared" si="13"/>
        <v>22</v>
      </c>
      <c r="P52" s="92">
        <f t="shared" si="13"/>
        <v>0</v>
      </c>
      <c r="Q52" s="92">
        <f t="shared" si="13"/>
        <v>0</v>
      </c>
      <c r="R52" s="92">
        <f t="shared" si="13"/>
        <v>15</v>
      </c>
      <c r="S52" s="92">
        <f t="shared" si="13"/>
        <v>58</v>
      </c>
      <c r="T52" s="92">
        <f t="shared" si="13"/>
        <v>0</v>
      </c>
      <c r="U52" s="92">
        <f t="shared" si="13"/>
        <v>2</v>
      </c>
      <c r="V52" s="92">
        <f>0+SUM(V38:V51)</f>
        <v>15</v>
      </c>
      <c r="W52" s="92">
        <f>0+SUM(W38:W51)</f>
        <v>117</v>
      </c>
      <c r="X52" s="92">
        <f>SUM(X17,X34)</f>
        <v>3</v>
      </c>
      <c r="Y52" s="92">
        <f t="shared" ref="Y52:AD52" si="14">0+SUM(Y38:Y51)</f>
        <v>0</v>
      </c>
      <c r="Z52" s="92">
        <f t="shared" si="14"/>
        <v>26</v>
      </c>
      <c r="AA52" s="92">
        <f t="shared" si="14"/>
        <v>38</v>
      </c>
      <c r="AB52" s="92">
        <f t="shared" si="14"/>
        <v>107</v>
      </c>
      <c r="AC52" s="92">
        <f t="shared" si="14"/>
        <v>11</v>
      </c>
      <c r="AD52" s="92">
        <f t="shared" si="14"/>
        <v>84</v>
      </c>
      <c r="AE52" s="99">
        <f>SUM(AE38:AE51)</f>
        <v>1365</v>
      </c>
      <c r="AF52" s="106"/>
      <c r="AG52" s="106"/>
    </row>
    <row r="53" spans="1:33" x14ac:dyDescent="0.4">
      <c r="A53" s="99" t="s">
        <v>48</v>
      </c>
      <c r="B53" s="99"/>
      <c r="C53" s="107">
        <f t="shared" ref="C53:AD53" si="15">C52/$AE$52</f>
        <v>8.3516483516483511E-2</v>
      </c>
      <c r="D53" s="107">
        <f t="shared" si="15"/>
        <v>3.5897435897435895E-2</v>
      </c>
      <c r="E53" s="107">
        <f t="shared" si="15"/>
        <v>3.0036630036630037E-2</v>
      </c>
      <c r="F53" s="107">
        <f t="shared" si="15"/>
        <v>5.2747252747252747E-2</v>
      </c>
      <c r="G53" s="107">
        <f t="shared" si="15"/>
        <v>3.7362637362637362E-2</v>
      </c>
      <c r="H53" s="107">
        <f t="shared" si="15"/>
        <v>0.10989010989010989</v>
      </c>
      <c r="I53" s="107">
        <v>0.13850000000000001</v>
      </c>
      <c r="J53" s="107">
        <f t="shared" si="15"/>
        <v>6.5934065934065934E-3</v>
      </c>
      <c r="K53" s="107">
        <f t="shared" si="15"/>
        <v>4.7619047619047616E-2</v>
      </c>
      <c r="L53" s="107">
        <f t="shared" si="15"/>
        <v>2.9304029304029304E-3</v>
      </c>
      <c r="M53" s="107">
        <f t="shared" si="15"/>
        <v>7.8388278388278387E-2</v>
      </c>
      <c r="N53" s="107">
        <f t="shared" si="15"/>
        <v>1.1721611721611722E-2</v>
      </c>
      <c r="O53" s="107">
        <f t="shared" si="15"/>
        <v>1.6117216117216119E-2</v>
      </c>
      <c r="P53" s="107">
        <f t="shared" si="15"/>
        <v>0</v>
      </c>
      <c r="Q53" s="107">
        <f t="shared" si="15"/>
        <v>0</v>
      </c>
      <c r="R53" s="107">
        <f t="shared" si="15"/>
        <v>1.098901098901099E-2</v>
      </c>
      <c r="S53" s="107">
        <f t="shared" si="15"/>
        <v>4.2490842490842493E-2</v>
      </c>
      <c r="T53" s="107">
        <f t="shared" si="15"/>
        <v>0</v>
      </c>
      <c r="U53" s="107">
        <f t="shared" si="15"/>
        <v>1.4652014652014652E-3</v>
      </c>
      <c r="V53" s="107">
        <f t="shared" si="15"/>
        <v>1.098901098901099E-2</v>
      </c>
      <c r="W53" s="107">
        <f t="shared" si="15"/>
        <v>8.5714285714285715E-2</v>
      </c>
      <c r="X53" s="107">
        <f t="shared" si="15"/>
        <v>2.1978021978021978E-3</v>
      </c>
      <c r="Y53" s="107">
        <f t="shared" si="15"/>
        <v>0</v>
      </c>
      <c r="Z53" s="107">
        <f t="shared" si="15"/>
        <v>1.9047619047619049E-2</v>
      </c>
      <c r="AA53" s="107">
        <f t="shared" si="15"/>
        <v>2.7838827838827841E-2</v>
      </c>
      <c r="AB53" s="107">
        <f t="shared" si="15"/>
        <v>7.8388278388278387E-2</v>
      </c>
      <c r="AC53" s="107">
        <f t="shared" si="15"/>
        <v>8.0586080586080595E-3</v>
      </c>
      <c r="AD53" s="107">
        <f t="shared" si="15"/>
        <v>6.1538461538461542E-2</v>
      </c>
      <c r="AE53" s="99"/>
      <c r="AF53" s="99"/>
      <c r="AG53" s="99"/>
    </row>
    <row r="54" spans="1:33" x14ac:dyDescent="0.4">
      <c r="A54" s="99" t="s">
        <v>169</v>
      </c>
      <c r="B54" s="99"/>
      <c r="C54" s="7">
        <v>4</v>
      </c>
      <c r="D54" s="7">
        <v>11</v>
      </c>
      <c r="E54" s="7">
        <v>12</v>
      </c>
      <c r="F54" s="7">
        <v>7</v>
      </c>
      <c r="G54" s="7">
        <v>10</v>
      </c>
      <c r="H54" s="7">
        <v>2</v>
      </c>
      <c r="I54" s="7">
        <v>1</v>
      </c>
      <c r="J54" s="7">
        <v>19</v>
      </c>
      <c r="K54" s="7">
        <v>8</v>
      </c>
      <c r="L54" s="7">
        <v>20</v>
      </c>
      <c r="M54" s="7">
        <v>5</v>
      </c>
      <c r="N54" s="7">
        <v>16</v>
      </c>
      <c r="O54" s="7">
        <v>15</v>
      </c>
      <c r="P54" s="7"/>
      <c r="Q54" s="7"/>
      <c r="R54" s="7">
        <v>17</v>
      </c>
      <c r="S54" s="7">
        <v>9</v>
      </c>
      <c r="T54" s="7"/>
      <c r="U54" s="7">
        <v>22</v>
      </c>
      <c r="V54" s="7">
        <v>17</v>
      </c>
      <c r="W54" s="7">
        <v>3</v>
      </c>
      <c r="X54" s="7">
        <v>21</v>
      </c>
      <c r="Y54" s="7"/>
      <c r="Z54" s="7">
        <v>14</v>
      </c>
      <c r="AA54" s="7">
        <v>13</v>
      </c>
      <c r="AB54" s="7">
        <v>5</v>
      </c>
      <c r="AC54" s="7">
        <v>18</v>
      </c>
      <c r="AD54" s="7">
        <v>6</v>
      </c>
      <c r="AE54" s="5"/>
      <c r="AF54" s="99"/>
      <c r="AG54" s="99"/>
    </row>
    <row r="55" spans="1:33" x14ac:dyDescent="0.4">
      <c r="A55" s="5" t="s">
        <v>47</v>
      </c>
      <c r="D55" s="108"/>
      <c r="E55" s="92"/>
      <c r="F55" s="92"/>
      <c r="G55" s="92"/>
      <c r="H55" s="92"/>
      <c r="I55" s="92"/>
      <c r="J55" s="92"/>
      <c r="K55" s="92"/>
      <c r="L55" s="92"/>
      <c r="M55" s="92">
        <f>SUM(C52:N52)</f>
        <v>867</v>
      </c>
      <c r="N55" s="92">
        <f>SUM(O52:Y52)</f>
        <v>232</v>
      </c>
      <c r="O55" s="92"/>
      <c r="P55" s="92"/>
      <c r="Q55" s="92"/>
      <c r="R55" s="92"/>
      <c r="S55" s="92"/>
      <c r="T55" s="92"/>
      <c r="U55" s="92"/>
      <c r="V55" s="92"/>
      <c r="W55" s="92"/>
      <c r="X55" s="92"/>
      <c r="Y55" s="92"/>
      <c r="Z55" s="92"/>
      <c r="AA55" s="92"/>
      <c r="AB55" s="92"/>
      <c r="AC55" s="92"/>
      <c r="AD55" s="92">
        <f>SUM(Z52:AD52)</f>
        <v>266</v>
      </c>
      <c r="AE55" s="99"/>
      <c r="AF55" s="99"/>
      <c r="AG55" s="99"/>
    </row>
    <row r="56" spans="1:33" x14ac:dyDescent="0.4">
      <c r="A56" s="99" t="s">
        <v>40</v>
      </c>
      <c r="B56" s="99"/>
      <c r="C56" s="92">
        <v>208</v>
      </c>
      <c r="D56" s="109"/>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9"/>
      <c r="AF56" s="99"/>
      <c r="AG56" s="99"/>
    </row>
    <row r="57" spans="1:33" x14ac:dyDescent="0.4">
      <c r="A57" s="99" t="s">
        <v>41</v>
      </c>
      <c r="B57" s="99"/>
      <c r="C57" s="87">
        <f>AE17/C56</f>
        <v>1.9567307692307692</v>
      </c>
      <c r="D57" s="108"/>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9"/>
      <c r="AF57" s="99"/>
      <c r="AG57" s="99"/>
    </row>
    <row r="58" spans="1:33" x14ac:dyDescent="0.4">
      <c r="A58" s="99" t="s">
        <v>42</v>
      </c>
      <c r="B58" s="99"/>
      <c r="C58" s="92">
        <v>340</v>
      </c>
      <c r="D58" s="109"/>
      <c r="E58" s="92"/>
      <c r="F58" s="29" t="s">
        <v>62</v>
      </c>
      <c r="G58" s="92"/>
      <c r="H58" s="92" t="s">
        <v>165</v>
      </c>
      <c r="I58" s="92"/>
      <c r="J58" s="92"/>
      <c r="K58" s="92"/>
      <c r="L58" s="92"/>
      <c r="M58" s="92"/>
      <c r="N58" s="92"/>
      <c r="O58" s="92"/>
      <c r="U58" s="92"/>
      <c r="V58" s="92"/>
      <c r="W58" s="92"/>
      <c r="X58" s="92"/>
      <c r="Y58" s="92"/>
      <c r="Z58" s="92"/>
      <c r="AA58" s="92"/>
      <c r="AB58" s="92"/>
      <c r="AC58" s="92"/>
      <c r="AD58" s="92"/>
      <c r="AE58" s="99"/>
      <c r="AF58" s="99"/>
      <c r="AG58" s="99"/>
    </row>
    <row r="59" spans="1:33" x14ac:dyDescent="0.4">
      <c r="A59" s="99" t="s">
        <v>43</v>
      </c>
      <c r="B59" s="99"/>
      <c r="C59" s="87">
        <f>AE34/C58</f>
        <v>2.8176470588235296</v>
      </c>
      <c r="D59" s="108"/>
      <c r="E59" s="92"/>
      <c r="F59" s="109"/>
      <c r="G59" s="92"/>
      <c r="H59" s="92"/>
      <c r="I59" s="92"/>
      <c r="J59" s="76" t="s">
        <v>86</v>
      </c>
      <c r="K59" s="92"/>
      <c r="L59" s="92">
        <f>28+83</f>
        <v>111</v>
      </c>
      <c r="M59" s="76" t="s">
        <v>134</v>
      </c>
      <c r="N59" s="2"/>
      <c r="O59" s="92">
        <f>34+56</f>
        <v>90</v>
      </c>
      <c r="P59" s="117" t="s">
        <v>157</v>
      </c>
      <c r="Q59" s="92"/>
      <c r="R59" s="92">
        <f>C60-L59-O59</f>
        <v>347</v>
      </c>
      <c r="S59" s="92"/>
      <c r="T59" s="92"/>
      <c r="U59" s="92"/>
      <c r="V59" s="92"/>
      <c r="W59" s="92"/>
      <c r="X59" s="92"/>
      <c r="Y59" s="92"/>
      <c r="Z59" s="92"/>
      <c r="AA59" s="92"/>
      <c r="AB59" s="92"/>
      <c r="AC59" s="92"/>
      <c r="AD59" s="92"/>
      <c r="AE59" s="99"/>
      <c r="AF59" s="99"/>
      <c r="AG59" s="99"/>
    </row>
    <row r="60" spans="1:33" x14ac:dyDescent="0.4">
      <c r="A60" s="99" t="s">
        <v>44</v>
      </c>
      <c r="B60" s="99"/>
      <c r="C60" s="92">
        <v>548</v>
      </c>
      <c r="D60" s="109"/>
      <c r="E60" s="92"/>
      <c r="F60" s="109" t="s">
        <v>165</v>
      </c>
      <c r="G60" s="94" t="s">
        <v>77</v>
      </c>
      <c r="H60" s="92"/>
      <c r="I60" s="92"/>
      <c r="J60" s="118" t="s">
        <v>158</v>
      </c>
      <c r="K60" s="92"/>
      <c r="L60" s="87">
        <f>N55/L59</f>
        <v>2.0900900900900901</v>
      </c>
      <c r="M60" s="117" t="s">
        <v>159</v>
      </c>
      <c r="N60" s="92"/>
      <c r="O60" s="87">
        <f>AD55/O59</f>
        <v>2.9555555555555557</v>
      </c>
      <c r="P60" s="118" t="s">
        <v>160</v>
      </c>
      <c r="Q60" s="92"/>
      <c r="R60" s="87">
        <f>M55/R59</f>
        <v>2.4985590778097984</v>
      </c>
      <c r="S60" s="92"/>
      <c r="T60" s="92"/>
      <c r="U60" s="92"/>
      <c r="V60" s="92"/>
      <c r="W60" s="92"/>
      <c r="X60" s="92"/>
      <c r="Y60" s="92"/>
      <c r="Z60" s="92"/>
      <c r="AA60" s="92"/>
      <c r="AB60" s="92"/>
      <c r="AC60" s="92"/>
      <c r="AD60" s="92"/>
      <c r="AE60" s="99"/>
      <c r="AF60" s="99"/>
      <c r="AG60" s="99"/>
    </row>
    <row r="61" spans="1:33" x14ac:dyDescent="0.4">
      <c r="A61" s="99" t="s">
        <v>45</v>
      </c>
      <c r="B61" s="99"/>
      <c r="C61" s="87">
        <f>AE52/C60</f>
        <v>2.4908759124087592</v>
      </c>
      <c r="D61" s="110"/>
      <c r="E61" s="92"/>
      <c r="F61" s="109" t="s">
        <v>165</v>
      </c>
      <c r="G61" s="94" t="s">
        <v>64</v>
      </c>
      <c r="H61" s="92"/>
      <c r="I61" s="92"/>
      <c r="J61" s="92"/>
      <c r="K61" s="92"/>
      <c r="L61" s="92"/>
      <c r="M61" s="92"/>
      <c r="N61" s="92"/>
      <c r="O61" s="92"/>
      <c r="P61" s="92"/>
      <c r="Q61" s="92"/>
      <c r="R61" s="92"/>
      <c r="S61" s="92"/>
      <c r="T61" s="92"/>
      <c r="U61" s="94" t="s">
        <v>161</v>
      </c>
      <c r="V61" s="92"/>
      <c r="W61" s="92"/>
      <c r="X61" s="92"/>
      <c r="Y61" s="92"/>
      <c r="Z61" s="92"/>
      <c r="AA61" s="92"/>
      <c r="AB61" s="92"/>
      <c r="AC61" s="92"/>
      <c r="AD61" s="92"/>
      <c r="AE61" s="99"/>
      <c r="AF61" s="99"/>
      <c r="AG61" s="99"/>
    </row>
    <row r="62" spans="1:33" x14ac:dyDescent="0.4">
      <c r="A62" s="99" t="s">
        <v>46</v>
      </c>
      <c r="B62" s="99"/>
      <c r="C62" s="109">
        <f>AE52/300</f>
        <v>4.55</v>
      </c>
      <c r="D62" s="7"/>
      <c r="E62" s="92"/>
      <c r="F62" s="92"/>
      <c r="G62" s="92"/>
      <c r="H62" s="92"/>
      <c r="I62" s="92"/>
      <c r="J62" s="92"/>
      <c r="K62" s="92"/>
      <c r="L62" s="92"/>
      <c r="M62" s="92"/>
      <c r="N62" s="92"/>
      <c r="O62" s="92"/>
      <c r="P62" s="92"/>
      <c r="Q62" s="92"/>
      <c r="R62" s="92"/>
      <c r="S62" s="94"/>
      <c r="T62" s="92"/>
      <c r="U62" s="94" t="s">
        <v>162</v>
      </c>
      <c r="V62" s="92"/>
      <c r="W62" s="92"/>
      <c r="X62" s="92"/>
      <c r="Y62" s="92"/>
      <c r="Z62" s="92"/>
      <c r="AA62" s="92"/>
      <c r="AB62" s="92"/>
      <c r="AC62" s="92"/>
      <c r="AD62" s="92"/>
      <c r="AE62" s="99"/>
      <c r="AF62" s="99"/>
      <c r="AG62" s="99"/>
    </row>
    <row r="63" spans="1:33" x14ac:dyDescent="0.4">
      <c r="B63" s="99"/>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9"/>
      <c r="AF63" s="99"/>
      <c r="AG63" s="99"/>
    </row>
    <row r="64" spans="1:33" x14ac:dyDescent="0.4">
      <c r="A64" s="5" t="s">
        <v>49</v>
      </c>
      <c r="B64" s="99"/>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9"/>
      <c r="AF64" s="99"/>
      <c r="AG64" s="99"/>
    </row>
    <row r="65" spans="1:33" x14ac:dyDescent="0.4">
      <c r="A65" s="99" t="s">
        <v>163</v>
      </c>
      <c r="B65" s="99"/>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9"/>
      <c r="AF65" s="99"/>
      <c r="AG65" s="99"/>
    </row>
    <row r="66" spans="1:33" x14ac:dyDescent="0.4">
      <c r="A66" s="99" t="s">
        <v>167</v>
      </c>
      <c r="B66" s="99"/>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9"/>
      <c r="AF66" s="99"/>
      <c r="AG66" s="99"/>
    </row>
    <row r="67" spans="1:33" x14ac:dyDescent="0.4">
      <c r="A67" s="99" t="s">
        <v>168</v>
      </c>
      <c r="B67" s="99"/>
      <c r="C67" s="92"/>
      <c r="D67" s="7"/>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9"/>
      <c r="AF67" s="99"/>
      <c r="AG67" s="99"/>
    </row>
    <row r="68" spans="1:33" x14ac:dyDescent="0.4">
      <c r="B68" s="99"/>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9"/>
      <c r="AF68" s="99"/>
      <c r="AG68" s="99"/>
    </row>
    <row r="69" spans="1:33" x14ac:dyDescent="0.4">
      <c r="A69" s="5" t="s">
        <v>56</v>
      </c>
      <c r="B69" s="99"/>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9"/>
      <c r="AF69" s="99"/>
      <c r="AG69" s="99"/>
    </row>
    <row r="70" spans="1:33" x14ac:dyDescent="0.4">
      <c r="A70" s="99" t="s">
        <v>133</v>
      </c>
      <c r="B70" s="99"/>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9"/>
      <c r="AF70" s="99"/>
      <c r="AG70" s="99"/>
    </row>
    <row r="71" spans="1:33" x14ac:dyDescent="0.4">
      <c r="A71" s="99" t="s">
        <v>164</v>
      </c>
      <c r="B71" s="99"/>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9"/>
      <c r="AF71" s="99"/>
      <c r="AG71" s="99"/>
    </row>
  </sheetData>
  <printOptions horizontalCentered="1"/>
  <pageMargins left="0" right="0" top="0.5" bottom="0.25" header="0.3" footer="0.3"/>
  <pageSetup scale="61" orientation="landscape" r:id="rId1"/>
  <headerFooter>
    <oddHeader>&amp;CBurbank Land Club, Inc 2020-21 season</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9188-D068-410F-9050-9B1BD60093AE}">
  <dimension ref="A1:AG71"/>
  <sheetViews>
    <sheetView zoomScale="90" zoomScaleNormal="90" workbookViewId="0">
      <selection activeCell="AA24" sqref="AA24"/>
    </sheetView>
  </sheetViews>
  <sheetFormatPr defaultRowHeight="12.7" x14ac:dyDescent="0.4"/>
  <cols>
    <col min="1" max="1" width="18.87890625" customWidth="1"/>
    <col min="2" max="2" width="5.8203125" customWidth="1"/>
    <col min="3" max="3" width="6.29296875" customWidth="1"/>
    <col min="4" max="4" width="6.41015625" customWidth="1"/>
    <col min="5" max="5" width="6.46875" customWidth="1"/>
    <col min="6" max="6" width="6.41015625" customWidth="1"/>
    <col min="7" max="7" width="6.3515625" customWidth="1"/>
    <col min="8" max="8" width="6.8203125" customWidth="1"/>
    <col min="9" max="9" width="7.05859375" customWidth="1"/>
    <col min="10" max="10" width="6.41015625" customWidth="1"/>
    <col min="11" max="12" width="6.29296875" customWidth="1"/>
    <col min="13" max="13" width="6.1171875" customWidth="1"/>
    <col min="14" max="14" width="6.703125" customWidth="1"/>
    <col min="15" max="15" width="6.17578125" customWidth="1"/>
    <col min="16" max="17" width="6.41015625" customWidth="1"/>
    <col min="18" max="18" width="6.52734375" customWidth="1"/>
    <col min="19" max="19" width="6.29296875" customWidth="1"/>
    <col min="20" max="20" width="6.17578125" customWidth="1"/>
    <col min="21" max="21" width="6.41015625" customWidth="1"/>
    <col min="22" max="22" width="6" customWidth="1"/>
    <col min="23" max="23" width="7.41015625" customWidth="1"/>
    <col min="24" max="24" width="6.29296875" customWidth="1"/>
    <col min="25" max="25" width="5.87890625" customWidth="1"/>
    <col min="26" max="26" width="6.29296875" customWidth="1"/>
    <col min="27" max="27" width="6" customWidth="1"/>
    <col min="28" max="28" width="6.41015625" customWidth="1"/>
    <col min="29" max="29" width="6.52734375" customWidth="1"/>
    <col min="30" max="30" width="6.41015625" customWidth="1"/>
    <col min="31" max="31" width="5.29296875" customWidth="1"/>
    <col min="32" max="32" width="7.52734375" customWidth="1"/>
    <col min="33" max="33" width="8.3515625" customWidth="1"/>
  </cols>
  <sheetData>
    <row r="1" spans="1:33" ht="18.5" customHeight="1" thickBot="1" x14ac:dyDescent="0.45">
      <c r="A1" s="5" t="s">
        <v>106</v>
      </c>
      <c r="B1" s="99"/>
      <c r="C1" s="94" t="s">
        <v>170</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9"/>
      <c r="AF1" s="99"/>
      <c r="AG1" s="99"/>
    </row>
    <row r="2" spans="1:33" ht="13" thickBot="1" x14ac:dyDescent="0.45">
      <c r="A2" s="10" t="s">
        <v>39</v>
      </c>
      <c r="B2" s="100"/>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20" t="s">
        <v>2</v>
      </c>
      <c r="AF2" s="99"/>
      <c r="AG2" s="99"/>
    </row>
    <row r="3" spans="1:33" x14ac:dyDescent="0.4">
      <c r="A3" s="121" t="s">
        <v>21</v>
      </c>
      <c r="B3" s="121"/>
      <c r="C3" s="122"/>
      <c r="D3" s="122"/>
      <c r="E3" s="122"/>
      <c r="F3" s="122"/>
      <c r="G3" s="122"/>
      <c r="H3" s="122"/>
      <c r="I3" s="122"/>
      <c r="J3" s="122"/>
      <c r="K3" s="122">
        <v>1</v>
      </c>
      <c r="L3" s="122"/>
      <c r="M3" s="122"/>
      <c r="N3" s="122"/>
      <c r="O3" s="122"/>
      <c r="P3" s="122"/>
      <c r="Q3" s="122"/>
      <c r="R3" s="122"/>
      <c r="S3" s="122"/>
      <c r="T3" s="122"/>
      <c r="U3" s="122"/>
      <c r="V3" s="122"/>
      <c r="W3" s="122"/>
      <c r="X3" s="122"/>
      <c r="Y3" s="122"/>
      <c r="Z3" s="122"/>
      <c r="AA3" s="122"/>
      <c r="AB3" s="122"/>
      <c r="AC3" s="122"/>
      <c r="AD3" s="122"/>
      <c r="AE3" s="123">
        <f>SUM(C3:AD3)</f>
        <v>1</v>
      </c>
      <c r="AF3" s="99"/>
      <c r="AG3" s="99"/>
    </row>
    <row r="4" spans="1:33" x14ac:dyDescent="0.4">
      <c r="A4" s="124" t="s">
        <v>35</v>
      </c>
      <c r="B4" s="124"/>
      <c r="C4" s="125"/>
      <c r="D4" s="125"/>
      <c r="E4" s="125"/>
      <c r="F4" s="125">
        <v>1</v>
      </c>
      <c r="G4" s="125"/>
      <c r="H4" s="125"/>
      <c r="I4" s="125"/>
      <c r="J4" s="125"/>
      <c r="K4" s="125">
        <v>1</v>
      </c>
      <c r="L4" s="125"/>
      <c r="M4" s="125">
        <v>3</v>
      </c>
      <c r="N4" s="125">
        <v>1</v>
      </c>
      <c r="O4" s="125"/>
      <c r="P4" s="125"/>
      <c r="Q4" s="125"/>
      <c r="R4" s="125"/>
      <c r="S4" s="125"/>
      <c r="T4" s="125"/>
      <c r="U4" s="125"/>
      <c r="V4" s="125"/>
      <c r="W4" s="125"/>
      <c r="X4" s="125"/>
      <c r="Y4" s="125"/>
      <c r="Z4" s="125"/>
      <c r="AA4" s="125"/>
      <c r="AB4" s="125"/>
      <c r="AC4" s="125"/>
      <c r="AD4" s="125"/>
      <c r="AE4" s="126">
        <f>SUM(C4:AD4)</f>
        <v>6</v>
      </c>
      <c r="AF4" s="99"/>
      <c r="AG4" s="99"/>
    </row>
    <row r="5" spans="1:33" x14ac:dyDescent="0.4">
      <c r="A5" s="124" t="s">
        <v>16</v>
      </c>
      <c r="B5" s="124"/>
      <c r="C5" s="134"/>
      <c r="D5" s="134"/>
      <c r="E5" s="134"/>
      <c r="F5" s="134">
        <v>1</v>
      </c>
      <c r="G5" s="134"/>
      <c r="H5" s="134"/>
      <c r="I5" s="134">
        <v>1</v>
      </c>
      <c r="J5" s="134"/>
      <c r="K5" s="134"/>
      <c r="L5" s="134"/>
      <c r="M5" s="134"/>
      <c r="N5" s="134"/>
      <c r="O5" s="134"/>
      <c r="P5" s="134"/>
      <c r="Q5" s="134"/>
      <c r="R5" s="134"/>
      <c r="S5" s="134"/>
      <c r="T5" s="134"/>
      <c r="U5" s="134"/>
      <c r="V5" s="134"/>
      <c r="W5" s="134"/>
      <c r="X5" s="134"/>
      <c r="Y5" s="134"/>
      <c r="Z5" s="134"/>
      <c r="AA5" s="134"/>
      <c r="AB5" s="134"/>
      <c r="AC5" s="134"/>
      <c r="AD5" s="134"/>
      <c r="AE5" s="126">
        <f t="shared" ref="AE5:AE15" si="0">SUM(C5:AD5)</f>
        <v>2</v>
      </c>
      <c r="AF5" s="99"/>
      <c r="AG5" s="99"/>
    </row>
    <row r="6" spans="1:33" x14ac:dyDescent="0.4">
      <c r="A6" s="124" t="s">
        <v>29</v>
      </c>
      <c r="B6" s="124"/>
      <c r="C6" s="125"/>
      <c r="D6" s="125"/>
      <c r="E6" s="125"/>
      <c r="F6" s="125"/>
      <c r="G6" s="125"/>
      <c r="H6" s="125"/>
      <c r="I6" s="125"/>
      <c r="J6" s="125"/>
      <c r="K6" s="125"/>
      <c r="L6" s="125"/>
      <c r="M6" s="125"/>
      <c r="N6" s="125"/>
      <c r="O6" s="125"/>
      <c r="P6" s="125"/>
      <c r="Q6" s="125"/>
      <c r="R6" s="125"/>
      <c r="S6" s="125"/>
      <c r="T6" s="125"/>
      <c r="U6" s="125"/>
      <c r="V6" s="125"/>
      <c r="W6" s="125"/>
      <c r="X6" s="125"/>
      <c r="Y6" s="125"/>
      <c r="Z6" s="125">
        <v>2</v>
      </c>
      <c r="AA6" s="125"/>
      <c r="AB6" s="125"/>
      <c r="AC6" s="125"/>
      <c r="AD6" s="125"/>
      <c r="AE6" s="126">
        <f t="shared" si="0"/>
        <v>2</v>
      </c>
      <c r="AF6" s="99"/>
      <c r="AG6" s="99"/>
    </row>
    <row r="7" spans="1:33" x14ac:dyDescent="0.4">
      <c r="A7" s="124" t="s">
        <v>18</v>
      </c>
      <c r="B7" s="124"/>
      <c r="C7" s="134"/>
      <c r="D7" s="134"/>
      <c r="E7" s="134"/>
      <c r="F7" s="134"/>
      <c r="G7" s="134"/>
      <c r="H7" s="134"/>
      <c r="I7" s="134">
        <v>1</v>
      </c>
      <c r="J7" s="134"/>
      <c r="K7" s="134"/>
      <c r="L7" s="134"/>
      <c r="M7" s="134">
        <v>1</v>
      </c>
      <c r="N7" s="134">
        <v>1</v>
      </c>
      <c r="O7" s="134">
        <v>1</v>
      </c>
      <c r="P7" s="134"/>
      <c r="Q7" s="134"/>
      <c r="R7" s="134"/>
      <c r="S7" s="134"/>
      <c r="T7" s="134"/>
      <c r="U7" s="134"/>
      <c r="V7" s="134"/>
      <c r="W7" s="134"/>
      <c r="X7" s="134"/>
      <c r="Y7" s="134"/>
      <c r="Z7" s="134"/>
      <c r="AA7" s="134"/>
      <c r="AB7" s="134"/>
      <c r="AC7" s="134"/>
      <c r="AD7" s="134"/>
      <c r="AE7" s="126">
        <f t="shared" si="0"/>
        <v>4</v>
      </c>
      <c r="AF7" s="99"/>
      <c r="AG7" s="99"/>
    </row>
    <row r="8" spans="1:33" x14ac:dyDescent="0.4">
      <c r="A8" s="124" t="s">
        <v>19</v>
      </c>
      <c r="B8" s="124"/>
      <c r="C8" s="125"/>
      <c r="D8" s="125"/>
      <c r="E8" s="125">
        <v>2</v>
      </c>
      <c r="F8" s="125">
        <v>3</v>
      </c>
      <c r="G8" s="125"/>
      <c r="H8" s="125"/>
      <c r="I8" s="125">
        <v>2</v>
      </c>
      <c r="J8" s="125"/>
      <c r="K8" s="125">
        <v>3</v>
      </c>
      <c r="L8" s="125"/>
      <c r="M8" s="125">
        <v>1</v>
      </c>
      <c r="N8" s="125"/>
      <c r="O8" s="125"/>
      <c r="P8" s="125"/>
      <c r="Q8" s="125"/>
      <c r="R8" s="125">
        <v>2</v>
      </c>
      <c r="S8" s="125"/>
      <c r="T8" s="125"/>
      <c r="U8" s="125"/>
      <c r="V8" s="125"/>
      <c r="W8" s="125"/>
      <c r="X8" s="125"/>
      <c r="Y8" s="125"/>
      <c r="Z8" s="125"/>
      <c r="AA8" s="125"/>
      <c r="AB8" s="125"/>
      <c r="AC8" s="125"/>
      <c r="AD8" s="125">
        <v>3</v>
      </c>
      <c r="AE8" s="126">
        <f t="shared" si="0"/>
        <v>16</v>
      </c>
      <c r="AF8" s="99"/>
      <c r="AG8" s="99"/>
    </row>
    <row r="9" spans="1:33" x14ac:dyDescent="0.4">
      <c r="A9" s="124" t="s">
        <v>20</v>
      </c>
      <c r="B9" s="124"/>
      <c r="C9" s="125"/>
      <c r="D9" s="125"/>
      <c r="E9" s="125"/>
      <c r="F9" s="125"/>
      <c r="G9" s="125"/>
      <c r="H9" s="125"/>
      <c r="I9" s="125"/>
      <c r="J9" s="125"/>
      <c r="K9" s="125"/>
      <c r="L9" s="125"/>
      <c r="M9" s="125"/>
      <c r="N9" s="125"/>
      <c r="O9" s="125"/>
      <c r="P9" s="125"/>
      <c r="Q9" s="125"/>
      <c r="R9" s="125"/>
      <c r="S9" s="125"/>
      <c r="T9" s="125"/>
      <c r="U9" s="125"/>
      <c r="V9" s="125"/>
      <c r="W9" s="125">
        <v>1</v>
      </c>
      <c r="X9" s="125"/>
      <c r="Y9" s="125"/>
      <c r="Z9" s="125"/>
      <c r="AA9" s="125"/>
      <c r="AB9" s="125"/>
      <c r="AC9" s="125"/>
      <c r="AD9" s="125"/>
      <c r="AE9" s="126">
        <f t="shared" si="0"/>
        <v>1</v>
      </c>
      <c r="AF9" s="99"/>
      <c r="AG9" s="99"/>
    </row>
    <row r="10" spans="1:33" x14ac:dyDescent="0.4">
      <c r="A10" s="124" t="s">
        <v>136</v>
      </c>
      <c r="B10" s="124"/>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6">
        <f t="shared" si="0"/>
        <v>0</v>
      </c>
      <c r="AF10" s="99"/>
      <c r="AG10" s="99"/>
    </row>
    <row r="11" spans="1:33" x14ac:dyDescent="0.4">
      <c r="A11" s="124" t="s">
        <v>98</v>
      </c>
      <c r="B11" s="124"/>
      <c r="C11" s="125"/>
      <c r="D11" s="125"/>
      <c r="E11" s="125"/>
      <c r="F11" s="125">
        <v>2</v>
      </c>
      <c r="G11" s="125">
        <v>1</v>
      </c>
      <c r="H11" s="125">
        <v>2</v>
      </c>
      <c r="I11" s="125">
        <v>2</v>
      </c>
      <c r="J11" s="125">
        <v>1</v>
      </c>
      <c r="K11" s="125">
        <v>4</v>
      </c>
      <c r="L11" s="125"/>
      <c r="M11" s="125">
        <v>4</v>
      </c>
      <c r="N11" s="125"/>
      <c r="O11" s="125"/>
      <c r="P11" s="125"/>
      <c r="Q11" s="125"/>
      <c r="R11" s="125"/>
      <c r="S11" s="125"/>
      <c r="T11" s="125"/>
      <c r="U11" s="125"/>
      <c r="V11" s="125"/>
      <c r="W11" s="125"/>
      <c r="X11" s="125"/>
      <c r="Y11" s="125"/>
      <c r="Z11" s="125">
        <v>1</v>
      </c>
      <c r="AA11" s="125"/>
      <c r="AB11" s="125"/>
      <c r="AC11" s="125"/>
      <c r="AD11" s="125">
        <v>1</v>
      </c>
      <c r="AE11" s="126">
        <f t="shared" si="0"/>
        <v>18</v>
      </c>
      <c r="AF11" s="99"/>
      <c r="AG11" s="99"/>
    </row>
    <row r="12" spans="1:33" x14ac:dyDescent="0.4">
      <c r="A12" s="124" t="s">
        <v>22</v>
      </c>
      <c r="B12" s="124"/>
      <c r="C12" s="125">
        <v>1</v>
      </c>
      <c r="D12" s="125">
        <v>6</v>
      </c>
      <c r="E12" s="125">
        <v>6</v>
      </c>
      <c r="F12" s="125">
        <v>10</v>
      </c>
      <c r="G12" s="125">
        <v>6</v>
      </c>
      <c r="H12" s="125">
        <v>8</v>
      </c>
      <c r="I12" s="125">
        <v>7</v>
      </c>
      <c r="J12" s="125">
        <v>16</v>
      </c>
      <c r="K12" s="125">
        <v>28</v>
      </c>
      <c r="L12" s="125">
        <v>16</v>
      </c>
      <c r="M12" s="125">
        <v>20</v>
      </c>
      <c r="N12" s="125">
        <v>6</v>
      </c>
      <c r="O12" s="125"/>
      <c r="P12" s="125"/>
      <c r="Q12" s="125"/>
      <c r="R12" s="125">
        <v>7</v>
      </c>
      <c r="S12" s="125">
        <v>4</v>
      </c>
      <c r="T12" s="125"/>
      <c r="U12" s="125"/>
      <c r="V12" s="125">
        <v>3</v>
      </c>
      <c r="W12" s="125">
        <v>17</v>
      </c>
      <c r="X12" s="125"/>
      <c r="Y12" s="125"/>
      <c r="Z12" s="125">
        <v>2</v>
      </c>
      <c r="AA12" s="125"/>
      <c r="AB12" s="125">
        <v>10</v>
      </c>
      <c r="AC12" s="125"/>
      <c r="AD12" s="125">
        <v>4</v>
      </c>
      <c r="AE12" s="126">
        <f t="shared" si="0"/>
        <v>177</v>
      </c>
      <c r="AF12" s="99"/>
      <c r="AG12" s="99"/>
    </row>
    <row r="13" spans="1:33" x14ac:dyDescent="0.4">
      <c r="A13" s="124" t="s">
        <v>23</v>
      </c>
      <c r="B13" s="124"/>
      <c r="C13" s="125"/>
      <c r="D13" s="125"/>
      <c r="E13" s="125">
        <v>1</v>
      </c>
      <c r="F13" s="125">
        <v>2</v>
      </c>
      <c r="G13" s="125"/>
      <c r="H13" s="125">
        <v>4</v>
      </c>
      <c r="I13" s="125">
        <v>1</v>
      </c>
      <c r="J13" s="125">
        <v>3</v>
      </c>
      <c r="K13" s="125">
        <v>4</v>
      </c>
      <c r="L13" s="125">
        <v>2</v>
      </c>
      <c r="M13" s="125">
        <v>3</v>
      </c>
      <c r="N13" s="125"/>
      <c r="O13" s="125"/>
      <c r="P13" s="125"/>
      <c r="Q13" s="125"/>
      <c r="R13" s="125"/>
      <c r="S13" s="125"/>
      <c r="T13" s="125"/>
      <c r="U13" s="125"/>
      <c r="V13" s="125">
        <v>1</v>
      </c>
      <c r="W13" s="125">
        <v>4</v>
      </c>
      <c r="X13" s="125"/>
      <c r="Y13" s="125"/>
      <c r="Z13" s="125">
        <v>2</v>
      </c>
      <c r="AA13" s="125"/>
      <c r="AB13" s="125">
        <v>3</v>
      </c>
      <c r="AC13" s="125"/>
      <c r="AD13" s="125"/>
      <c r="AE13" s="126">
        <f t="shared" si="0"/>
        <v>30</v>
      </c>
      <c r="AF13" s="99"/>
      <c r="AG13" s="99"/>
    </row>
    <row r="14" spans="1:33" x14ac:dyDescent="0.4">
      <c r="A14" s="124" t="s">
        <v>24</v>
      </c>
      <c r="B14" s="124"/>
      <c r="C14" s="125"/>
      <c r="D14" s="125"/>
      <c r="E14" s="125"/>
      <c r="F14" s="125">
        <v>2</v>
      </c>
      <c r="G14" s="125"/>
      <c r="H14" s="125">
        <v>1</v>
      </c>
      <c r="I14" s="125"/>
      <c r="J14" s="125"/>
      <c r="K14" s="125">
        <v>2</v>
      </c>
      <c r="L14" s="125"/>
      <c r="M14" s="125">
        <v>6</v>
      </c>
      <c r="N14" s="125"/>
      <c r="O14" s="125"/>
      <c r="P14" s="125"/>
      <c r="Q14" s="125"/>
      <c r="R14" s="125">
        <v>2</v>
      </c>
      <c r="S14" s="125"/>
      <c r="T14" s="125"/>
      <c r="U14" s="125"/>
      <c r="V14" s="125">
        <v>1</v>
      </c>
      <c r="W14" s="125">
        <v>1</v>
      </c>
      <c r="X14" s="125"/>
      <c r="Y14" s="125"/>
      <c r="Z14" s="125"/>
      <c r="AA14" s="125"/>
      <c r="AB14" s="125"/>
      <c r="AC14" s="125"/>
      <c r="AD14" s="125">
        <v>2</v>
      </c>
      <c r="AE14" s="126">
        <f t="shared" si="0"/>
        <v>17</v>
      </c>
      <c r="AF14" s="99"/>
      <c r="AG14" s="99"/>
    </row>
    <row r="15" spans="1:33" x14ac:dyDescent="0.4">
      <c r="A15" s="124" t="s">
        <v>111</v>
      </c>
      <c r="B15" s="124"/>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6">
        <f t="shared" si="0"/>
        <v>0</v>
      </c>
      <c r="AF15" s="99"/>
      <c r="AG15" s="99"/>
    </row>
    <row r="16" spans="1:33" ht="13" thickBot="1" x14ac:dyDescent="0.45">
      <c r="A16" s="127" t="s">
        <v>36</v>
      </c>
      <c r="B16" s="127"/>
      <c r="C16" s="93"/>
      <c r="D16" s="93"/>
      <c r="E16" s="93"/>
      <c r="F16" s="93"/>
      <c r="G16" s="93"/>
      <c r="H16" s="93"/>
      <c r="I16" s="93"/>
      <c r="J16" s="93"/>
      <c r="K16" s="93">
        <v>3</v>
      </c>
      <c r="L16" s="93"/>
      <c r="M16" s="93"/>
      <c r="N16" s="93"/>
      <c r="O16" s="93">
        <v>1</v>
      </c>
      <c r="P16" s="93"/>
      <c r="Q16" s="93"/>
      <c r="R16" s="93"/>
      <c r="S16" s="93"/>
      <c r="T16" s="93"/>
      <c r="U16" s="93"/>
      <c r="V16" s="93"/>
      <c r="W16" s="93"/>
      <c r="X16" s="93"/>
      <c r="Y16" s="93"/>
      <c r="Z16" s="93"/>
      <c r="AA16" s="93"/>
      <c r="AB16" s="93"/>
      <c r="AC16" s="93"/>
      <c r="AD16" s="93"/>
      <c r="AE16" s="102">
        <f>SUM(C16:AD16)</f>
        <v>4</v>
      </c>
      <c r="AF16" s="99"/>
      <c r="AG16" s="99"/>
    </row>
    <row r="17" spans="1:33" x14ac:dyDescent="0.4">
      <c r="A17" s="99" t="s">
        <v>25</v>
      </c>
      <c r="B17" s="99"/>
      <c r="C17" s="92">
        <f t="shared" ref="C17:Q17" si="1">SUM(C3:C16)</f>
        <v>1</v>
      </c>
      <c r="D17" s="92">
        <f t="shared" si="1"/>
        <v>6</v>
      </c>
      <c r="E17" s="92">
        <f t="shared" si="1"/>
        <v>9</v>
      </c>
      <c r="F17" s="92">
        <f t="shared" si="1"/>
        <v>21</v>
      </c>
      <c r="G17" s="92">
        <f t="shared" si="1"/>
        <v>7</v>
      </c>
      <c r="H17" s="92">
        <f t="shared" si="1"/>
        <v>15</v>
      </c>
      <c r="I17" s="92">
        <f t="shared" si="1"/>
        <v>14</v>
      </c>
      <c r="J17" s="92">
        <f t="shared" si="1"/>
        <v>20</v>
      </c>
      <c r="K17" s="92">
        <f t="shared" si="1"/>
        <v>46</v>
      </c>
      <c r="L17" s="92">
        <f t="shared" si="1"/>
        <v>18</v>
      </c>
      <c r="M17" s="92">
        <f t="shared" si="1"/>
        <v>38</v>
      </c>
      <c r="N17" s="92">
        <f t="shared" si="1"/>
        <v>8</v>
      </c>
      <c r="O17" s="92">
        <f t="shared" si="1"/>
        <v>2</v>
      </c>
      <c r="P17" s="92">
        <f t="shared" si="1"/>
        <v>0</v>
      </c>
      <c r="Q17" s="92">
        <f t="shared" si="1"/>
        <v>0</v>
      </c>
      <c r="R17" s="92">
        <f>SUM(R3:R16)</f>
        <v>11</v>
      </c>
      <c r="S17" s="92">
        <f>SUM(S3:S16)</f>
        <v>4</v>
      </c>
      <c r="T17" s="92">
        <f t="shared" ref="T17:U17" si="2">SUM(T3:T16)</f>
        <v>0</v>
      </c>
      <c r="U17" s="92">
        <f t="shared" si="2"/>
        <v>0</v>
      </c>
      <c r="V17" s="92">
        <f>SUM(V3:V16)</f>
        <v>5</v>
      </c>
      <c r="W17" s="92">
        <f>SUM(W3:W16)</f>
        <v>23</v>
      </c>
      <c r="X17" s="92">
        <f t="shared" ref="X17:Y17" si="3">SUM(X3:X16)</f>
        <v>0</v>
      </c>
      <c r="Y17" s="92">
        <f t="shared" si="3"/>
        <v>0</v>
      </c>
      <c r="Z17" s="92">
        <f>SUM(Z3:Z16)</f>
        <v>7</v>
      </c>
      <c r="AA17" s="92">
        <f t="shared" ref="AA17" si="4">SUM(AA3:AA16)</f>
        <v>0</v>
      </c>
      <c r="AB17" s="92">
        <f>SUM(AB3:AB16)</f>
        <v>13</v>
      </c>
      <c r="AC17" s="92">
        <f>SUM(AC3:AC16)</f>
        <v>0</v>
      </c>
      <c r="AD17" s="92">
        <f>SUM(AD3:AD16)</f>
        <v>10</v>
      </c>
      <c r="AE17" s="92">
        <f>SUM(C17:AD17)</f>
        <v>278</v>
      </c>
      <c r="AF17" s="99"/>
      <c r="AG17" s="99"/>
    </row>
    <row r="18" spans="1:33" ht="13" thickBot="1" x14ac:dyDescent="0.45">
      <c r="A18" s="29" t="s">
        <v>107</v>
      </c>
      <c r="B18" s="99"/>
      <c r="C18" s="95" t="s">
        <v>171</v>
      </c>
      <c r="D18" s="94"/>
      <c r="E18" s="7"/>
      <c r="F18" s="29"/>
      <c r="G18" s="29" t="s">
        <v>166</v>
      </c>
      <c r="H18" s="92"/>
      <c r="I18" s="92"/>
      <c r="J18" s="119" t="s">
        <v>172</v>
      </c>
      <c r="K18" s="92"/>
      <c r="L18" s="92"/>
      <c r="M18" s="92"/>
      <c r="N18" s="92" t="s">
        <v>173</v>
      </c>
      <c r="O18" s="92"/>
      <c r="P18" s="92"/>
      <c r="Q18" s="92"/>
      <c r="R18" s="92"/>
      <c r="S18" s="92"/>
      <c r="T18" s="92"/>
      <c r="U18" s="92"/>
      <c r="V18" s="92"/>
      <c r="W18" s="92"/>
      <c r="X18" s="92"/>
      <c r="Y18" s="92"/>
      <c r="Z18" s="92"/>
      <c r="AA18" s="92"/>
      <c r="AB18" s="92"/>
      <c r="AC18" s="92"/>
      <c r="AD18" s="92"/>
      <c r="AE18" s="99"/>
      <c r="AF18" s="99"/>
      <c r="AG18" s="99"/>
    </row>
    <row r="19" spans="1:33" ht="13" thickBot="1" x14ac:dyDescent="0.45">
      <c r="A19" s="10" t="str">
        <f>A2</f>
        <v>BLIND #</v>
      </c>
      <c r="B19" s="14"/>
      <c r="C19" s="65">
        <f t="shared" ref="C19:N19" si="5">C2</f>
        <v>1</v>
      </c>
      <c r="D19" s="12">
        <f t="shared" si="5"/>
        <v>2</v>
      </c>
      <c r="E19" s="12">
        <f t="shared" si="5"/>
        <v>3</v>
      </c>
      <c r="F19" s="12">
        <f t="shared" si="5"/>
        <v>4</v>
      </c>
      <c r="G19" s="12">
        <f t="shared" si="5"/>
        <v>5</v>
      </c>
      <c r="H19" s="12">
        <f t="shared" si="5"/>
        <v>6</v>
      </c>
      <c r="I19" s="12">
        <f t="shared" si="5"/>
        <v>7</v>
      </c>
      <c r="J19" s="12">
        <f t="shared" si="5"/>
        <v>8</v>
      </c>
      <c r="K19" s="12">
        <f t="shared" si="5"/>
        <v>9</v>
      </c>
      <c r="L19" s="12">
        <f t="shared" si="5"/>
        <v>10</v>
      </c>
      <c r="M19" s="12">
        <f t="shared" si="5"/>
        <v>11</v>
      </c>
      <c r="N19" s="12">
        <f t="shared" si="5"/>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20" t="s">
        <v>2</v>
      </c>
      <c r="AF19" s="99"/>
      <c r="AG19" s="99"/>
    </row>
    <row r="20" spans="1:33" x14ac:dyDescent="0.4">
      <c r="A20" s="121" t="str">
        <f>A3</f>
        <v>RINGNECK</v>
      </c>
      <c r="B20" s="121"/>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v>1</v>
      </c>
      <c r="AE20" s="123">
        <f>SUM(C20:AD20)</f>
        <v>1</v>
      </c>
      <c r="AF20" s="99"/>
      <c r="AG20" s="99"/>
    </row>
    <row r="21" spans="1:33" x14ac:dyDescent="0.4">
      <c r="A21" s="124" t="str">
        <f t="shared" ref="A21:A31" si="6">A4</f>
        <v>CANVASBACK</v>
      </c>
      <c r="B21" s="124"/>
      <c r="C21" s="125"/>
      <c r="D21" s="125"/>
      <c r="E21" s="125"/>
      <c r="F21" s="125"/>
      <c r="G21" s="125"/>
      <c r="H21" s="125"/>
      <c r="I21" s="125"/>
      <c r="J21" s="125"/>
      <c r="K21" s="125"/>
      <c r="L21" s="125"/>
      <c r="M21" s="125"/>
      <c r="N21" s="125"/>
      <c r="O21" s="125">
        <v>1</v>
      </c>
      <c r="P21" s="125"/>
      <c r="Q21" s="125"/>
      <c r="R21" s="125"/>
      <c r="S21" s="125"/>
      <c r="T21" s="125"/>
      <c r="U21" s="125"/>
      <c r="V21" s="125"/>
      <c r="W21" s="125"/>
      <c r="X21" s="125"/>
      <c r="Y21" s="125"/>
      <c r="Z21" s="125"/>
      <c r="AA21" s="125"/>
      <c r="AB21" s="125"/>
      <c r="AC21" s="125"/>
      <c r="AD21" s="125">
        <v>1</v>
      </c>
      <c r="AE21" s="126">
        <f>SUM(C21:AD21)</f>
        <v>2</v>
      </c>
      <c r="AF21" s="99"/>
      <c r="AG21" s="99"/>
    </row>
    <row r="22" spans="1:33" x14ac:dyDescent="0.4">
      <c r="A22" s="124" t="str">
        <f t="shared" si="6"/>
        <v>GADWALL</v>
      </c>
      <c r="B22" s="124"/>
      <c r="C22" s="125">
        <v>2</v>
      </c>
      <c r="D22" s="125"/>
      <c r="E22" s="125"/>
      <c r="F22" s="125">
        <v>2</v>
      </c>
      <c r="G22" s="125"/>
      <c r="H22" s="125">
        <v>1</v>
      </c>
      <c r="I22" s="125">
        <v>1</v>
      </c>
      <c r="J22" s="125"/>
      <c r="K22" s="125"/>
      <c r="L22" s="125"/>
      <c r="M22" s="125"/>
      <c r="N22" s="125"/>
      <c r="O22" s="125"/>
      <c r="P22" s="125"/>
      <c r="Q22" s="125"/>
      <c r="R22" s="125">
        <v>1</v>
      </c>
      <c r="S22" s="125">
        <v>1</v>
      </c>
      <c r="T22" s="125"/>
      <c r="U22" s="125"/>
      <c r="V22" s="125"/>
      <c r="W22" s="125"/>
      <c r="X22" s="125"/>
      <c r="Y22" s="125"/>
      <c r="Z22" s="125"/>
      <c r="AA22" s="125"/>
      <c r="AB22" s="125">
        <v>4</v>
      </c>
      <c r="AC22" s="125"/>
      <c r="AD22" s="125">
        <v>1</v>
      </c>
      <c r="AE22" s="126">
        <f t="shared" ref="AE22:AE32" si="7">SUM(C22:AD22)</f>
        <v>13</v>
      </c>
      <c r="AF22" s="99"/>
      <c r="AG22" s="99"/>
    </row>
    <row r="23" spans="1:33" x14ac:dyDescent="0.4">
      <c r="A23" s="124" t="str">
        <f t="shared" si="6"/>
        <v>GEESE</v>
      </c>
      <c r="B23" s="124"/>
      <c r="C23" s="125"/>
      <c r="D23" s="125"/>
      <c r="E23" s="125"/>
      <c r="F23" s="125"/>
      <c r="G23" s="125"/>
      <c r="H23" s="125">
        <v>1</v>
      </c>
      <c r="I23" s="125"/>
      <c r="J23" s="125"/>
      <c r="K23" s="125"/>
      <c r="L23" s="125"/>
      <c r="M23" s="125"/>
      <c r="N23" s="125"/>
      <c r="O23" s="125"/>
      <c r="P23" s="125"/>
      <c r="Q23" s="125"/>
      <c r="R23" s="125">
        <v>1</v>
      </c>
      <c r="S23" s="125"/>
      <c r="T23" s="125"/>
      <c r="U23" s="125"/>
      <c r="V23" s="125"/>
      <c r="W23" s="125"/>
      <c r="X23" s="125"/>
      <c r="Y23" s="125"/>
      <c r="Z23" s="125"/>
      <c r="AA23" s="125"/>
      <c r="AB23" s="125"/>
      <c r="AC23" s="125"/>
      <c r="AD23" s="125"/>
      <c r="AE23" s="126">
        <f t="shared" si="7"/>
        <v>2</v>
      </c>
      <c r="AF23" s="99"/>
      <c r="AG23" s="99"/>
    </row>
    <row r="24" spans="1:33" x14ac:dyDescent="0.4">
      <c r="A24" s="124" t="str">
        <f>A7</f>
        <v>MALLARD</v>
      </c>
      <c r="B24" s="124"/>
      <c r="C24" s="125"/>
      <c r="D24" s="125"/>
      <c r="E24" s="125"/>
      <c r="F24" s="125"/>
      <c r="G24" s="125"/>
      <c r="H24" s="125"/>
      <c r="I24" s="125"/>
      <c r="J24" s="125"/>
      <c r="K24" s="125"/>
      <c r="L24" s="125"/>
      <c r="M24" s="125"/>
      <c r="N24" s="125"/>
      <c r="O24" s="125">
        <v>2</v>
      </c>
      <c r="P24" s="125"/>
      <c r="Q24" s="125"/>
      <c r="R24" s="125"/>
      <c r="S24" s="125"/>
      <c r="T24" s="125"/>
      <c r="U24" s="125"/>
      <c r="V24" s="125"/>
      <c r="W24" s="125">
        <v>2</v>
      </c>
      <c r="X24" s="125"/>
      <c r="Y24" s="125"/>
      <c r="Z24" s="125"/>
      <c r="AA24" s="125"/>
      <c r="AB24" s="125"/>
      <c r="AC24" s="125"/>
      <c r="AD24" s="125"/>
      <c r="AE24" s="126">
        <f t="shared" si="7"/>
        <v>4</v>
      </c>
      <c r="AF24" s="99"/>
      <c r="AG24" s="99"/>
    </row>
    <row r="25" spans="1:33" x14ac:dyDescent="0.4">
      <c r="A25" s="124" t="str">
        <f t="shared" si="6"/>
        <v>PINTAIL</v>
      </c>
      <c r="B25" s="124"/>
      <c r="C25" s="125">
        <v>1</v>
      </c>
      <c r="D25" s="125"/>
      <c r="E25" s="125"/>
      <c r="F25" s="125">
        <v>1</v>
      </c>
      <c r="G25" s="125"/>
      <c r="H25" s="125">
        <v>4</v>
      </c>
      <c r="I25" s="125">
        <v>2</v>
      </c>
      <c r="J25" s="125"/>
      <c r="K25" s="125"/>
      <c r="L25" s="125"/>
      <c r="M25" s="125">
        <v>4</v>
      </c>
      <c r="N25" s="125"/>
      <c r="O25" s="125">
        <v>4</v>
      </c>
      <c r="P25" s="125"/>
      <c r="Q25" s="125"/>
      <c r="R25" s="125">
        <v>1</v>
      </c>
      <c r="S25" s="125">
        <v>2</v>
      </c>
      <c r="T25" s="125"/>
      <c r="U25" s="125"/>
      <c r="V25" s="125">
        <v>3</v>
      </c>
      <c r="W25" s="125">
        <v>4</v>
      </c>
      <c r="X25" s="125">
        <v>2</v>
      </c>
      <c r="Y25" s="125">
        <v>2</v>
      </c>
      <c r="Z25" s="125">
        <v>1</v>
      </c>
      <c r="AA25" s="125"/>
      <c r="AB25" s="125">
        <v>2</v>
      </c>
      <c r="AC25" s="125"/>
      <c r="AD25" s="125">
        <v>5</v>
      </c>
      <c r="AE25" s="126">
        <f t="shared" si="7"/>
        <v>38</v>
      </c>
      <c r="AF25" s="99"/>
      <c r="AG25" s="99"/>
    </row>
    <row r="26" spans="1:33" x14ac:dyDescent="0.4">
      <c r="A26" s="124" t="str">
        <f t="shared" si="6"/>
        <v>REDHEAD</v>
      </c>
      <c r="B26" s="124"/>
      <c r="C26" s="125"/>
      <c r="D26" s="125"/>
      <c r="E26" s="125"/>
      <c r="F26" s="125">
        <v>2</v>
      </c>
      <c r="G26" s="125"/>
      <c r="H26" s="125"/>
      <c r="I26" s="125"/>
      <c r="J26" s="125"/>
      <c r="K26" s="125"/>
      <c r="L26" s="125"/>
      <c r="M26" s="125"/>
      <c r="N26" s="125"/>
      <c r="O26" s="125"/>
      <c r="P26" s="125"/>
      <c r="Q26" s="125"/>
      <c r="R26" s="125"/>
      <c r="S26" s="125"/>
      <c r="T26" s="125"/>
      <c r="U26" s="125"/>
      <c r="V26" s="125"/>
      <c r="W26" s="125"/>
      <c r="X26" s="125">
        <v>2</v>
      </c>
      <c r="Y26" s="125"/>
      <c r="Z26" s="125">
        <v>1</v>
      </c>
      <c r="AA26" s="125"/>
      <c r="AB26" s="125"/>
      <c r="AC26" s="125"/>
      <c r="AD26" s="125"/>
      <c r="AE26" s="126">
        <f t="shared" si="7"/>
        <v>5</v>
      </c>
      <c r="AF26" s="99"/>
      <c r="AG26" s="99"/>
    </row>
    <row r="27" spans="1:33" x14ac:dyDescent="0.4">
      <c r="A27" s="124" t="str">
        <f t="shared" si="6"/>
        <v>WOODY</v>
      </c>
      <c r="B27" s="124"/>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6">
        <f t="shared" si="7"/>
        <v>0</v>
      </c>
      <c r="AF27" s="99"/>
      <c r="AG27" s="99"/>
    </row>
    <row r="28" spans="1:33" x14ac:dyDescent="0.4">
      <c r="A28" s="124" t="str">
        <f t="shared" si="6"/>
        <v>B'HEAD</v>
      </c>
      <c r="B28" s="124"/>
      <c r="C28" s="125"/>
      <c r="D28" s="125"/>
      <c r="E28" s="125"/>
      <c r="F28" s="125">
        <v>1</v>
      </c>
      <c r="G28" s="125"/>
      <c r="H28" s="125"/>
      <c r="I28" s="125">
        <v>1</v>
      </c>
      <c r="J28" s="125"/>
      <c r="K28" s="125">
        <v>2</v>
      </c>
      <c r="L28" s="125"/>
      <c r="M28" s="125"/>
      <c r="N28" s="125"/>
      <c r="O28" s="125"/>
      <c r="P28" s="125"/>
      <c r="Q28" s="125"/>
      <c r="R28" s="125"/>
      <c r="S28" s="125"/>
      <c r="T28" s="125"/>
      <c r="U28" s="125"/>
      <c r="V28" s="125"/>
      <c r="W28" s="125">
        <v>1</v>
      </c>
      <c r="X28" s="125"/>
      <c r="Y28" s="125"/>
      <c r="Z28" s="125"/>
      <c r="AA28" s="125"/>
      <c r="AB28" s="125">
        <v>4</v>
      </c>
      <c r="AC28" s="125"/>
      <c r="AD28" s="125"/>
      <c r="AE28" s="126">
        <f t="shared" si="7"/>
        <v>9</v>
      </c>
      <c r="AF28" s="99"/>
      <c r="AG28" s="99"/>
    </row>
    <row r="29" spans="1:33" x14ac:dyDescent="0.4">
      <c r="A29" s="124" t="str">
        <f t="shared" si="6"/>
        <v>SPOONY</v>
      </c>
      <c r="B29" s="124"/>
      <c r="C29" s="125">
        <v>3</v>
      </c>
      <c r="D29" s="125">
        <v>1</v>
      </c>
      <c r="E29" s="125">
        <v>7</v>
      </c>
      <c r="F29" s="125">
        <v>29</v>
      </c>
      <c r="G29" s="125">
        <v>1</v>
      </c>
      <c r="H29" s="125">
        <v>19</v>
      </c>
      <c r="I29" s="125">
        <v>14</v>
      </c>
      <c r="J29" s="125"/>
      <c r="K29" s="125">
        <v>6</v>
      </c>
      <c r="L29" s="125"/>
      <c r="M29" s="125">
        <v>11</v>
      </c>
      <c r="N29" s="125"/>
      <c r="O29" s="125">
        <v>19</v>
      </c>
      <c r="P29" s="125"/>
      <c r="Q29" s="125">
        <v>2</v>
      </c>
      <c r="R29" s="125">
        <v>14</v>
      </c>
      <c r="S29" s="125">
        <v>14</v>
      </c>
      <c r="T29" s="125"/>
      <c r="U29" s="125"/>
      <c r="V29" s="125">
        <v>21</v>
      </c>
      <c r="W29" s="125">
        <v>40</v>
      </c>
      <c r="X29" s="125">
        <v>11</v>
      </c>
      <c r="Y29" s="125"/>
      <c r="Z29" s="125">
        <v>3</v>
      </c>
      <c r="AA29" s="125">
        <v>2</v>
      </c>
      <c r="AB29" s="125">
        <v>25</v>
      </c>
      <c r="AC29" s="125"/>
      <c r="AD29" s="125">
        <v>8</v>
      </c>
      <c r="AE29" s="126">
        <f t="shared" si="7"/>
        <v>250</v>
      </c>
      <c r="AF29" s="99"/>
      <c r="AG29" s="99"/>
    </row>
    <row r="30" spans="1:33" x14ac:dyDescent="0.4">
      <c r="A30" s="124" t="str">
        <f t="shared" si="6"/>
        <v>TEAL</v>
      </c>
      <c r="B30" s="124"/>
      <c r="C30" s="125">
        <v>5</v>
      </c>
      <c r="D30" s="125">
        <v>7</v>
      </c>
      <c r="E30" s="125">
        <v>17</v>
      </c>
      <c r="F30" s="125">
        <v>43</v>
      </c>
      <c r="G30" s="125">
        <v>4</v>
      </c>
      <c r="H30" s="125">
        <v>64</v>
      </c>
      <c r="I30" s="125">
        <v>36</v>
      </c>
      <c r="J30" s="125"/>
      <c r="K30" s="125">
        <v>11</v>
      </c>
      <c r="L30" s="125">
        <v>3</v>
      </c>
      <c r="M30" s="125">
        <v>60</v>
      </c>
      <c r="N30" s="125"/>
      <c r="O30" s="125">
        <v>80</v>
      </c>
      <c r="P30" s="125"/>
      <c r="Q30" s="125"/>
      <c r="R30" s="125">
        <v>48</v>
      </c>
      <c r="S30" s="125">
        <v>39</v>
      </c>
      <c r="T30" s="125"/>
      <c r="U30" s="125"/>
      <c r="V30" s="125">
        <v>62</v>
      </c>
      <c r="W30" s="125">
        <v>88</v>
      </c>
      <c r="X30" s="125">
        <v>12</v>
      </c>
      <c r="Y30" s="125">
        <v>12</v>
      </c>
      <c r="Z30" s="125">
        <v>1</v>
      </c>
      <c r="AA30" s="125">
        <v>17</v>
      </c>
      <c r="AB30" s="125">
        <v>49</v>
      </c>
      <c r="AC30" s="125"/>
      <c r="AD30" s="125">
        <v>10</v>
      </c>
      <c r="AE30" s="126">
        <f t="shared" si="7"/>
        <v>668</v>
      </c>
      <c r="AF30" s="99"/>
      <c r="AG30" s="99"/>
    </row>
    <row r="31" spans="1:33" x14ac:dyDescent="0.4">
      <c r="A31" s="124" t="str">
        <f t="shared" si="6"/>
        <v>WIDGEON</v>
      </c>
      <c r="B31" s="124"/>
      <c r="C31" s="125"/>
      <c r="D31" s="125"/>
      <c r="E31" s="125"/>
      <c r="F31" s="125">
        <v>4</v>
      </c>
      <c r="G31" s="125"/>
      <c r="H31" s="125">
        <v>7</v>
      </c>
      <c r="I31" s="125">
        <v>4</v>
      </c>
      <c r="J31" s="125"/>
      <c r="K31" s="125">
        <v>1</v>
      </c>
      <c r="L31" s="125"/>
      <c r="M31" s="125">
        <v>7</v>
      </c>
      <c r="N31" s="125"/>
      <c r="O31" s="125">
        <v>8</v>
      </c>
      <c r="P31" s="125"/>
      <c r="Q31" s="125"/>
      <c r="R31" s="125">
        <v>3</v>
      </c>
      <c r="S31" s="125">
        <v>2</v>
      </c>
      <c r="T31" s="125"/>
      <c r="U31" s="125"/>
      <c r="V31" s="125">
        <v>15</v>
      </c>
      <c r="W31" s="125">
        <v>12</v>
      </c>
      <c r="X31" s="125">
        <v>8</v>
      </c>
      <c r="Y31" s="125"/>
      <c r="Z31" s="125"/>
      <c r="AA31" s="125">
        <v>1</v>
      </c>
      <c r="AB31" s="125">
        <v>5</v>
      </c>
      <c r="AC31" s="125"/>
      <c r="AD31" s="125">
        <v>2</v>
      </c>
      <c r="AE31" s="126">
        <f t="shared" si="7"/>
        <v>79</v>
      </c>
      <c r="AF31" s="99"/>
      <c r="AG31" s="99"/>
    </row>
    <row r="32" spans="1:33" x14ac:dyDescent="0.4">
      <c r="A32" s="124" t="s">
        <v>111</v>
      </c>
      <c r="B32" s="124"/>
      <c r="C32" s="125"/>
      <c r="D32" s="125"/>
      <c r="E32" s="125"/>
      <c r="F32" s="125"/>
      <c r="G32" s="125"/>
      <c r="H32" s="125">
        <v>1</v>
      </c>
      <c r="I32" s="125"/>
      <c r="J32" s="125"/>
      <c r="K32" s="125"/>
      <c r="L32" s="125"/>
      <c r="M32" s="125"/>
      <c r="N32" s="125"/>
      <c r="O32" s="125"/>
      <c r="P32" s="125"/>
      <c r="Q32" s="125"/>
      <c r="R32" s="125"/>
      <c r="S32" s="125">
        <v>1</v>
      </c>
      <c r="T32" s="125"/>
      <c r="U32" s="125"/>
      <c r="V32" s="125"/>
      <c r="W32" s="125"/>
      <c r="X32" s="125"/>
      <c r="Y32" s="125"/>
      <c r="Z32" s="125"/>
      <c r="AA32" s="125"/>
      <c r="AB32" s="125"/>
      <c r="AC32" s="125"/>
      <c r="AD32" s="125"/>
      <c r="AE32" s="126">
        <f t="shared" si="7"/>
        <v>2</v>
      </c>
      <c r="AF32" s="99"/>
      <c r="AG32" s="99"/>
    </row>
    <row r="33" spans="1:33" ht="13" thickBot="1" x14ac:dyDescent="0.45">
      <c r="A33" s="128" t="str">
        <f>A16</f>
        <v>MISC</v>
      </c>
      <c r="B33" s="128"/>
      <c r="C33" s="93"/>
      <c r="D33" s="93"/>
      <c r="E33" s="93"/>
      <c r="F33" s="93"/>
      <c r="G33" s="93"/>
      <c r="H33" s="93"/>
      <c r="I33" s="93"/>
      <c r="J33" s="93"/>
      <c r="K33" s="93"/>
      <c r="L33" s="93"/>
      <c r="M33" s="93"/>
      <c r="N33" s="93"/>
      <c r="O33" s="93"/>
      <c r="P33" s="93"/>
      <c r="Q33" s="93"/>
      <c r="R33" s="93"/>
      <c r="S33" s="93"/>
      <c r="T33" s="93"/>
      <c r="U33" s="93"/>
      <c r="V33" s="93"/>
      <c r="W33" s="93">
        <v>1</v>
      </c>
      <c r="X33" s="93"/>
      <c r="Y33" s="93"/>
      <c r="Z33" s="93"/>
      <c r="AA33" s="93"/>
      <c r="AB33" s="93"/>
      <c r="AC33" s="93"/>
      <c r="AD33" s="93"/>
      <c r="AE33" s="102">
        <f>SUM(C33:AD33)</f>
        <v>1</v>
      </c>
      <c r="AF33" s="99"/>
      <c r="AG33" s="99"/>
    </row>
    <row r="34" spans="1:33" x14ac:dyDescent="0.4">
      <c r="A34" s="99" t="s">
        <v>25</v>
      </c>
      <c r="B34" s="99"/>
      <c r="C34" s="92">
        <f t="shared" ref="C34:P34" si="8">SUM(C20:C33)</f>
        <v>11</v>
      </c>
      <c r="D34" s="92">
        <f t="shared" si="8"/>
        <v>8</v>
      </c>
      <c r="E34" s="92">
        <f t="shared" si="8"/>
        <v>24</v>
      </c>
      <c r="F34" s="92">
        <f t="shared" si="8"/>
        <v>82</v>
      </c>
      <c r="G34" s="92">
        <f t="shared" si="8"/>
        <v>5</v>
      </c>
      <c r="H34" s="92">
        <f t="shared" si="8"/>
        <v>97</v>
      </c>
      <c r="I34" s="92">
        <f t="shared" si="8"/>
        <v>58</v>
      </c>
      <c r="J34" s="92">
        <f t="shared" si="8"/>
        <v>0</v>
      </c>
      <c r="K34" s="92">
        <f t="shared" si="8"/>
        <v>20</v>
      </c>
      <c r="L34" s="92">
        <f t="shared" si="8"/>
        <v>3</v>
      </c>
      <c r="M34" s="92">
        <f t="shared" si="8"/>
        <v>82</v>
      </c>
      <c r="N34" s="92">
        <f t="shared" si="8"/>
        <v>0</v>
      </c>
      <c r="O34" s="92">
        <f t="shared" si="8"/>
        <v>114</v>
      </c>
      <c r="P34" s="92">
        <f t="shared" si="8"/>
        <v>0</v>
      </c>
      <c r="Q34" s="92">
        <f>SUM(Q20:Q33)</f>
        <v>2</v>
      </c>
      <c r="R34" s="92">
        <f>SUM(R20:R33)</f>
        <v>68</v>
      </c>
      <c r="S34" s="92">
        <f>SUM(S20:S33)</f>
        <v>59</v>
      </c>
      <c r="T34" s="92">
        <f>SUM(T20:T33)</f>
        <v>0</v>
      </c>
      <c r="U34" s="92">
        <f>SUM(U20:U33)</f>
        <v>0</v>
      </c>
      <c r="V34" s="92">
        <f t="shared" ref="V34:AD34" si="9">SUM(V20:V33)</f>
        <v>101</v>
      </c>
      <c r="W34" s="92">
        <f t="shared" si="9"/>
        <v>148</v>
      </c>
      <c r="X34" s="92">
        <f t="shared" si="9"/>
        <v>35</v>
      </c>
      <c r="Y34" s="92">
        <f t="shared" si="9"/>
        <v>14</v>
      </c>
      <c r="Z34" s="92">
        <f t="shared" si="9"/>
        <v>6</v>
      </c>
      <c r="AA34" s="92">
        <f t="shared" si="9"/>
        <v>20</v>
      </c>
      <c r="AB34" s="92">
        <f t="shared" si="9"/>
        <v>89</v>
      </c>
      <c r="AC34" s="92">
        <f t="shared" si="9"/>
        <v>0</v>
      </c>
      <c r="AD34" s="92">
        <f t="shared" si="9"/>
        <v>28</v>
      </c>
      <c r="AE34" s="92">
        <f>SUM(C34:AD34)</f>
        <v>1074</v>
      </c>
      <c r="AF34" s="92"/>
      <c r="AG34" s="99"/>
    </row>
    <row r="35" spans="1:33" ht="13" thickBot="1" x14ac:dyDescent="0.45">
      <c r="A35" s="99"/>
      <c r="B35" s="99"/>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9"/>
      <c r="AF35" s="99"/>
      <c r="AG35" s="99"/>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10">C19</f>
        <v>1</v>
      </c>
      <c r="D37" s="12">
        <f t="shared" si="10"/>
        <v>2</v>
      </c>
      <c r="E37" s="12">
        <f t="shared" si="10"/>
        <v>3</v>
      </c>
      <c r="F37" s="12">
        <f t="shared" si="10"/>
        <v>4</v>
      </c>
      <c r="G37" s="12">
        <f t="shared" si="10"/>
        <v>5</v>
      </c>
      <c r="H37" s="12">
        <f t="shared" si="10"/>
        <v>6</v>
      </c>
      <c r="I37" s="12">
        <f t="shared" si="10"/>
        <v>7</v>
      </c>
      <c r="J37" s="12">
        <f t="shared" si="10"/>
        <v>8</v>
      </c>
      <c r="K37" s="12">
        <f t="shared" si="10"/>
        <v>9</v>
      </c>
      <c r="L37" s="12">
        <f t="shared" si="10"/>
        <v>10</v>
      </c>
      <c r="M37" s="12">
        <f t="shared" si="10"/>
        <v>11</v>
      </c>
      <c r="N37" s="12">
        <f t="shared" si="10"/>
        <v>12</v>
      </c>
      <c r="O37" s="12">
        <f t="shared" si="10"/>
        <v>13</v>
      </c>
      <c r="P37" s="12">
        <f t="shared" si="10"/>
        <v>14</v>
      </c>
      <c r="Q37" s="12">
        <f t="shared" si="10"/>
        <v>15</v>
      </c>
      <c r="R37" s="12">
        <f t="shared" si="10"/>
        <v>16</v>
      </c>
      <c r="S37" s="12">
        <f t="shared" si="10"/>
        <v>17</v>
      </c>
      <c r="T37" s="12">
        <f t="shared" si="10"/>
        <v>18</v>
      </c>
      <c r="U37" s="12">
        <f t="shared" si="10"/>
        <v>19</v>
      </c>
      <c r="V37" s="65">
        <v>20</v>
      </c>
      <c r="W37" s="65">
        <v>21</v>
      </c>
      <c r="X37" s="65">
        <v>22</v>
      </c>
      <c r="Y37" s="65">
        <v>23</v>
      </c>
      <c r="Z37" s="65">
        <v>24</v>
      </c>
      <c r="AA37" s="65">
        <v>25</v>
      </c>
      <c r="AB37" s="65">
        <v>26</v>
      </c>
      <c r="AC37" s="65">
        <v>27</v>
      </c>
      <c r="AD37" s="65">
        <v>28</v>
      </c>
      <c r="AE37" s="131" t="s">
        <v>2</v>
      </c>
      <c r="AF37" s="26" t="s">
        <v>61</v>
      </c>
      <c r="AG37" s="27" t="s">
        <v>59</v>
      </c>
    </row>
    <row r="38" spans="1:33" x14ac:dyDescent="0.4">
      <c r="A38" s="121" t="str">
        <f>A20</f>
        <v>RINGNECK</v>
      </c>
      <c r="B38" s="121"/>
      <c r="C38" s="122">
        <f t="shared" ref="C38:AD47" si="11">C3+C20</f>
        <v>0</v>
      </c>
      <c r="D38" s="122">
        <f t="shared" si="11"/>
        <v>0</v>
      </c>
      <c r="E38" s="122">
        <f t="shared" si="11"/>
        <v>0</v>
      </c>
      <c r="F38" s="122">
        <f t="shared" si="11"/>
        <v>0</v>
      </c>
      <c r="G38" s="122">
        <f t="shared" si="11"/>
        <v>0</v>
      </c>
      <c r="H38" s="122">
        <f t="shared" si="11"/>
        <v>0</v>
      </c>
      <c r="I38" s="122">
        <f t="shared" si="11"/>
        <v>0</v>
      </c>
      <c r="J38" s="122">
        <f t="shared" si="11"/>
        <v>0</v>
      </c>
      <c r="K38" s="122">
        <f t="shared" si="11"/>
        <v>1</v>
      </c>
      <c r="L38" s="122">
        <f t="shared" si="11"/>
        <v>0</v>
      </c>
      <c r="M38" s="122">
        <f t="shared" si="11"/>
        <v>0</v>
      </c>
      <c r="N38" s="122">
        <f t="shared" si="11"/>
        <v>0</v>
      </c>
      <c r="O38" s="122">
        <f t="shared" si="11"/>
        <v>0</v>
      </c>
      <c r="P38" s="122">
        <f t="shared" si="11"/>
        <v>0</v>
      </c>
      <c r="Q38" s="122">
        <f t="shared" si="11"/>
        <v>0</v>
      </c>
      <c r="R38" s="122">
        <f t="shared" si="11"/>
        <v>0</v>
      </c>
      <c r="S38" s="122">
        <f t="shared" si="11"/>
        <v>0</v>
      </c>
      <c r="T38" s="122">
        <f t="shared" si="11"/>
        <v>0</v>
      </c>
      <c r="U38" s="122">
        <f t="shared" si="11"/>
        <v>0</v>
      </c>
      <c r="V38" s="122">
        <f t="shared" si="11"/>
        <v>0</v>
      </c>
      <c r="W38" s="122">
        <f t="shared" si="11"/>
        <v>0</v>
      </c>
      <c r="X38" s="122">
        <f t="shared" si="11"/>
        <v>0</v>
      </c>
      <c r="Y38" s="122">
        <f t="shared" si="11"/>
        <v>0</v>
      </c>
      <c r="Z38" s="122">
        <f t="shared" si="11"/>
        <v>0</v>
      </c>
      <c r="AA38" s="122">
        <f t="shared" si="11"/>
        <v>0</v>
      </c>
      <c r="AB38" s="122">
        <f t="shared" si="11"/>
        <v>0</v>
      </c>
      <c r="AC38" s="122">
        <f t="shared" si="11"/>
        <v>0</v>
      </c>
      <c r="AD38" s="122">
        <f t="shared" si="11"/>
        <v>1</v>
      </c>
      <c r="AE38" s="123">
        <f>SUM(C38:AD38)</f>
        <v>2</v>
      </c>
      <c r="AF38" s="132">
        <f>AE38/$AE$52</f>
        <v>1.4792899408284023E-3</v>
      </c>
      <c r="AG38" s="133">
        <f>0/10068</f>
        <v>0</v>
      </c>
    </row>
    <row r="39" spans="1:33" x14ac:dyDescent="0.4">
      <c r="A39" s="124" t="str">
        <f t="shared" ref="A39:A50" si="12">A21</f>
        <v>CANVASBACK</v>
      </c>
      <c r="B39" s="124"/>
      <c r="C39" s="125">
        <f t="shared" si="11"/>
        <v>0</v>
      </c>
      <c r="D39" s="125">
        <f t="shared" si="11"/>
        <v>0</v>
      </c>
      <c r="E39" s="125">
        <f t="shared" si="11"/>
        <v>0</v>
      </c>
      <c r="F39" s="125">
        <f t="shared" si="11"/>
        <v>1</v>
      </c>
      <c r="G39" s="125">
        <f t="shared" si="11"/>
        <v>0</v>
      </c>
      <c r="H39" s="125">
        <f t="shared" si="11"/>
        <v>0</v>
      </c>
      <c r="I39" s="125">
        <f t="shared" si="11"/>
        <v>0</v>
      </c>
      <c r="J39" s="125">
        <f t="shared" si="11"/>
        <v>0</v>
      </c>
      <c r="K39" s="125">
        <f t="shared" si="11"/>
        <v>1</v>
      </c>
      <c r="L39" s="125">
        <f t="shared" si="11"/>
        <v>0</v>
      </c>
      <c r="M39" s="125">
        <f t="shared" si="11"/>
        <v>3</v>
      </c>
      <c r="N39" s="125">
        <f t="shared" si="11"/>
        <v>1</v>
      </c>
      <c r="O39" s="125">
        <f t="shared" si="11"/>
        <v>1</v>
      </c>
      <c r="P39" s="125">
        <f t="shared" si="11"/>
        <v>0</v>
      </c>
      <c r="Q39" s="125">
        <f t="shared" si="11"/>
        <v>0</v>
      </c>
      <c r="R39" s="125">
        <f t="shared" si="11"/>
        <v>0</v>
      </c>
      <c r="S39" s="125">
        <f t="shared" si="11"/>
        <v>0</v>
      </c>
      <c r="T39" s="125">
        <f t="shared" si="11"/>
        <v>0</v>
      </c>
      <c r="U39" s="125">
        <f t="shared" si="11"/>
        <v>0</v>
      </c>
      <c r="V39" s="125">
        <f t="shared" si="11"/>
        <v>0</v>
      </c>
      <c r="W39" s="125">
        <f t="shared" si="11"/>
        <v>0</v>
      </c>
      <c r="X39" s="125">
        <f t="shared" si="11"/>
        <v>0</v>
      </c>
      <c r="Y39" s="125">
        <f t="shared" si="11"/>
        <v>0</v>
      </c>
      <c r="Z39" s="125">
        <f t="shared" si="11"/>
        <v>0</v>
      </c>
      <c r="AA39" s="125">
        <f t="shared" si="11"/>
        <v>0</v>
      </c>
      <c r="AB39" s="125">
        <f t="shared" si="11"/>
        <v>0</v>
      </c>
      <c r="AC39" s="125">
        <f t="shared" si="11"/>
        <v>0</v>
      </c>
      <c r="AD39" s="125">
        <f t="shared" si="11"/>
        <v>1</v>
      </c>
      <c r="AE39" s="126">
        <f t="shared" ref="AE39:AE51" si="13">SUM(C39:AD39)</f>
        <v>8</v>
      </c>
      <c r="AF39" s="129">
        <f>AE39/$AE$52</f>
        <v>5.9171597633136093E-3</v>
      </c>
      <c r="AG39" s="130">
        <v>0</v>
      </c>
    </row>
    <row r="40" spans="1:33" x14ac:dyDescent="0.4">
      <c r="A40" s="124" t="str">
        <f t="shared" si="12"/>
        <v>GADWALL</v>
      </c>
      <c r="B40" s="124"/>
      <c r="C40" s="125">
        <f t="shared" si="11"/>
        <v>2</v>
      </c>
      <c r="D40" s="125">
        <f t="shared" si="11"/>
        <v>0</v>
      </c>
      <c r="E40" s="125">
        <f t="shared" si="11"/>
        <v>0</v>
      </c>
      <c r="F40" s="125">
        <f t="shared" si="11"/>
        <v>3</v>
      </c>
      <c r="G40" s="125">
        <f t="shared" si="11"/>
        <v>0</v>
      </c>
      <c r="H40" s="125">
        <f t="shared" si="11"/>
        <v>1</v>
      </c>
      <c r="I40" s="125">
        <f t="shared" si="11"/>
        <v>2</v>
      </c>
      <c r="J40" s="125">
        <f t="shared" si="11"/>
        <v>0</v>
      </c>
      <c r="K40" s="125">
        <f t="shared" si="11"/>
        <v>0</v>
      </c>
      <c r="L40" s="125">
        <f t="shared" si="11"/>
        <v>0</v>
      </c>
      <c r="M40" s="125">
        <f t="shared" si="11"/>
        <v>0</v>
      </c>
      <c r="N40" s="125">
        <f t="shared" si="11"/>
        <v>0</v>
      </c>
      <c r="O40" s="125">
        <f t="shared" si="11"/>
        <v>0</v>
      </c>
      <c r="P40" s="125">
        <f t="shared" si="11"/>
        <v>0</v>
      </c>
      <c r="Q40" s="125">
        <f t="shared" si="11"/>
        <v>0</v>
      </c>
      <c r="R40" s="125">
        <f t="shared" si="11"/>
        <v>1</v>
      </c>
      <c r="S40" s="125">
        <f t="shared" si="11"/>
        <v>1</v>
      </c>
      <c r="T40" s="125">
        <f t="shared" si="11"/>
        <v>0</v>
      </c>
      <c r="U40" s="125">
        <f t="shared" si="11"/>
        <v>0</v>
      </c>
      <c r="V40" s="125">
        <f t="shared" si="11"/>
        <v>0</v>
      </c>
      <c r="W40" s="125">
        <f t="shared" si="11"/>
        <v>0</v>
      </c>
      <c r="X40" s="125">
        <f t="shared" si="11"/>
        <v>0</v>
      </c>
      <c r="Y40" s="125">
        <f t="shared" si="11"/>
        <v>0</v>
      </c>
      <c r="Z40" s="125">
        <f t="shared" si="11"/>
        <v>0</v>
      </c>
      <c r="AA40" s="125">
        <f t="shared" si="11"/>
        <v>0</v>
      </c>
      <c r="AB40" s="125">
        <f t="shared" si="11"/>
        <v>4</v>
      </c>
      <c r="AC40" s="125">
        <f t="shared" si="11"/>
        <v>0</v>
      </c>
      <c r="AD40" s="125">
        <f t="shared" si="11"/>
        <v>1</v>
      </c>
      <c r="AE40" s="126">
        <f t="shared" si="13"/>
        <v>15</v>
      </c>
      <c r="AF40" s="129">
        <f>AE40/$AE$52</f>
        <v>1.1094674556213017E-2</v>
      </c>
      <c r="AG40" s="130">
        <v>0</v>
      </c>
    </row>
    <row r="41" spans="1:33" x14ac:dyDescent="0.4">
      <c r="A41" s="124" t="str">
        <f t="shared" si="12"/>
        <v>GEESE</v>
      </c>
      <c r="B41" s="124"/>
      <c r="C41" s="125">
        <f t="shared" si="11"/>
        <v>0</v>
      </c>
      <c r="D41" s="125">
        <f t="shared" si="11"/>
        <v>0</v>
      </c>
      <c r="E41" s="125">
        <f t="shared" si="11"/>
        <v>0</v>
      </c>
      <c r="F41" s="125">
        <f t="shared" si="11"/>
        <v>0</v>
      </c>
      <c r="G41" s="125">
        <f t="shared" si="11"/>
        <v>0</v>
      </c>
      <c r="H41" s="125">
        <f t="shared" si="11"/>
        <v>1</v>
      </c>
      <c r="I41" s="125">
        <f t="shared" si="11"/>
        <v>0</v>
      </c>
      <c r="J41" s="125">
        <f t="shared" si="11"/>
        <v>0</v>
      </c>
      <c r="K41" s="125">
        <f t="shared" si="11"/>
        <v>0</v>
      </c>
      <c r="L41" s="125">
        <f t="shared" si="11"/>
        <v>0</v>
      </c>
      <c r="M41" s="125">
        <f t="shared" si="11"/>
        <v>0</v>
      </c>
      <c r="N41" s="125">
        <f t="shared" si="11"/>
        <v>0</v>
      </c>
      <c r="O41" s="125">
        <f t="shared" si="11"/>
        <v>0</v>
      </c>
      <c r="P41" s="125">
        <f t="shared" si="11"/>
        <v>0</v>
      </c>
      <c r="Q41" s="125">
        <f t="shared" si="11"/>
        <v>0</v>
      </c>
      <c r="R41" s="125">
        <f t="shared" si="11"/>
        <v>1</v>
      </c>
      <c r="S41" s="125">
        <f t="shared" si="11"/>
        <v>0</v>
      </c>
      <c r="T41" s="125">
        <f t="shared" si="11"/>
        <v>0</v>
      </c>
      <c r="U41" s="125">
        <f t="shared" si="11"/>
        <v>0</v>
      </c>
      <c r="V41" s="125">
        <f t="shared" si="11"/>
        <v>0</v>
      </c>
      <c r="W41" s="125">
        <f t="shared" si="11"/>
        <v>0</v>
      </c>
      <c r="X41" s="125">
        <f t="shared" si="11"/>
        <v>0</v>
      </c>
      <c r="Y41" s="125">
        <f t="shared" si="11"/>
        <v>0</v>
      </c>
      <c r="Z41" s="125">
        <f t="shared" si="11"/>
        <v>2</v>
      </c>
      <c r="AA41" s="125">
        <f t="shared" si="11"/>
        <v>0</v>
      </c>
      <c r="AB41" s="125">
        <f t="shared" si="11"/>
        <v>0</v>
      </c>
      <c r="AC41" s="125">
        <f t="shared" si="11"/>
        <v>0</v>
      </c>
      <c r="AD41" s="125">
        <f t="shared" si="11"/>
        <v>0</v>
      </c>
      <c r="AE41" s="126">
        <f t="shared" si="13"/>
        <v>4</v>
      </c>
      <c r="AF41" s="129">
        <f>AE41/$AE$52</f>
        <v>2.9585798816568047E-3</v>
      </c>
      <c r="AG41" s="130">
        <v>0</v>
      </c>
    </row>
    <row r="42" spans="1:33" x14ac:dyDescent="0.4">
      <c r="A42" s="124" t="str">
        <f t="shared" si="12"/>
        <v>MALLARD</v>
      </c>
      <c r="B42" s="124"/>
      <c r="C42" s="125">
        <f t="shared" si="11"/>
        <v>0</v>
      </c>
      <c r="D42" s="125">
        <f t="shared" si="11"/>
        <v>0</v>
      </c>
      <c r="E42" s="125">
        <f t="shared" si="11"/>
        <v>0</v>
      </c>
      <c r="F42" s="125">
        <f t="shared" si="11"/>
        <v>0</v>
      </c>
      <c r="G42" s="125">
        <f t="shared" si="11"/>
        <v>0</v>
      </c>
      <c r="H42" s="125">
        <f t="shared" si="11"/>
        <v>0</v>
      </c>
      <c r="I42" s="125">
        <f t="shared" si="11"/>
        <v>1</v>
      </c>
      <c r="J42" s="125">
        <f t="shared" si="11"/>
        <v>0</v>
      </c>
      <c r="K42" s="125">
        <f t="shared" si="11"/>
        <v>0</v>
      </c>
      <c r="L42" s="125">
        <f t="shared" si="11"/>
        <v>0</v>
      </c>
      <c r="M42" s="125">
        <f t="shared" si="11"/>
        <v>1</v>
      </c>
      <c r="N42" s="125">
        <f t="shared" si="11"/>
        <v>1</v>
      </c>
      <c r="O42" s="125">
        <f t="shared" si="11"/>
        <v>3</v>
      </c>
      <c r="P42" s="125">
        <f t="shared" si="11"/>
        <v>0</v>
      </c>
      <c r="Q42" s="125">
        <f t="shared" si="11"/>
        <v>0</v>
      </c>
      <c r="R42" s="125">
        <f t="shared" si="11"/>
        <v>0</v>
      </c>
      <c r="S42" s="125">
        <f t="shared" si="11"/>
        <v>0</v>
      </c>
      <c r="T42" s="125">
        <f t="shared" si="11"/>
        <v>0</v>
      </c>
      <c r="U42" s="125">
        <f t="shared" si="11"/>
        <v>0</v>
      </c>
      <c r="V42" s="125">
        <f t="shared" si="11"/>
        <v>0</v>
      </c>
      <c r="W42" s="125">
        <f t="shared" si="11"/>
        <v>2</v>
      </c>
      <c r="X42" s="125">
        <f t="shared" si="11"/>
        <v>0</v>
      </c>
      <c r="Y42" s="125">
        <f t="shared" si="11"/>
        <v>0</v>
      </c>
      <c r="Z42" s="125">
        <f t="shared" si="11"/>
        <v>0</v>
      </c>
      <c r="AA42" s="125">
        <f t="shared" si="11"/>
        <v>0</v>
      </c>
      <c r="AB42" s="125">
        <f t="shared" si="11"/>
        <v>0</v>
      </c>
      <c r="AC42" s="125">
        <f t="shared" si="11"/>
        <v>0</v>
      </c>
      <c r="AD42" s="125">
        <f t="shared" si="11"/>
        <v>0</v>
      </c>
      <c r="AE42" s="126">
        <f t="shared" si="13"/>
        <v>8</v>
      </c>
      <c r="AF42" s="129">
        <f t="shared" ref="AF42:AF51" si="14">AE42/$AE$52</f>
        <v>5.9171597633136093E-3</v>
      </c>
      <c r="AG42" s="130">
        <v>0</v>
      </c>
    </row>
    <row r="43" spans="1:33" x14ac:dyDescent="0.4">
      <c r="A43" s="124" t="str">
        <f t="shared" si="12"/>
        <v>PINTAIL</v>
      </c>
      <c r="B43" s="124"/>
      <c r="C43" s="125">
        <f t="shared" si="11"/>
        <v>1</v>
      </c>
      <c r="D43" s="125">
        <f>D8+D25</f>
        <v>0</v>
      </c>
      <c r="E43" s="125">
        <f t="shared" si="11"/>
        <v>2</v>
      </c>
      <c r="F43" s="125">
        <f t="shared" si="11"/>
        <v>4</v>
      </c>
      <c r="G43" s="125">
        <f t="shared" si="11"/>
        <v>0</v>
      </c>
      <c r="H43" s="125">
        <f t="shared" si="11"/>
        <v>4</v>
      </c>
      <c r="I43" s="125">
        <f t="shared" si="11"/>
        <v>4</v>
      </c>
      <c r="J43" s="125">
        <f t="shared" si="11"/>
        <v>0</v>
      </c>
      <c r="K43" s="125">
        <f t="shared" si="11"/>
        <v>3</v>
      </c>
      <c r="L43" s="125">
        <f t="shared" si="11"/>
        <v>0</v>
      </c>
      <c r="M43" s="125">
        <f t="shared" si="11"/>
        <v>5</v>
      </c>
      <c r="N43" s="125">
        <f t="shared" si="11"/>
        <v>0</v>
      </c>
      <c r="O43" s="125">
        <f t="shared" si="11"/>
        <v>4</v>
      </c>
      <c r="P43" s="125">
        <f t="shared" si="11"/>
        <v>0</v>
      </c>
      <c r="Q43" s="125">
        <f t="shared" si="11"/>
        <v>0</v>
      </c>
      <c r="R43" s="125">
        <f t="shared" si="11"/>
        <v>3</v>
      </c>
      <c r="S43" s="125">
        <f t="shared" si="11"/>
        <v>2</v>
      </c>
      <c r="T43" s="125">
        <f t="shared" si="11"/>
        <v>0</v>
      </c>
      <c r="U43" s="125">
        <f t="shared" si="11"/>
        <v>0</v>
      </c>
      <c r="V43" s="125">
        <f t="shared" si="11"/>
        <v>3</v>
      </c>
      <c r="W43" s="125">
        <f t="shared" si="11"/>
        <v>4</v>
      </c>
      <c r="X43" s="125">
        <f t="shared" si="11"/>
        <v>2</v>
      </c>
      <c r="Y43" s="125">
        <f t="shared" si="11"/>
        <v>2</v>
      </c>
      <c r="Z43" s="125">
        <f t="shared" si="11"/>
        <v>1</v>
      </c>
      <c r="AA43" s="125">
        <f t="shared" si="11"/>
        <v>0</v>
      </c>
      <c r="AB43" s="125">
        <f t="shared" si="11"/>
        <v>2</v>
      </c>
      <c r="AC43" s="125">
        <f t="shared" si="11"/>
        <v>0</v>
      </c>
      <c r="AD43" s="125">
        <f t="shared" si="11"/>
        <v>8</v>
      </c>
      <c r="AE43" s="126">
        <f t="shared" si="13"/>
        <v>54</v>
      </c>
      <c r="AF43" s="129">
        <f t="shared" si="14"/>
        <v>3.9940828402366867E-2</v>
      </c>
      <c r="AG43" s="130">
        <v>0</v>
      </c>
    </row>
    <row r="44" spans="1:33" x14ac:dyDescent="0.4">
      <c r="A44" s="124" t="str">
        <f t="shared" si="12"/>
        <v>REDHEAD</v>
      </c>
      <c r="B44" s="124"/>
      <c r="C44" s="125">
        <f t="shared" si="11"/>
        <v>0</v>
      </c>
      <c r="D44" s="125">
        <f t="shared" si="11"/>
        <v>0</v>
      </c>
      <c r="E44" s="125">
        <f t="shared" si="11"/>
        <v>0</v>
      </c>
      <c r="F44" s="125">
        <f t="shared" si="11"/>
        <v>2</v>
      </c>
      <c r="G44" s="125">
        <f t="shared" si="11"/>
        <v>0</v>
      </c>
      <c r="H44" s="125">
        <f t="shared" si="11"/>
        <v>0</v>
      </c>
      <c r="I44" s="125">
        <f t="shared" si="11"/>
        <v>0</v>
      </c>
      <c r="J44" s="125">
        <f t="shared" si="11"/>
        <v>0</v>
      </c>
      <c r="K44" s="125">
        <f t="shared" si="11"/>
        <v>0</v>
      </c>
      <c r="L44" s="125">
        <f t="shared" si="11"/>
        <v>0</v>
      </c>
      <c r="M44" s="125">
        <f t="shared" si="11"/>
        <v>0</v>
      </c>
      <c r="N44" s="125">
        <f t="shared" si="11"/>
        <v>0</v>
      </c>
      <c r="O44" s="125">
        <f t="shared" si="11"/>
        <v>0</v>
      </c>
      <c r="P44" s="125">
        <f t="shared" si="11"/>
        <v>0</v>
      </c>
      <c r="Q44" s="125">
        <f t="shared" si="11"/>
        <v>0</v>
      </c>
      <c r="R44" s="125">
        <f t="shared" si="11"/>
        <v>0</v>
      </c>
      <c r="S44" s="125">
        <f t="shared" si="11"/>
        <v>0</v>
      </c>
      <c r="T44" s="125">
        <f t="shared" si="11"/>
        <v>0</v>
      </c>
      <c r="U44" s="125">
        <f t="shared" si="11"/>
        <v>0</v>
      </c>
      <c r="V44" s="125">
        <f t="shared" si="11"/>
        <v>0</v>
      </c>
      <c r="W44" s="125">
        <f t="shared" si="11"/>
        <v>1</v>
      </c>
      <c r="X44" s="125">
        <f t="shared" si="11"/>
        <v>2</v>
      </c>
      <c r="Y44" s="125">
        <f t="shared" si="11"/>
        <v>0</v>
      </c>
      <c r="Z44" s="125">
        <f t="shared" si="11"/>
        <v>1</v>
      </c>
      <c r="AA44" s="125">
        <f t="shared" si="11"/>
        <v>0</v>
      </c>
      <c r="AB44" s="125">
        <f t="shared" si="11"/>
        <v>0</v>
      </c>
      <c r="AC44" s="125">
        <f t="shared" si="11"/>
        <v>0</v>
      </c>
      <c r="AD44" s="125">
        <f t="shared" si="11"/>
        <v>0</v>
      </c>
      <c r="AE44" s="126">
        <f t="shared" si="13"/>
        <v>6</v>
      </c>
      <c r="AF44" s="129">
        <f t="shared" si="14"/>
        <v>4.4378698224852072E-3</v>
      </c>
      <c r="AG44" s="130">
        <v>0</v>
      </c>
    </row>
    <row r="45" spans="1:33" x14ac:dyDescent="0.4">
      <c r="A45" s="124" t="str">
        <f t="shared" si="12"/>
        <v>WOODY</v>
      </c>
      <c r="B45" s="124"/>
      <c r="C45" s="125">
        <f t="shared" si="11"/>
        <v>0</v>
      </c>
      <c r="D45" s="125">
        <f t="shared" si="11"/>
        <v>0</v>
      </c>
      <c r="E45" s="125">
        <f t="shared" si="11"/>
        <v>0</v>
      </c>
      <c r="F45" s="125">
        <f t="shared" si="11"/>
        <v>0</v>
      </c>
      <c r="G45" s="125">
        <f t="shared" si="11"/>
        <v>0</v>
      </c>
      <c r="H45" s="125">
        <f t="shared" si="11"/>
        <v>0</v>
      </c>
      <c r="I45" s="125">
        <f t="shared" si="11"/>
        <v>0</v>
      </c>
      <c r="J45" s="125">
        <f t="shared" si="11"/>
        <v>0</v>
      </c>
      <c r="K45" s="125">
        <f t="shared" si="11"/>
        <v>0</v>
      </c>
      <c r="L45" s="125">
        <f t="shared" si="11"/>
        <v>0</v>
      </c>
      <c r="M45" s="125">
        <f t="shared" si="11"/>
        <v>0</v>
      </c>
      <c r="N45" s="125">
        <f t="shared" si="11"/>
        <v>0</v>
      </c>
      <c r="O45" s="125">
        <f t="shared" si="11"/>
        <v>0</v>
      </c>
      <c r="P45" s="125">
        <f t="shared" si="11"/>
        <v>0</v>
      </c>
      <c r="Q45" s="125">
        <f t="shared" si="11"/>
        <v>0</v>
      </c>
      <c r="R45" s="125">
        <f t="shared" si="11"/>
        <v>0</v>
      </c>
      <c r="S45" s="125">
        <f t="shared" si="11"/>
        <v>0</v>
      </c>
      <c r="T45" s="125">
        <f t="shared" si="11"/>
        <v>0</v>
      </c>
      <c r="U45" s="125">
        <f t="shared" si="11"/>
        <v>0</v>
      </c>
      <c r="V45" s="125">
        <f t="shared" si="11"/>
        <v>0</v>
      </c>
      <c r="W45" s="125">
        <f t="shared" si="11"/>
        <v>0</v>
      </c>
      <c r="X45" s="125">
        <f t="shared" si="11"/>
        <v>0</v>
      </c>
      <c r="Y45" s="125">
        <f t="shared" si="11"/>
        <v>0</v>
      </c>
      <c r="Z45" s="125">
        <f t="shared" si="11"/>
        <v>0</v>
      </c>
      <c r="AA45" s="125">
        <f t="shared" si="11"/>
        <v>0</v>
      </c>
      <c r="AB45" s="125">
        <f t="shared" si="11"/>
        <v>0</v>
      </c>
      <c r="AC45" s="125">
        <f t="shared" si="11"/>
        <v>0</v>
      </c>
      <c r="AD45" s="125">
        <f t="shared" si="11"/>
        <v>0</v>
      </c>
      <c r="AE45" s="126">
        <f t="shared" si="13"/>
        <v>0</v>
      </c>
      <c r="AF45" s="129">
        <f t="shared" si="14"/>
        <v>0</v>
      </c>
      <c r="AG45" s="130">
        <v>0</v>
      </c>
    </row>
    <row r="46" spans="1:33" x14ac:dyDescent="0.4">
      <c r="A46" s="124" t="str">
        <f t="shared" si="12"/>
        <v>B'HEAD</v>
      </c>
      <c r="B46" s="124"/>
      <c r="C46" s="125">
        <f t="shared" si="11"/>
        <v>0</v>
      </c>
      <c r="D46" s="125">
        <f t="shared" si="11"/>
        <v>0</v>
      </c>
      <c r="E46" s="125">
        <f t="shared" si="11"/>
        <v>0</v>
      </c>
      <c r="F46" s="125">
        <f t="shared" si="11"/>
        <v>3</v>
      </c>
      <c r="G46" s="125">
        <f t="shared" si="11"/>
        <v>1</v>
      </c>
      <c r="H46" s="125">
        <f t="shared" si="11"/>
        <v>2</v>
      </c>
      <c r="I46" s="125">
        <f t="shared" si="11"/>
        <v>3</v>
      </c>
      <c r="J46" s="125">
        <f t="shared" si="11"/>
        <v>1</v>
      </c>
      <c r="K46" s="125">
        <f t="shared" si="11"/>
        <v>6</v>
      </c>
      <c r="L46" s="125">
        <f t="shared" si="11"/>
        <v>0</v>
      </c>
      <c r="M46" s="125">
        <f t="shared" si="11"/>
        <v>4</v>
      </c>
      <c r="N46" s="125">
        <f t="shared" si="11"/>
        <v>0</v>
      </c>
      <c r="O46" s="125">
        <f t="shared" si="11"/>
        <v>0</v>
      </c>
      <c r="P46" s="125">
        <f t="shared" si="11"/>
        <v>0</v>
      </c>
      <c r="Q46" s="125">
        <f t="shared" si="11"/>
        <v>0</v>
      </c>
      <c r="R46" s="125">
        <f t="shared" si="11"/>
        <v>0</v>
      </c>
      <c r="S46" s="125">
        <f t="shared" si="11"/>
        <v>0</v>
      </c>
      <c r="T46" s="125">
        <f t="shared" si="11"/>
        <v>0</v>
      </c>
      <c r="U46" s="125">
        <f t="shared" si="11"/>
        <v>0</v>
      </c>
      <c r="V46" s="125">
        <f t="shared" si="11"/>
        <v>0</v>
      </c>
      <c r="W46" s="125">
        <f t="shared" si="11"/>
        <v>1</v>
      </c>
      <c r="X46" s="125">
        <f t="shared" si="11"/>
        <v>0</v>
      </c>
      <c r="Y46" s="125">
        <f t="shared" si="11"/>
        <v>0</v>
      </c>
      <c r="Z46" s="125">
        <f t="shared" si="11"/>
        <v>1</v>
      </c>
      <c r="AA46" s="125">
        <f t="shared" si="11"/>
        <v>0</v>
      </c>
      <c r="AB46" s="125">
        <f t="shared" si="11"/>
        <v>4</v>
      </c>
      <c r="AC46" s="125">
        <f t="shared" si="11"/>
        <v>0</v>
      </c>
      <c r="AD46" s="125">
        <f t="shared" si="11"/>
        <v>1</v>
      </c>
      <c r="AE46" s="126">
        <f t="shared" si="13"/>
        <v>27</v>
      </c>
      <c r="AF46" s="129">
        <f t="shared" si="14"/>
        <v>1.9970414201183433E-2</v>
      </c>
      <c r="AG46" s="130">
        <v>0</v>
      </c>
    </row>
    <row r="47" spans="1:33" x14ac:dyDescent="0.4">
      <c r="A47" s="124" t="str">
        <f t="shared" si="12"/>
        <v>SPOONY</v>
      </c>
      <c r="B47" s="124"/>
      <c r="C47" s="125">
        <f t="shared" si="11"/>
        <v>4</v>
      </c>
      <c r="D47" s="125">
        <f t="shared" si="11"/>
        <v>7</v>
      </c>
      <c r="E47" s="125">
        <f t="shared" si="11"/>
        <v>13</v>
      </c>
      <c r="F47" s="125">
        <f t="shared" si="11"/>
        <v>39</v>
      </c>
      <c r="G47" s="125">
        <f t="shared" ref="C47:AD51" si="15">G12+G29</f>
        <v>7</v>
      </c>
      <c r="H47" s="125">
        <f t="shared" si="15"/>
        <v>27</v>
      </c>
      <c r="I47" s="125">
        <f t="shared" si="15"/>
        <v>21</v>
      </c>
      <c r="J47" s="125">
        <f t="shared" si="15"/>
        <v>16</v>
      </c>
      <c r="K47" s="125">
        <f t="shared" si="15"/>
        <v>34</v>
      </c>
      <c r="L47" s="125">
        <f t="shared" si="15"/>
        <v>16</v>
      </c>
      <c r="M47" s="125">
        <f t="shared" si="15"/>
        <v>31</v>
      </c>
      <c r="N47" s="125">
        <f t="shared" si="15"/>
        <v>6</v>
      </c>
      <c r="O47" s="125">
        <f t="shared" si="15"/>
        <v>19</v>
      </c>
      <c r="P47" s="125">
        <f t="shared" si="15"/>
        <v>0</v>
      </c>
      <c r="Q47" s="125">
        <f t="shared" si="15"/>
        <v>2</v>
      </c>
      <c r="R47" s="125">
        <f t="shared" si="15"/>
        <v>21</v>
      </c>
      <c r="S47" s="125">
        <f t="shared" si="15"/>
        <v>18</v>
      </c>
      <c r="T47" s="125">
        <f t="shared" si="15"/>
        <v>0</v>
      </c>
      <c r="U47" s="125">
        <f t="shared" si="15"/>
        <v>0</v>
      </c>
      <c r="V47" s="125">
        <f t="shared" si="15"/>
        <v>24</v>
      </c>
      <c r="W47" s="125">
        <f t="shared" si="15"/>
        <v>57</v>
      </c>
      <c r="X47" s="125">
        <f t="shared" si="15"/>
        <v>11</v>
      </c>
      <c r="Y47" s="125">
        <f t="shared" si="15"/>
        <v>0</v>
      </c>
      <c r="Z47" s="125">
        <f t="shared" si="15"/>
        <v>5</v>
      </c>
      <c r="AA47" s="125">
        <f t="shared" si="15"/>
        <v>2</v>
      </c>
      <c r="AB47" s="125">
        <f t="shared" si="15"/>
        <v>35</v>
      </c>
      <c r="AC47" s="125">
        <f t="shared" si="15"/>
        <v>0</v>
      </c>
      <c r="AD47" s="125">
        <f t="shared" si="15"/>
        <v>12</v>
      </c>
      <c r="AE47" s="126">
        <f t="shared" si="13"/>
        <v>427</v>
      </c>
      <c r="AF47" s="129">
        <f>AE47/$AE$52</f>
        <v>0.31582840236686388</v>
      </c>
      <c r="AG47" s="130">
        <v>0</v>
      </c>
    </row>
    <row r="48" spans="1:33" x14ac:dyDescent="0.4">
      <c r="A48" s="124" t="str">
        <f t="shared" si="12"/>
        <v>TEAL</v>
      </c>
      <c r="B48" s="124"/>
      <c r="C48" s="125">
        <f t="shared" si="15"/>
        <v>5</v>
      </c>
      <c r="D48" s="125">
        <f t="shared" si="15"/>
        <v>7</v>
      </c>
      <c r="E48" s="125">
        <f t="shared" si="15"/>
        <v>18</v>
      </c>
      <c r="F48" s="125">
        <f t="shared" si="15"/>
        <v>45</v>
      </c>
      <c r="G48" s="125">
        <f t="shared" si="15"/>
        <v>4</v>
      </c>
      <c r="H48" s="125">
        <f t="shared" si="15"/>
        <v>68</v>
      </c>
      <c r="I48" s="125">
        <f t="shared" si="15"/>
        <v>37</v>
      </c>
      <c r="J48" s="125">
        <f t="shared" si="15"/>
        <v>3</v>
      </c>
      <c r="K48" s="125">
        <f t="shared" si="15"/>
        <v>15</v>
      </c>
      <c r="L48" s="125">
        <f t="shared" si="15"/>
        <v>5</v>
      </c>
      <c r="M48" s="125">
        <f t="shared" si="15"/>
        <v>63</v>
      </c>
      <c r="N48" s="125">
        <f t="shared" si="15"/>
        <v>0</v>
      </c>
      <c r="O48" s="125">
        <f t="shared" si="15"/>
        <v>80</v>
      </c>
      <c r="P48" s="125">
        <f t="shared" si="15"/>
        <v>0</v>
      </c>
      <c r="Q48" s="125">
        <f t="shared" si="15"/>
        <v>0</v>
      </c>
      <c r="R48" s="125">
        <f t="shared" si="15"/>
        <v>48</v>
      </c>
      <c r="S48" s="125">
        <f t="shared" si="15"/>
        <v>39</v>
      </c>
      <c r="T48" s="125">
        <f t="shared" si="15"/>
        <v>0</v>
      </c>
      <c r="U48" s="125">
        <f t="shared" si="15"/>
        <v>0</v>
      </c>
      <c r="V48" s="125">
        <f t="shared" si="15"/>
        <v>63</v>
      </c>
      <c r="W48" s="125">
        <f t="shared" si="15"/>
        <v>92</v>
      </c>
      <c r="X48" s="125">
        <f t="shared" si="15"/>
        <v>12</v>
      </c>
      <c r="Y48" s="125">
        <f t="shared" si="15"/>
        <v>12</v>
      </c>
      <c r="Z48" s="125">
        <f t="shared" si="15"/>
        <v>3</v>
      </c>
      <c r="AA48" s="125">
        <f t="shared" si="15"/>
        <v>17</v>
      </c>
      <c r="AB48" s="125">
        <f t="shared" si="15"/>
        <v>52</v>
      </c>
      <c r="AC48" s="125">
        <f t="shared" si="15"/>
        <v>0</v>
      </c>
      <c r="AD48" s="125">
        <f t="shared" si="15"/>
        <v>10</v>
      </c>
      <c r="AE48" s="126">
        <f t="shared" si="13"/>
        <v>698</v>
      </c>
      <c r="AF48" s="129">
        <f t="shared" si="14"/>
        <v>0.51627218934911245</v>
      </c>
      <c r="AG48" s="130">
        <v>0</v>
      </c>
    </row>
    <row r="49" spans="1:33" x14ac:dyDescent="0.4">
      <c r="A49" s="124" t="str">
        <f>A31</f>
        <v>WIDGEON</v>
      </c>
      <c r="B49" s="124"/>
      <c r="C49" s="125">
        <f t="shared" si="15"/>
        <v>0</v>
      </c>
      <c r="D49" s="125">
        <f t="shared" si="15"/>
        <v>0</v>
      </c>
      <c r="E49" s="125">
        <f t="shared" si="15"/>
        <v>0</v>
      </c>
      <c r="F49" s="125">
        <f t="shared" si="15"/>
        <v>6</v>
      </c>
      <c r="G49" s="125">
        <f t="shared" si="15"/>
        <v>0</v>
      </c>
      <c r="H49" s="125">
        <f t="shared" si="15"/>
        <v>8</v>
      </c>
      <c r="I49" s="125">
        <f t="shared" si="15"/>
        <v>4</v>
      </c>
      <c r="J49" s="125">
        <f t="shared" si="15"/>
        <v>0</v>
      </c>
      <c r="K49" s="125">
        <f t="shared" si="15"/>
        <v>3</v>
      </c>
      <c r="L49" s="125">
        <f t="shared" si="15"/>
        <v>0</v>
      </c>
      <c r="M49" s="125">
        <f t="shared" si="15"/>
        <v>13</v>
      </c>
      <c r="N49" s="125">
        <f t="shared" si="15"/>
        <v>0</v>
      </c>
      <c r="O49" s="125">
        <f t="shared" si="15"/>
        <v>8</v>
      </c>
      <c r="P49" s="125">
        <f t="shared" si="15"/>
        <v>0</v>
      </c>
      <c r="Q49" s="125">
        <f t="shared" si="15"/>
        <v>0</v>
      </c>
      <c r="R49" s="125">
        <f t="shared" si="15"/>
        <v>5</v>
      </c>
      <c r="S49" s="125">
        <f t="shared" si="15"/>
        <v>2</v>
      </c>
      <c r="T49" s="125">
        <f t="shared" si="15"/>
        <v>0</v>
      </c>
      <c r="U49" s="125">
        <f t="shared" si="15"/>
        <v>0</v>
      </c>
      <c r="V49" s="125">
        <f t="shared" si="15"/>
        <v>16</v>
      </c>
      <c r="W49" s="125">
        <f t="shared" si="15"/>
        <v>13</v>
      </c>
      <c r="X49" s="125">
        <f t="shared" si="15"/>
        <v>8</v>
      </c>
      <c r="Y49" s="125">
        <f t="shared" si="15"/>
        <v>0</v>
      </c>
      <c r="Z49" s="125">
        <f t="shared" si="15"/>
        <v>0</v>
      </c>
      <c r="AA49" s="125">
        <f t="shared" si="15"/>
        <v>1</v>
      </c>
      <c r="AB49" s="125">
        <f t="shared" si="15"/>
        <v>5</v>
      </c>
      <c r="AC49" s="125">
        <f t="shared" si="15"/>
        <v>0</v>
      </c>
      <c r="AD49" s="125">
        <f t="shared" si="15"/>
        <v>4</v>
      </c>
      <c r="AE49" s="126">
        <f t="shared" si="13"/>
        <v>96</v>
      </c>
      <c r="AF49" s="129">
        <f t="shared" si="14"/>
        <v>7.1005917159763315E-2</v>
      </c>
      <c r="AG49" s="130">
        <v>0</v>
      </c>
    </row>
    <row r="50" spans="1:33" x14ac:dyDescent="0.4">
      <c r="A50" s="124" t="str">
        <f t="shared" si="12"/>
        <v>SCAUP</v>
      </c>
      <c r="B50" s="124"/>
      <c r="C50" s="125">
        <f t="shared" si="15"/>
        <v>0</v>
      </c>
      <c r="D50" s="125">
        <f t="shared" si="15"/>
        <v>0</v>
      </c>
      <c r="E50" s="125">
        <f t="shared" si="15"/>
        <v>0</v>
      </c>
      <c r="F50" s="125">
        <f t="shared" si="15"/>
        <v>0</v>
      </c>
      <c r="G50" s="125">
        <f t="shared" si="15"/>
        <v>0</v>
      </c>
      <c r="H50" s="125">
        <f t="shared" si="15"/>
        <v>1</v>
      </c>
      <c r="I50" s="125">
        <f t="shared" si="15"/>
        <v>0</v>
      </c>
      <c r="J50" s="125">
        <f t="shared" si="15"/>
        <v>0</v>
      </c>
      <c r="K50" s="125">
        <f t="shared" si="15"/>
        <v>0</v>
      </c>
      <c r="L50" s="125">
        <f t="shared" si="15"/>
        <v>0</v>
      </c>
      <c r="M50" s="125">
        <f t="shared" si="15"/>
        <v>0</v>
      </c>
      <c r="N50" s="125">
        <f t="shared" si="15"/>
        <v>0</v>
      </c>
      <c r="O50" s="125">
        <f t="shared" si="15"/>
        <v>0</v>
      </c>
      <c r="P50" s="125">
        <f t="shared" si="15"/>
        <v>0</v>
      </c>
      <c r="Q50" s="125">
        <f t="shared" si="15"/>
        <v>0</v>
      </c>
      <c r="R50" s="125">
        <f t="shared" si="15"/>
        <v>0</v>
      </c>
      <c r="S50" s="125">
        <f t="shared" si="15"/>
        <v>1</v>
      </c>
      <c r="T50" s="125">
        <f t="shared" si="15"/>
        <v>0</v>
      </c>
      <c r="U50" s="125">
        <f t="shared" si="15"/>
        <v>0</v>
      </c>
      <c r="V50" s="125">
        <f t="shared" si="15"/>
        <v>0</v>
      </c>
      <c r="W50" s="125">
        <f t="shared" si="15"/>
        <v>0</v>
      </c>
      <c r="X50" s="125">
        <f>X15+X32</f>
        <v>0</v>
      </c>
      <c r="Y50" s="125">
        <f>Y15+Y32</f>
        <v>0</v>
      </c>
      <c r="Z50" s="125">
        <f t="shared" si="15"/>
        <v>0</v>
      </c>
      <c r="AA50" s="125">
        <f t="shared" si="15"/>
        <v>0</v>
      </c>
      <c r="AB50" s="125">
        <f t="shared" si="15"/>
        <v>0</v>
      </c>
      <c r="AC50" s="125">
        <f t="shared" si="15"/>
        <v>0</v>
      </c>
      <c r="AD50" s="125">
        <f t="shared" si="15"/>
        <v>0</v>
      </c>
      <c r="AE50" s="126">
        <f t="shared" si="13"/>
        <v>2</v>
      </c>
      <c r="AF50" s="129">
        <f t="shared" si="14"/>
        <v>1.4792899408284023E-3</v>
      </c>
      <c r="AG50" s="130">
        <v>0</v>
      </c>
    </row>
    <row r="51" spans="1:33" ht="13" thickBot="1" x14ac:dyDescent="0.45">
      <c r="A51" s="128" t="str">
        <f>A33</f>
        <v>MISC</v>
      </c>
      <c r="B51" s="128"/>
      <c r="C51" s="93">
        <f t="shared" si="15"/>
        <v>0</v>
      </c>
      <c r="D51" s="93">
        <f t="shared" si="15"/>
        <v>0</v>
      </c>
      <c r="E51" s="93">
        <f t="shared" si="15"/>
        <v>0</v>
      </c>
      <c r="F51" s="93">
        <f t="shared" si="15"/>
        <v>0</v>
      </c>
      <c r="G51" s="93">
        <f t="shared" si="15"/>
        <v>0</v>
      </c>
      <c r="H51" s="93">
        <f t="shared" si="15"/>
        <v>0</v>
      </c>
      <c r="I51" s="93">
        <f t="shared" si="15"/>
        <v>0</v>
      </c>
      <c r="J51" s="93">
        <f t="shared" si="15"/>
        <v>0</v>
      </c>
      <c r="K51" s="93">
        <f t="shared" si="15"/>
        <v>3</v>
      </c>
      <c r="L51" s="93">
        <f t="shared" si="15"/>
        <v>0</v>
      </c>
      <c r="M51" s="93">
        <f t="shared" si="15"/>
        <v>0</v>
      </c>
      <c r="N51" s="93">
        <f t="shared" si="15"/>
        <v>0</v>
      </c>
      <c r="O51" s="93">
        <f t="shared" si="15"/>
        <v>1</v>
      </c>
      <c r="P51" s="93">
        <f t="shared" si="15"/>
        <v>0</v>
      </c>
      <c r="Q51" s="93">
        <f t="shared" si="15"/>
        <v>0</v>
      </c>
      <c r="R51" s="93">
        <f t="shared" si="15"/>
        <v>0</v>
      </c>
      <c r="S51" s="93">
        <f t="shared" si="15"/>
        <v>0</v>
      </c>
      <c r="T51" s="93">
        <f t="shared" si="15"/>
        <v>0</v>
      </c>
      <c r="U51" s="93">
        <f t="shared" si="15"/>
        <v>0</v>
      </c>
      <c r="V51" s="93">
        <f>V16+V33</f>
        <v>0</v>
      </c>
      <c r="W51" s="93">
        <f>W16+W33</f>
        <v>1</v>
      </c>
      <c r="X51" s="93">
        <f>X16+X33</f>
        <v>0</v>
      </c>
      <c r="Y51" s="93">
        <f>Y16+Y33</f>
        <v>0</v>
      </c>
      <c r="Z51" s="93">
        <f t="shared" si="15"/>
        <v>0</v>
      </c>
      <c r="AA51" s="93">
        <f t="shared" si="15"/>
        <v>0</v>
      </c>
      <c r="AB51" s="93">
        <f t="shared" si="15"/>
        <v>0</v>
      </c>
      <c r="AC51" s="93">
        <f t="shared" si="15"/>
        <v>0</v>
      </c>
      <c r="AD51" s="93">
        <f t="shared" si="15"/>
        <v>0</v>
      </c>
      <c r="AE51" s="102">
        <f t="shared" si="13"/>
        <v>5</v>
      </c>
      <c r="AF51" s="116">
        <f t="shared" si="14"/>
        <v>3.6982248520710057E-3</v>
      </c>
      <c r="AG51" s="105">
        <v>0</v>
      </c>
    </row>
    <row r="52" spans="1:33" x14ac:dyDescent="0.4">
      <c r="A52" s="99" t="s">
        <v>25</v>
      </c>
      <c r="B52" s="99"/>
      <c r="C52" s="92">
        <f>0+SUM(C38:C51)</f>
        <v>12</v>
      </c>
      <c r="D52" s="92">
        <f t="shared" ref="D52:U52" si="16">0+SUM(D38:D51)</f>
        <v>14</v>
      </c>
      <c r="E52" s="92">
        <f t="shared" si="16"/>
        <v>33</v>
      </c>
      <c r="F52" s="92">
        <f t="shared" si="16"/>
        <v>103</v>
      </c>
      <c r="G52" s="92">
        <f t="shared" si="16"/>
        <v>12</v>
      </c>
      <c r="H52" s="92">
        <f t="shared" si="16"/>
        <v>112</v>
      </c>
      <c r="I52" s="92">
        <f t="shared" si="16"/>
        <v>72</v>
      </c>
      <c r="J52" s="92">
        <f t="shared" si="16"/>
        <v>20</v>
      </c>
      <c r="K52" s="92">
        <f t="shared" si="16"/>
        <v>66</v>
      </c>
      <c r="L52" s="92">
        <f t="shared" si="16"/>
        <v>21</v>
      </c>
      <c r="M52" s="92">
        <f t="shared" si="16"/>
        <v>120</v>
      </c>
      <c r="N52" s="92">
        <f t="shared" si="16"/>
        <v>8</v>
      </c>
      <c r="O52" s="92">
        <f t="shared" si="16"/>
        <v>116</v>
      </c>
      <c r="P52" s="92">
        <f t="shared" si="16"/>
        <v>0</v>
      </c>
      <c r="Q52" s="92">
        <f t="shared" si="16"/>
        <v>2</v>
      </c>
      <c r="R52" s="92">
        <f t="shared" si="16"/>
        <v>79</v>
      </c>
      <c r="S52" s="92">
        <f t="shared" si="16"/>
        <v>63</v>
      </c>
      <c r="T52" s="92">
        <f t="shared" si="16"/>
        <v>0</v>
      </c>
      <c r="U52" s="92">
        <f t="shared" si="16"/>
        <v>0</v>
      </c>
      <c r="V52" s="92">
        <f>0+SUM(V38:V51)</f>
        <v>106</v>
      </c>
      <c r="W52" s="92">
        <f>0+SUM(W38:W51)</f>
        <v>171</v>
      </c>
      <c r="X52" s="92">
        <f>SUM(X17,X34)</f>
        <v>35</v>
      </c>
      <c r="Y52" s="92">
        <f t="shared" ref="Y52:AD52" si="17">0+SUM(Y38:Y51)</f>
        <v>14</v>
      </c>
      <c r="Z52" s="92">
        <f t="shared" si="17"/>
        <v>13</v>
      </c>
      <c r="AA52" s="92">
        <f t="shared" si="17"/>
        <v>20</v>
      </c>
      <c r="AB52" s="92">
        <f t="shared" si="17"/>
        <v>102</v>
      </c>
      <c r="AC52" s="92">
        <f t="shared" si="17"/>
        <v>0</v>
      </c>
      <c r="AD52" s="92">
        <f t="shared" si="17"/>
        <v>38</v>
      </c>
      <c r="AE52" s="99">
        <f>SUM(AE38:AE51)</f>
        <v>1352</v>
      </c>
      <c r="AF52" s="106"/>
      <c r="AG52" s="106"/>
    </row>
    <row r="53" spans="1:33" x14ac:dyDescent="0.4">
      <c r="A53" s="99" t="s">
        <v>48</v>
      </c>
      <c r="B53" s="99"/>
      <c r="C53" s="107">
        <f t="shared" ref="C53:AD53" si="18">C52/$AE$52</f>
        <v>8.8757396449704144E-3</v>
      </c>
      <c r="D53" s="107">
        <f t="shared" si="18"/>
        <v>1.0355029585798817E-2</v>
      </c>
      <c r="E53" s="107">
        <f t="shared" si="18"/>
        <v>2.4408284023668639E-2</v>
      </c>
      <c r="F53" s="107">
        <f t="shared" si="18"/>
        <v>7.6183431952662722E-2</v>
      </c>
      <c r="G53" s="107">
        <f t="shared" si="18"/>
        <v>8.8757396449704144E-3</v>
      </c>
      <c r="H53" s="107">
        <f t="shared" si="18"/>
        <v>8.2840236686390539E-2</v>
      </c>
      <c r="I53" s="107">
        <v>0.13850000000000001</v>
      </c>
      <c r="J53" s="107">
        <f t="shared" si="18"/>
        <v>1.4792899408284023E-2</v>
      </c>
      <c r="K53" s="107">
        <f t="shared" si="18"/>
        <v>4.8816568047337278E-2</v>
      </c>
      <c r="L53" s="107">
        <f t="shared" si="18"/>
        <v>1.5532544378698224E-2</v>
      </c>
      <c r="M53" s="107">
        <f t="shared" si="18"/>
        <v>8.8757396449704137E-2</v>
      </c>
      <c r="N53" s="107">
        <f t="shared" si="18"/>
        <v>5.9171597633136093E-3</v>
      </c>
      <c r="O53" s="107">
        <f t="shared" si="18"/>
        <v>8.5798816568047331E-2</v>
      </c>
      <c r="P53" s="107">
        <f t="shared" si="18"/>
        <v>0</v>
      </c>
      <c r="Q53" s="107">
        <f t="shared" si="18"/>
        <v>1.4792899408284023E-3</v>
      </c>
      <c r="R53" s="107">
        <f t="shared" si="18"/>
        <v>5.8431952662721894E-2</v>
      </c>
      <c r="S53" s="107">
        <f t="shared" si="18"/>
        <v>4.6597633136094677E-2</v>
      </c>
      <c r="T53" s="107">
        <f t="shared" si="18"/>
        <v>0</v>
      </c>
      <c r="U53" s="107">
        <f t="shared" si="18"/>
        <v>0</v>
      </c>
      <c r="V53" s="107">
        <f t="shared" si="18"/>
        <v>7.8402366863905323E-2</v>
      </c>
      <c r="W53" s="107">
        <f t="shared" si="18"/>
        <v>0.12647928994082841</v>
      </c>
      <c r="X53" s="107">
        <f t="shared" si="18"/>
        <v>2.5887573964497042E-2</v>
      </c>
      <c r="Y53" s="107">
        <f t="shared" si="18"/>
        <v>1.0355029585798817E-2</v>
      </c>
      <c r="Z53" s="107">
        <f t="shared" si="18"/>
        <v>9.6153846153846159E-3</v>
      </c>
      <c r="AA53" s="107">
        <f t="shared" si="18"/>
        <v>1.4792899408284023E-2</v>
      </c>
      <c r="AB53" s="107">
        <f t="shared" si="18"/>
        <v>7.5443786982248517E-2</v>
      </c>
      <c r="AC53" s="107">
        <f t="shared" si="18"/>
        <v>0</v>
      </c>
      <c r="AD53" s="107">
        <f t="shared" si="18"/>
        <v>2.8106508875739646E-2</v>
      </c>
      <c r="AE53" s="99"/>
      <c r="AF53" s="99"/>
      <c r="AG53" s="99"/>
    </row>
    <row r="54" spans="1:33" x14ac:dyDescent="0.4">
      <c r="A54" s="99" t="s">
        <v>169</v>
      </c>
      <c r="B54" s="99"/>
      <c r="C54" s="7">
        <v>19</v>
      </c>
      <c r="D54" s="7">
        <v>17</v>
      </c>
      <c r="E54" s="7">
        <v>14</v>
      </c>
      <c r="F54" s="7">
        <v>7</v>
      </c>
      <c r="G54" s="7">
        <v>19</v>
      </c>
      <c r="H54" s="7">
        <v>5</v>
      </c>
      <c r="I54" s="7">
        <v>1</v>
      </c>
      <c r="J54" s="7">
        <v>16</v>
      </c>
      <c r="K54" s="7">
        <v>10</v>
      </c>
      <c r="L54" s="7">
        <v>15</v>
      </c>
      <c r="M54" s="7">
        <v>3</v>
      </c>
      <c r="N54" s="7">
        <v>20</v>
      </c>
      <c r="O54" s="7">
        <v>4</v>
      </c>
      <c r="P54" s="7"/>
      <c r="Q54" s="7">
        <v>21</v>
      </c>
      <c r="R54" s="7">
        <v>9</v>
      </c>
      <c r="S54" s="7">
        <v>11</v>
      </c>
      <c r="T54" s="7"/>
      <c r="U54" s="7"/>
      <c r="V54" s="7">
        <v>6</v>
      </c>
      <c r="W54" s="7">
        <v>2</v>
      </c>
      <c r="X54" s="7">
        <v>13</v>
      </c>
      <c r="Y54" s="7">
        <v>17</v>
      </c>
      <c r="Z54" s="7">
        <v>18</v>
      </c>
      <c r="AA54" s="7">
        <v>16</v>
      </c>
      <c r="AB54" s="7">
        <v>8</v>
      </c>
      <c r="AC54" s="7"/>
      <c r="AD54" s="7">
        <v>12</v>
      </c>
      <c r="AE54" s="5"/>
      <c r="AF54" s="99"/>
      <c r="AG54" s="99"/>
    </row>
    <row r="55" spans="1:33" x14ac:dyDescent="0.4">
      <c r="A55" s="5" t="s">
        <v>47</v>
      </c>
      <c r="D55" s="108"/>
      <c r="E55" s="92"/>
      <c r="F55" s="92"/>
      <c r="G55" s="92"/>
      <c r="H55" s="92"/>
      <c r="I55" s="92"/>
      <c r="J55" s="92"/>
      <c r="K55" s="92"/>
      <c r="L55" s="92"/>
      <c r="M55" s="92">
        <f>SUM(C52:N52)</f>
        <v>593</v>
      </c>
      <c r="N55" s="92"/>
      <c r="O55" s="92"/>
      <c r="P55" s="92"/>
      <c r="Q55" s="92"/>
      <c r="R55" s="92"/>
      <c r="S55" s="92"/>
      <c r="T55" s="92"/>
      <c r="U55" s="92"/>
      <c r="V55" s="92"/>
      <c r="W55" s="92"/>
      <c r="X55" s="92"/>
      <c r="Y55" s="92">
        <f>SUM(O52:Y52)+AA52</f>
        <v>606</v>
      </c>
      <c r="Z55" s="92"/>
      <c r="AA55" s="92"/>
      <c r="AB55" s="92"/>
      <c r="AC55" s="92"/>
      <c r="AD55" s="92">
        <f>Z52+AB52+AC52+AD52</f>
        <v>153</v>
      </c>
      <c r="AE55" s="99"/>
      <c r="AF55" s="99"/>
      <c r="AG55" s="99"/>
    </row>
    <row r="56" spans="1:33" x14ac:dyDescent="0.4">
      <c r="A56" s="99" t="s">
        <v>40</v>
      </c>
      <c r="B56" s="99"/>
      <c r="C56" s="92">
        <v>189</v>
      </c>
      <c r="D56" s="109"/>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9"/>
      <c r="AF56" s="99"/>
      <c r="AG56" s="99"/>
    </row>
    <row r="57" spans="1:33" x14ac:dyDescent="0.4">
      <c r="A57" s="99" t="s">
        <v>41</v>
      </c>
      <c r="B57" s="99"/>
      <c r="C57" s="87">
        <f>AE17/C56</f>
        <v>1.4708994708994709</v>
      </c>
      <c r="D57" s="108"/>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9"/>
      <c r="AF57" s="99"/>
      <c r="AG57" s="99"/>
    </row>
    <row r="58" spans="1:33" x14ac:dyDescent="0.4">
      <c r="A58" s="99" t="s">
        <v>42</v>
      </c>
      <c r="B58" s="99"/>
      <c r="C58" s="92">
        <v>292</v>
      </c>
      <c r="D58" s="109"/>
      <c r="E58" s="92"/>
      <c r="F58" s="29" t="s">
        <v>62</v>
      </c>
      <c r="G58" s="92"/>
      <c r="H58" s="92" t="s">
        <v>165</v>
      </c>
      <c r="I58" s="92"/>
      <c r="J58" s="92"/>
      <c r="K58" s="92"/>
      <c r="L58" s="92"/>
      <c r="M58" s="92"/>
      <c r="N58" s="92"/>
      <c r="O58" s="92"/>
      <c r="U58" s="92"/>
      <c r="V58" s="92"/>
      <c r="W58" s="92"/>
      <c r="X58" s="92"/>
      <c r="Y58" s="92"/>
      <c r="Z58" s="92"/>
      <c r="AA58" s="92"/>
      <c r="AB58" s="92"/>
      <c r="AC58" s="92"/>
      <c r="AD58" s="92"/>
      <c r="AE58" s="99"/>
      <c r="AF58" s="99"/>
      <c r="AG58" s="99"/>
    </row>
    <row r="59" spans="1:33" x14ac:dyDescent="0.4">
      <c r="A59" s="99" t="s">
        <v>43</v>
      </c>
      <c r="B59" s="99"/>
      <c r="C59" s="87">
        <f>AE34/C58</f>
        <v>3.6780821917808217</v>
      </c>
      <c r="D59" s="108"/>
      <c r="E59" s="92"/>
      <c r="F59" s="109"/>
      <c r="G59" s="92"/>
      <c r="H59" s="92"/>
      <c r="I59" s="92"/>
      <c r="J59" s="76" t="s">
        <v>86</v>
      </c>
      <c r="K59" s="92"/>
      <c r="L59" s="92">
        <f>32+127</f>
        <v>159</v>
      </c>
      <c r="M59" s="76" t="s">
        <v>134</v>
      </c>
      <c r="N59" s="2"/>
      <c r="O59" s="92">
        <f>12+35</f>
        <v>47</v>
      </c>
      <c r="P59" s="117" t="s">
        <v>157</v>
      </c>
      <c r="Q59" s="92"/>
      <c r="R59" s="92">
        <f>C60-L59-O59</f>
        <v>275</v>
      </c>
      <c r="S59" s="92"/>
      <c r="T59" s="92"/>
      <c r="U59" s="92"/>
      <c r="V59" s="92"/>
      <c r="W59" s="92"/>
      <c r="X59" s="92"/>
      <c r="Y59" s="92"/>
      <c r="Z59" s="92"/>
      <c r="AA59" s="92"/>
      <c r="AB59" s="92"/>
      <c r="AC59" s="92"/>
      <c r="AD59" s="92"/>
      <c r="AE59" s="99"/>
      <c r="AF59" s="99"/>
      <c r="AG59" s="99"/>
    </row>
    <row r="60" spans="1:33" x14ac:dyDescent="0.4">
      <c r="A60" s="99" t="s">
        <v>44</v>
      </c>
      <c r="B60" s="99"/>
      <c r="C60" s="92">
        <v>481</v>
      </c>
      <c r="D60" s="109"/>
      <c r="E60" s="92"/>
      <c r="F60" s="109" t="s">
        <v>165</v>
      </c>
      <c r="G60" s="94" t="s">
        <v>77</v>
      </c>
      <c r="H60" s="92"/>
      <c r="I60" s="92"/>
      <c r="J60" s="118" t="s">
        <v>158</v>
      </c>
      <c r="K60" s="92"/>
      <c r="L60" s="87">
        <f>Y55/L59</f>
        <v>3.8113207547169812</v>
      </c>
      <c r="M60" s="117" t="s">
        <v>159</v>
      </c>
      <c r="N60" s="92"/>
      <c r="O60" s="87">
        <f>AD55/O59</f>
        <v>3.2553191489361701</v>
      </c>
      <c r="P60" s="118" t="s">
        <v>160</v>
      </c>
      <c r="Q60" s="92"/>
      <c r="R60" s="87">
        <f>M55/R59</f>
        <v>2.1563636363636363</v>
      </c>
      <c r="S60" s="92"/>
      <c r="T60" s="92"/>
      <c r="U60" s="92"/>
      <c r="V60" s="92"/>
      <c r="W60" s="92"/>
      <c r="X60" s="92"/>
      <c r="Y60" s="92"/>
      <c r="Z60" s="7" t="s">
        <v>178</v>
      </c>
      <c r="AA60" s="92"/>
      <c r="AB60" s="92"/>
      <c r="AC60" s="92"/>
      <c r="AD60" s="92"/>
      <c r="AE60" s="99"/>
      <c r="AF60" s="99"/>
      <c r="AG60" s="99"/>
    </row>
    <row r="61" spans="1:33" x14ac:dyDescent="0.4">
      <c r="A61" s="99" t="s">
        <v>45</v>
      </c>
      <c r="B61" s="99"/>
      <c r="C61" s="87">
        <f>AE52/C60</f>
        <v>2.810810810810811</v>
      </c>
      <c r="D61" s="110"/>
      <c r="E61" s="92"/>
      <c r="F61" s="109" t="s">
        <v>165</v>
      </c>
      <c r="G61" s="94" t="s">
        <v>64</v>
      </c>
      <c r="H61" s="92"/>
      <c r="I61" s="92"/>
      <c r="J61" s="92"/>
      <c r="K61" s="92"/>
      <c r="L61" s="92"/>
      <c r="M61" s="92"/>
      <c r="N61" s="92"/>
      <c r="O61" s="92"/>
      <c r="P61" s="92"/>
      <c r="Q61" s="92"/>
      <c r="R61" s="92"/>
      <c r="S61" s="92"/>
      <c r="T61" s="92"/>
      <c r="U61" s="94" t="s">
        <v>176</v>
      </c>
      <c r="V61" s="92"/>
      <c r="W61" s="92"/>
      <c r="X61" s="92"/>
      <c r="Y61" s="92"/>
      <c r="Z61" s="92">
        <v>3.69</v>
      </c>
      <c r="AA61" s="92"/>
      <c r="AB61" s="92"/>
      <c r="AC61" s="92"/>
      <c r="AD61" s="92"/>
      <c r="AE61" s="99"/>
      <c r="AF61" s="99"/>
      <c r="AG61" s="99"/>
    </row>
    <row r="62" spans="1:33" x14ac:dyDescent="0.4">
      <c r="A62" s="99" t="s">
        <v>46</v>
      </c>
      <c r="B62" s="99"/>
      <c r="C62" s="109">
        <f>AE52/300</f>
        <v>4.5066666666666668</v>
      </c>
      <c r="D62" s="7"/>
      <c r="E62" s="92"/>
      <c r="F62" s="92"/>
      <c r="G62" s="92"/>
      <c r="H62" s="92"/>
      <c r="I62" s="92"/>
      <c r="J62" s="92"/>
      <c r="K62" s="92"/>
      <c r="L62" s="92"/>
      <c r="M62" s="92"/>
      <c r="N62" s="92"/>
      <c r="O62" s="92"/>
      <c r="P62" s="92"/>
      <c r="Q62" s="92"/>
      <c r="R62" s="92"/>
      <c r="S62" s="94"/>
      <c r="T62" s="92"/>
      <c r="U62" s="94" t="s">
        <v>177</v>
      </c>
      <c r="V62" s="92"/>
      <c r="W62" s="92"/>
      <c r="X62" s="92"/>
      <c r="Y62" s="92"/>
      <c r="Z62" s="92">
        <f>28/7</f>
        <v>4</v>
      </c>
      <c r="AA62" s="92"/>
      <c r="AB62" s="92"/>
      <c r="AC62" s="92"/>
      <c r="AD62" s="92"/>
      <c r="AE62" s="99"/>
      <c r="AF62" s="99"/>
      <c r="AG62" s="99"/>
    </row>
    <row r="63" spans="1:33" x14ac:dyDescent="0.4">
      <c r="B63" s="99"/>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9"/>
      <c r="AF63" s="99"/>
      <c r="AG63" s="99"/>
    </row>
    <row r="64" spans="1:33" x14ac:dyDescent="0.4">
      <c r="A64" s="5" t="s">
        <v>49</v>
      </c>
      <c r="B64" s="99"/>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9"/>
      <c r="AF64" s="99"/>
      <c r="AG64" s="99"/>
    </row>
    <row r="65" spans="1:33" x14ac:dyDescent="0.4">
      <c r="A65" s="99" t="s">
        <v>128</v>
      </c>
      <c r="B65" s="99"/>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9"/>
      <c r="AF65" s="99"/>
      <c r="AG65" s="99"/>
    </row>
    <row r="66" spans="1:33" x14ac:dyDescent="0.4">
      <c r="A66" s="99" t="s">
        <v>175</v>
      </c>
      <c r="B66" s="99"/>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9"/>
      <c r="AF66" s="99"/>
      <c r="AG66" s="99"/>
    </row>
    <row r="67" spans="1:33" x14ac:dyDescent="0.4">
      <c r="A67" s="99" t="s">
        <v>174</v>
      </c>
      <c r="B67" s="99"/>
      <c r="C67" s="92"/>
      <c r="D67" s="7"/>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9"/>
      <c r="AF67" s="99"/>
      <c r="AG67" s="99"/>
    </row>
    <row r="68" spans="1:33" x14ac:dyDescent="0.4">
      <c r="B68" s="99"/>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9"/>
      <c r="AF68" s="99"/>
      <c r="AG68" s="99"/>
    </row>
    <row r="69" spans="1:33" x14ac:dyDescent="0.4">
      <c r="A69" s="5" t="s">
        <v>56</v>
      </c>
      <c r="B69" s="99"/>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9"/>
      <c r="AF69" s="99"/>
      <c r="AG69" s="99"/>
    </row>
    <row r="70" spans="1:33" x14ac:dyDescent="0.4">
      <c r="A70" s="99" t="s">
        <v>133</v>
      </c>
      <c r="B70" s="99"/>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9"/>
      <c r="AF70" s="99"/>
      <c r="AG70" s="99"/>
    </row>
    <row r="71" spans="1:33" x14ac:dyDescent="0.4">
      <c r="A71" s="99" t="s">
        <v>179</v>
      </c>
      <c r="B71" s="99"/>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9"/>
      <c r="AF71" s="99"/>
      <c r="AG71" s="99"/>
    </row>
  </sheetData>
  <pageMargins left="0" right="0" top="0.5" bottom="0.25" header="0.3" footer="0.3"/>
  <pageSetup scale="61" orientation="landscape" r:id="rId1"/>
  <headerFooter>
    <oddHeader>&amp;CBurbank Land Club, Inc 2021-22 season</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EBA9E-2C6B-4CF4-BC59-30A7A5A786FB}">
  <sheetPr>
    <pageSetUpPr fitToPage="1"/>
  </sheetPr>
  <dimension ref="A1:AG72"/>
  <sheetViews>
    <sheetView tabSelected="1" workbookViewId="0">
      <selection activeCell="A28" sqref="A28"/>
    </sheetView>
  </sheetViews>
  <sheetFormatPr defaultRowHeight="12.7" x14ac:dyDescent="0.4"/>
  <cols>
    <col min="1" max="1" width="18.87890625" customWidth="1"/>
    <col min="2" max="2" width="5.8203125" customWidth="1"/>
    <col min="3" max="3" width="6.29296875" customWidth="1"/>
    <col min="4" max="4" width="6.41015625" customWidth="1"/>
    <col min="5" max="5" width="6.46875" customWidth="1"/>
    <col min="6" max="6" width="6.41015625" customWidth="1"/>
    <col min="7" max="7" width="6.3515625" customWidth="1"/>
    <col min="8" max="8" width="6.8203125" customWidth="1"/>
    <col min="9" max="9" width="7.05859375" customWidth="1"/>
    <col min="10" max="10" width="6.41015625" customWidth="1"/>
    <col min="11" max="12" width="6.29296875" customWidth="1"/>
    <col min="13" max="13" width="6.1171875" customWidth="1"/>
    <col min="14" max="14" width="6.703125" customWidth="1"/>
    <col min="15" max="15" width="6.17578125" customWidth="1"/>
    <col min="16" max="17" width="6.41015625" customWidth="1"/>
    <col min="18" max="18" width="6.8203125" customWidth="1"/>
    <col min="19" max="19" width="6.29296875" customWidth="1"/>
    <col min="20" max="20" width="6.17578125" customWidth="1"/>
    <col min="21" max="21" width="6.41015625" customWidth="1"/>
    <col min="22" max="22" width="6" customWidth="1"/>
    <col min="23" max="23" width="7.41015625" customWidth="1"/>
    <col min="24" max="24" width="6.29296875" customWidth="1"/>
    <col min="25" max="25" width="5.87890625" customWidth="1"/>
    <col min="26" max="26" width="6.29296875" customWidth="1"/>
    <col min="27" max="27" width="6" customWidth="1"/>
    <col min="28" max="28" width="7.05859375" customWidth="1"/>
    <col min="29" max="29" width="6.52734375" customWidth="1"/>
    <col min="30" max="30" width="6.41015625" customWidth="1"/>
    <col min="31" max="31" width="5.29296875" customWidth="1"/>
    <col min="32" max="32" width="7.52734375" customWidth="1"/>
    <col min="33" max="33" width="8.3515625" customWidth="1"/>
  </cols>
  <sheetData>
    <row r="1" spans="1:33" ht="18.5" customHeight="1" thickBot="1" x14ac:dyDescent="0.45">
      <c r="A1" s="5" t="s">
        <v>106</v>
      </c>
      <c r="B1" s="99"/>
      <c r="C1" s="94" t="s">
        <v>182</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9"/>
      <c r="AF1" s="99"/>
      <c r="AG1" s="99"/>
    </row>
    <row r="2" spans="1:33" ht="13" thickBot="1" x14ac:dyDescent="0.45">
      <c r="A2" s="10" t="s">
        <v>39</v>
      </c>
      <c r="B2" s="100"/>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U2" s="12">
        <v>19</v>
      </c>
      <c r="V2" s="12">
        <v>20</v>
      </c>
      <c r="W2" s="12">
        <v>21</v>
      </c>
      <c r="X2" s="12">
        <v>22</v>
      </c>
      <c r="Y2" s="12">
        <v>23</v>
      </c>
      <c r="Z2" s="12">
        <v>24</v>
      </c>
      <c r="AA2" s="12">
        <v>25</v>
      </c>
      <c r="AB2" s="12">
        <v>26</v>
      </c>
      <c r="AC2" s="12">
        <v>27</v>
      </c>
      <c r="AD2" s="12">
        <v>28</v>
      </c>
      <c r="AE2" s="120" t="s">
        <v>2</v>
      </c>
      <c r="AF2" s="99"/>
      <c r="AG2" s="99"/>
    </row>
    <row r="3" spans="1:33" x14ac:dyDescent="0.4">
      <c r="A3" s="121" t="s">
        <v>21</v>
      </c>
      <c r="B3" s="121"/>
      <c r="C3" s="92"/>
      <c r="D3" s="92"/>
      <c r="E3" s="92"/>
      <c r="F3" s="92"/>
      <c r="G3" s="92"/>
      <c r="H3" s="92"/>
      <c r="I3" s="92"/>
      <c r="J3" s="92"/>
      <c r="K3" s="92"/>
      <c r="L3" s="92"/>
      <c r="M3" s="92"/>
      <c r="N3" s="92"/>
      <c r="O3" s="92"/>
      <c r="P3" s="92"/>
      <c r="Q3" s="92"/>
      <c r="R3" s="92"/>
      <c r="S3" s="92"/>
      <c r="T3" s="92"/>
      <c r="U3" s="92"/>
      <c r="V3" s="92"/>
      <c r="W3" s="92"/>
      <c r="X3" s="92"/>
      <c r="Y3" s="92">
        <v>1</v>
      </c>
      <c r="Z3" s="92"/>
      <c r="AA3" s="92"/>
      <c r="AB3" s="92"/>
      <c r="AC3" s="92"/>
      <c r="AD3" s="92"/>
      <c r="AE3" s="123">
        <f>SUM(C3:AD3)</f>
        <v>1</v>
      </c>
      <c r="AF3" s="99"/>
      <c r="AG3" s="99"/>
    </row>
    <row r="4" spans="1:33" x14ac:dyDescent="0.4">
      <c r="A4" s="124" t="s">
        <v>35</v>
      </c>
      <c r="B4" s="124"/>
      <c r="C4" s="125">
        <v>1</v>
      </c>
      <c r="D4" s="125"/>
      <c r="E4" s="125"/>
      <c r="F4" s="125"/>
      <c r="G4" s="125"/>
      <c r="H4" s="125"/>
      <c r="I4" s="125">
        <v>1</v>
      </c>
      <c r="J4" s="125"/>
      <c r="K4" s="125"/>
      <c r="L4" s="125"/>
      <c r="M4" s="125"/>
      <c r="N4" s="125"/>
      <c r="O4" s="125"/>
      <c r="P4" s="125"/>
      <c r="Q4" s="125"/>
      <c r="R4" s="125"/>
      <c r="S4" s="125"/>
      <c r="T4" s="125"/>
      <c r="U4" s="125"/>
      <c r="V4" s="125"/>
      <c r="W4" s="125">
        <v>1</v>
      </c>
      <c r="X4" s="125"/>
      <c r="Y4" s="125"/>
      <c r="Z4" s="125"/>
      <c r="AA4" s="125"/>
      <c r="AB4" s="125"/>
      <c r="AC4" s="125"/>
      <c r="AD4" s="125"/>
      <c r="AE4" s="126">
        <f>SUM(C4:AD4)</f>
        <v>3</v>
      </c>
      <c r="AF4" s="99"/>
      <c r="AG4" s="99"/>
    </row>
    <row r="5" spans="1:33" x14ac:dyDescent="0.4">
      <c r="A5" s="124" t="s">
        <v>16</v>
      </c>
      <c r="B5" s="124"/>
      <c r="C5" s="92">
        <v>3</v>
      </c>
      <c r="D5" s="92"/>
      <c r="E5" s="92">
        <v>1</v>
      </c>
      <c r="F5" s="92"/>
      <c r="G5" s="92"/>
      <c r="H5" s="92">
        <v>3</v>
      </c>
      <c r="I5" s="92">
        <v>3</v>
      </c>
      <c r="J5" s="92"/>
      <c r="K5" s="92">
        <v>5</v>
      </c>
      <c r="L5" s="92"/>
      <c r="M5" s="92"/>
      <c r="N5" s="92"/>
      <c r="O5" s="92"/>
      <c r="P5" s="92"/>
      <c r="Q5" s="92"/>
      <c r="R5" s="92">
        <v>2</v>
      </c>
      <c r="S5" s="92"/>
      <c r="T5" s="92"/>
      <c r="U5" s="92"/>
      <c r="V5" s="92">
        <v>2</v>
      </c>
      <c r="W5" s="92">
        <v>2</v>
      </c>
      <c r="X5" s="92"/>
      <c r="Y5" s="92">
        <v>2</v>
      </c>
      <c r="Z5" s="92"/>
      <c r="AA5" s="92"/>
      <c r="AB5" s="92">
        <v>2</v>
      </c>
      <c r="AC5" s="92"/>
      <c r="AD5" s="92"/>
      <c r="AE5" s="126">
        <f t="shared" ref="AE5:AE15" si="0">SUM(C5:AD5)</f>
        <v>25</v>
      </c>
      <c r="AF5" s="99"/>
      <c r="AG5" s="99"/>
    </row>
    <row r="6" spans="1:33" x14ac:dyDescent="0.4">
      <c r="A6" s="124" t="s">
        <v>29</v>
      </c>
      <c r="B6" s="124"/>
      <c r="C6" s="125">
        <v>2</v>
      </c>
      <c r="D6" s="125"/>
      <c r="E6" s="125"/>
      <c r="F6" s="125"/>
      <c r="G6" s="125"/>
      <c r="H6" s="125">
        <v>1</v>
      </c>
      <c r="I6" s="125"/>
      <c r="J6" s="125"/>
      <c r="K6" s="125"/>
      <c r="L6" s="125"/>
      <c r="M6" s="125">
        <v>2</v>
      </c>
      <c r="N6" s="125"/>
      <c r="O6" s="125"/>
      <c r="P6" s="125"/>
      <c r="Q6" s="125"/>
      <c r="R6" s="125">
        <v>3</v>
      </c>
      <c r="S6" s="125"/>
      <c r="T6" s="125"/>
      <c r="U6" s="125"/>
      <c r="V6" s="125"/>
      <c r="W6" s="125"/>
      <c r="X6" s="125"/>
      <c r="Y6" s="125"/>
      <c r="Z6" s="125"/>
      <c r="AA6" s="125"/>
      <c r="AB6" s="125"/>
      <c r="AC6" s="125"/>
      <c r="AD6" s="125"/>
      <c r="AE6" s="126">
        <f t="shared" si="0"/>
        <v>8</v>
      </c>
      <c r="AF6" s="99"/>
      <c r="AG6" s="99"/>
    </row>
    <row r="7" spans="1:33" x14ac:dyDescent="0.4">
      <c r="A7" s="124" t="s">
        <v>18</v>
      </c>
      <c r="B7" s="124"/>
      <c r="C7" s="92">
        <v>1</v>
      </c>
      <c r="D7" s="92"/>
      <c r="E7" s="92">
        <v>1</v>
      </c>
      <c r="F7" s="92"/>
      <c r="G7" s="92"/>
      <c r="H7" s="92"/>
      <c r="I7" s="92"/>
      <c r="J7" s="92"/>
      <c r="K7" s="92">
        <v>2</v>
      </c>
      <c r="L7" s="92"/>
      <c r="M7" s="92">
        <v>1</v>
      </c>
      <c r="N7" s="92"/>
      <c r="O7" s="92"/>
      <c r="P7" s="92"/>
      <c r="Q7" s="92"/>
      <c r="R7" s="92">
        <v>1</v>
      </c>
      <c r="S7" s="92"/>
      <c r="T7" s="92"/>
      <c r="U7" s="92"/>
      <c r="V7" s="92"/>
      <c r="W7" s="92"/>
      <c r="X7" s="92"/>
      <c r="Y7" s="92"/>
      <c r="Z7" s="92"/>
      <c r="AA7" s="92"/>
      <c r="AB7" s="92"/>
      <c r="AC7" s="92"/>
      <c r="AD7" s="92"/>
      <c r="AE7" s="126">
        <f t="shared" si="0"/>
        <v>6</v>
      </c>
      <c r="AF7" s="99"/>
      <c r="AG7" s="99"/>
    </row>
    <row r="8" spans="1:33" x14ac:dyDescent="0.4">
      <c r="A8" s="124" t="s">
        <v>19</v>
      </c>
      <c r="B8" s="124"/>
      <c r="C8" s="125">
        <v>2</v>
      </c>
      <c r="D8" s="125"/>
      <c r="E8" s="125">
        <v>1</v>
      </c>
      <c r="F8" s="125">
        <v>1</v>
      </c>
      <c r="G8" s="125">
        <v>1</v>
      </c>
      <c r="H8" s="125">
        <v>4</v>
      </c>
      <c r="I8" s="125">
        <v>1</v>
      </c>
      <c r="J8" s="125">
        <v>2</v>
      </c>
      <c r="K8" s="125">
        <v>2</v>
      </c>
      <c r="L8" s="125"/>
      <c r="M8" s="125">
        <v>1</v>
      </c>
      <c r="N8" s="125"/>
      <c r="O8" s="125"/>
      <c r="P8" s="125"/>
      <c r="Q8" s="125"/>
      <c r="R8" s="125">
        <v>7</v>
      </c>
      <c r="S8" s="125">
        <v>2</v>
      </c>
      <c r="T8" s="125"/>
      <c r="U8" s="125"/>
      <c r="V8" s="125"/>
      <c r="W8" s="125">
        <v>4</v>
      </c>
      <c r="X8" s="125"/>
      <c r="Y8" s="125">
        <v>1</v>
      </c>
      <c r="Z8" s="125"/>
      <c r="AA8" s="125"/>
      <c r="AB8" s="125">
        <v>5</v>
      </c>
      <c r="AC8" s="125"/>
      <c r="AD8" s="125">
        <v>2</v>
      </c>
      <c r="AE8" s="126">
        <f t="shared" si="0"/>
        <v>36</v>
      </c>
      <c r="AF8" s="99"/>
      <c r="AG8" s="99"/>
    </row>
    <row r="9" spans="1:33" x14ac:dyDescent="0.4">
      <c r="A9" s="124" t="s">
        <v>20</v>
      </c>
      <c r="B9" s="124"/>
      <c r="C9" s="92">
        <v>1</v>
      </c>
      <c r="D9" s="92"/>
      <c r="E9" s="92"/>
      <c r="F9" s="92"/>
      <c r="G9" s="92"/>
      <c r="H9" s="92"/>
      <c r="I9" s="92"/>
      <c r="J9" s="92">
        <v>1</v>
      </c>
      <c r="K9" s="92"/>
      <c r="L9" s="92"/>
      <c r="M9" s="92"/>
      <c r="N9" s="92">
        <v>1</v>
      </c>
      <c r="O9" s="92"/>
      <c r="P9" s="92"/>
      <c r="Q9" s="92"/>
      <c r="R9" s="92"/>
      <c r="S9" s="92"/>
      <c r="T9" s="92"/>
      <c r="U9" s="92"/>
      <c r="V9" s="92"/>
      <c r="W9" s="92">
        <v>1</v>
      </c>
      <c r="X9" s="92"/>
      <c r="Y9" s="92"/>
      <c r="Z9" s="92"/>
      <c r="AA9" s="92"/>
      <c r="AB9" s="92"/>
      <c r="AC9" s="92"/>
      <c r="AD9" s="92"/>
      <c r="AE9" s="126">
        <f t="shared" si="0"/>
        <v>4</v>
      </c>
      <c r="AF9" s="99"/>
      <c r="AG9" s="99"/>
    </row>
    <row r="10" spans="1:33" x14ac:dyDescent="0.4">
      <c r="A10" s="124" t="s">
        <v>136</v>
      </c>
      <c r="B10" s="124"/>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6">
        <f t="shared" si="0"/>
        <v>0</v>
      </c>
      <c r="AF10" s="99"/>
      <c r="AG10" s="99"/>
    </row>
    <row r="11" spans="1:33" x14ac:dyDescent="0.4">
      <c r="A11" s="124" t="s">
        <v>98</v>
      </c>
      <c r="B11" s="124"/>
      <c r="C11" s="92"/>
      <c r="D11" s="92"/>
      <c r="E11" s="92"/>
      <c r="F11" s="92"/>
      <c r="G11" s="92"/>
      <c r="H11" s="92">
        <v>2</v>
      </c>
      <c r="I11" s="92"/>
      <c r="J11" s="92"/>
      <c r="K11" s="92"/>
      <c r="L11" s="92"/>
      <c r="M11" s="92"/>
      <c r="N11" s="92"/>
      <c r="O11" s="92"/>
      <c r="P11" s="92"/>
      <c r="Q11" s="92"/>
      <c r="R11" s="92"/>
      <c r="S11" s="92"/>
      <c r="T11" s="92"/>
      <c r="U11" s="92"/>
      <c r="V11" s="92"/>
      <c r="W11" s="92"/>
      <c r="X11" s="92"/>
      <c r="Y11" s="92"/>
      <c r="Z11" s="92"/>
      <c r="AA11" s="92"/>
      <c r="AB11" s="92"/>
      <c r="AC11" s="92"/>
      <c r="AD11" s="92"/>
      <c r="AE11" s="126">
        <f t="shared" si="0"/>
        <v>2</v>
      </c>
      <c r="AF11" s="99"/>
      <c r="AG11" s="99"/>
    </row>
    <row r="12" spans="1:33" x14ac:dyDescent="0.4">
      <c r="A12" s="124" t="s">
        <v>22</v>
      </c>
      <c r="B12" s="124"/>
      <c r="C12" s="125">
        <v>35</v>
      </c>
      <c r="D12" s="125">
        <v>1</v>
      </c>
      <c r="E12" s="125">
        <v>6</v>
      </c>
      <c r="F12" s="125">
        <v>2</v>
      </c>
      <c r="G12" s="125">
        <v>10</v>
      </c>
      <c r="H12" s="125">
        <v>29</v>
      </c>
      <c r="I12" s="125">
        <v>15</v>
      </c>
      <c r="J12" s="125">
        <v>7</v>
      </c>
      <c r="K12" s="125">
        <v>24</v>
      </c>
      <c r="L12" s="125">
        <v>7</v>
      </c>
      <c r="M12" s="125">
        <v>25</v>
      </c>
      <c r="N12" s="125">
        <v>6</v>
      </c>
      <c r="O12" s="125"/>
      <c r="P12" s="125"/>
      <c r="Q12" s="125"/>
      <c r="R12" s="125">
        <v>26</v>
      </c>
      <c r="S12" s="125">
        <v>1</v>
      </c>
      <c r="T12" s="125"/>
      <c r="U12" s="125"/>
      <c r="V12" s="125">
        <v>6</v>
      </c>
      <c r="W12" s="125">
        <v>22</v>
      </c>
      <c r="X12" s="125">
        <v>1</v>
      </c>
      <c r="Y12" s="125">
        <v>4</v>
      </c>
      <c r="Z12" s="125">
        <v>1</v>
      </c>
      <c r="AA12" s="125"/>
      <c r="AB12" s="125">
        <v>8</v>
      </c>
      <c r="AC12" s="125"/>
      <c r="AD12" s="125">
        <v>1</v>
      </c>
      <c r="AE12" s="126">
        <f t="shared" si="0"/>
        <v>237</v>
      </c>
      <c r="AF12" s="99"/>
      <c r="AG12" s="99"/>
    </row>
    <row r="13" spans="1:33" x14ac:dyDescent="0.4">
      <c r="A13" s="124" t="s">
        <v>23</v>
      </c>
      <c r="B13" s="124"/>
      <c r="C13" s="92">
        <v>13</v>
      </c>
      <c r="D13" s="92"/>
      <c r="E13" s="92">
        <v>1</v>
      </c>
      <c r="F13" s="92"/>
      <c r="G13" s="92"/>
      <c r="H13" s="92">
        <v>9</v>
      </c>
      <c r="I13" s="92">
        <v>9</v>
      </c>
      <c r="J13" s="92">
        <v>1</v>
      </c>
      <c r="K13" s="92">
        <v>7</v>
      </c>
      <c r="L13" s="92"/>
      <c r="M13" s="92">
        <v>12</v>
      </c>
      <c r="N13" s="92">
        <v>1</v>
      </c>
      <c r="O13" s="92"/>
      <c r="P13" s="92"/>
      <c r="Q13" s="92"/>
      <c r="R13" s="92">
        <v>11</v>
      </c>
      <c r="S13" s="92">
        <v>1</v>
      </c>
      <c r="T13" s="92"/>
      <c r="U13" s="92"/>
      <c r="V13" s="92"/>
      <c r="W13" s="92"/>
      <c r="X13" s="92"/>
      <c r="Y13" s="92">
        <v>1</v>
      </c>
      <c r="Z13" s="92">
        <v>3</v>
      </c>
      <c r="AA13" s="92"/>
      <c r="AB13" s="92">
        <v>12</v>
      </c>
      <c r="AC13" s="92"/>
      <c r="AD13" s="92">
        <v>2</v>
      </c>
      <c r="AE13" s="126">
        <f t="shared" si="0"/>
        <v>83</v>
      </c>
      <c r="AF13" s="99"/>
      <c r="AG13" s="99"/>
    </row>
    <row r="14" spans="1:33" x14ac:dyDescent="0.4">
      <c r="A14" s="124" t="s">
        <v>24</v>
      </c>
      <c r="B14" s="124"/>
      <c r="C14" s="125">
        <v>1</v>
      </c>
      <c r="D14" s="125"/>
      <c r="E14" s="125">
        <v>2</v>
      </c>
      <c r="F14" s="125"/>
      <c r="G14" s="125"/>
      <c r="H14" s="125">
        <v>7</v>
      </c>
      <c r="I14" s="125">
        <v>2</v>
      </c>
      <c r="J14" s="125">
        <v>1</v>
      </c>
      <c r="K14" s="125">
        <v>4</v>
      </c>
      <c r="L14" s="125"/>
      <c r="M14" s="125">
        <v>2</v>
      </c>
      <c r="N14" s="125"/>
      <c r="O14" s="125"/>
      <c r="P14" s="125"/>
      <c r="Q14" s="125"/>
      <c r="R14" s="125">
        <v>8</v>
      </c>
      <c r="S14" s="125"/>
      <c r="T14" s="125"/>
      <c r="U14" s="125"/>
      <c r="V14" s="125">
        <v>1</v>
      </c>
      <c r="W14" s="125">
        <v>3</v>
      </c>
      <c r="X14" s="125"/>
      <c r="Y14" s="125">
        <v>2</v>
      </c>
      <c r="Z14" s="125"/>
      <c r="AA14" s="125"/>
      <c r="AB14" s="125">
        <v>3</v>
      </c>
      <c r="AC14" s="125"/>
      <c r="AD14" s="125">
        <v>3</v>
      </c>
      <c r="AE14" s="126">
        <f t="shared" si="0"/>
        <v>39</v>
      </c>
      <c r="AF14" s="99"/>
      <c r="AG14" s="99"/>
    </row>
    <row r="15" spans="1:33" x14ac:dyDescent="0.4">
      <c r="A15" s="124" t="s">
        <v>111</v>
      </c>
      <c r="B15" s="124"/>
      <c r="C15" s="125"/>
      <c r="D15" s="125"/>
      <c r="E15" s="125"/>
      <c r="F15" s="125"/>
      <c r="G15" s="125"/>
      <c r="H15" s="125"/>
      <c r="I15" s="125"/>
      <c r="J15" s="125"/>
      <c r="K15" s="125">
        <v>1</v>
      </c>
      <c r="L15" s="125"/>
      <c r="M15" s="125"/>
      <c r="N15" s="125">
        <v>1</v>
      </c>
      <c r="O15" s="125"/>
      <c r="P15" s="125"/>
      <c r="Q15" s="125"/>
      <c r="R15" s="125">
        <v>1</v>
      </c>
      <c r="S15" s="125"/>
      <c r="T15" s="125"/>
      <c r="U15" s="125"/>
      <c r="V15" s="125"/>
      <c r="W15" s="125"/>
      <c r="X15" s="125"/>
      <c r="Y15" s="125">
        <v>1</v>
      </c>
      <c r="Z15" s="125"/>
      <c r="AA15" s="125"/>
      <c r="AB15" s="125"/>
      <c r="AC15" s="125"/>
      <c r="AD15" s="125"/>
      <c r="AE15" s="126">
        <f t="shared" si="0"/>
        <v>4</v>
      </c>
      <c r="AF15" s="99"/>
      <c r="AG15" s="99"/>
    </row>
    <row r="16" spans="1:33" ht="13" thickBot="1" x14ac:dyDescent="0.45">
      <c r="A16" s="127" t="s">
        <v>36</v>
      </c>
      <c r="B16" s="127"/>
      <c r="C16" s="93"/>
      <c r="D16" s="93"/>
      <c r="E16" s="93"/>
      <c r="F16" s="93"/>
      <c r="G16" s="93"/>
      <c r="H16" s="93">
        <v>17</v>
      </c>
      <c r="I16" s="93"/>
      <c r="J16" s="93"/>
      <c r="K16" s="93"/>
      <c r="L16" s="93"/>
      <c r="M16" s="93"/>
      <c r="N16" s="93"/>
      <c r="O16" s="93"/>
      <c r="P16" s="93"/>
      <c r="Q16" s="93"/>
      <c r="R16" s="93"/>
      <c r="S16" s="93"/>
      <c r="T16" s="93"/>
      <c r="U16" s="93"/>
      <c r="V16" s="93"/>
      <c r="W16" s="93"/>
      <c r="X16" s="93"/>
      <c r="Y16" s="93">
        <v>1</v>
      </c>
      <c r="Z16" s="93"/>
      <c r="AA16" s="93"/>
      <c r="AB16" s="93"/>
      <c r="AC16" s="93"/>
      <c r="AD16" s="93"/>
      <c r="AE16" s="102">
        <f>SUM(C16:AD16)</f>
        <v>18</v>
      </c>
      <c r="AF16" s="99"/>
      <c r="AG16" s="99"/>
    </row>
    <row r="17" spans="1:33" x14ac:dyDescent="0.4">
      <c r="A17" s="99" t="s">
        <v>25</v>
      </c>
      <c r="B17" s="99"/>
      <c r="C17" s="92">
        <f t="shared" ref="C17:Q17" si="1">SUM(C3:C16)</f>
        <v>59</v>
      </c>
      <c r="D17" s="92">
        <f t="shared" si="1"/>
        <v>1</v>
      </c>
      <c r="E17" s="92">
        <f t="shared" si="1"/>
        <v>12</v>
      </c>
      <c r="F17" s="92">
        <f t="shared" si="1"/>
        <v>3</v>
      </c>
      <c r="G17" s="92">
        <f t="shared" si="1"/>
        <v>11</v>
      </c>
      <c r="H17" s="92">
        <f t="shared" si="1"/>
        <v>72</v>
      </c>
      <c r="I17" s="92">
        <f t="shared" si="1"/>
        <v>31</v>
      </c>
      <c r="J17" s="92">
        <f t="shared" si="1"/>
        <v>12</v>
      </c>
      <c r="K17" s="92">
        <f t="shared" si="1"/>
        <v>45</v>
      </c>
      <c r="L17" s="92">
        <f t="shared" si="1"/>
        <v>7</v>
      </c>
      <c r="M17" s="92">
        <f t="shared" si="1"/>
        <v>43</v>
      </c>
      <c r="N17" s="92">
        <f t="shared" si="1"/>
        <v>9</v>
      </c>
      <c r="O17" s="92">
        <f t="shared" si="1"/>
        <v>0</v>
      </c>
      <c r="P17" s="92">
        <f t="shared" si="1"/>
        <v>0</v>
      </c>
      <c r="Q17" s="92">
        <f t="shared" si="1"/>
        <v>0</v>
      </c>
      <c r="R17" s="92">
        <f>SUM(R3:R16)</f>
        <v>59</v>
      </c>
      <c r="S17" s="92">
        <f>SUM(S3:S16)</f>
        <v>4</v>
      </c>
      <c r="T17" s="92">
        <f t="shared" ref="T17:U17" si="2">SUM(T3:T16)</f>
        <v>0</v>
      </c>
      <c r="U17" s="92">
        <f t="shared" si="2"/>
        <v>0</v>
      </c>
      <c r="V17" s="92">
        <f>SUM(V3:V16)</f>
        <v>9</v>
      </c>
      <c r="W17" s="92">
        <f>SUM(W3:W16)</f>
        <v>33</v>
      </c>
      <c r="X17" s="92">
        <f t="shared" ref="X17:Y17" si="3">SUM(X3:X16)</f>
        <v>1</v>
      </c>
      <c r="Y17" s="92">
        <f t="shared" si="3"/>
        <v>13</v>
      </c>
      <c r="Z17" s="92">
        <f>SUM(Z3:Z16)</f>
        <v>4</v>
      </c>
      <c r="AA17" s="92">
        <f t="shared" ref="AA17" si="4">SUM(AA3:AA16)</f>
        <v>0</v>
      </c>
      <c r="AB17" s="92">
        <f>SUM(AB3:AB16)</f>
        <v>30</v>
      </c>
      <c r="AC17" s="92">
        <f>SUM(AC3:AC16)</f>
        <v>0</v>
      </c>
      <c r="AD17" s="92">
        <f>SUM(AD3:AD16)</f>
        <v>8</v>
      </c>
      <c r="AE17" s="92">
        <f>SUM(C17:AD17)</f>
        <v>466</v>
      </c>
      <c r="AF17" s="99"/>
      <c r="AG17" s="99"/>
    </row>
    <row r="18" spans="1:33" ht="13" thickBot="1" x14ac:dyDescent="0.45">
      <c r="A18" s="29" t="s">
        <v>107</v>
      </c>
      <c r="B18" s="99"/>
      <c r="C18" s="95" t="s">
        <v>181</v>
      </c>
      <c r="D18" s="94"/>
      <c r="E18" s="7"/>
      <c r="F18" s="29"/>
      <c r="G18" s="29" t="s">
        <v>126</v>
      </c>
      <c r="H18" s="92"/>
      <c r="I18" s="92"/>
      <c r="J18" s="119" t="s">
        <v>186</v>
      </c>
      <c r="K18" s="92"/>
      <c r="L18" s="92"/>
      <c r="M18" s="92"/>
      <c r="N18" s="92" t="s">
        <v>185</v>
      </c>
      <c r="O18" s="92"/>
      <c r="P18" s="92"/>
      <c r="Q18" s="92"/>
      <c r="R18" s="92"/>
      <c r="S18" s="92"/>
      <c r="T18" s="92"/>
      <c r="U18" s="92"/>
      <c r="V18" s="92"/>
      <c r="W18" s="92"/>
      <c r="X18" s="92"/>
      <c r="Y18" s="92"/>
      <c r="Z18" s="92"/>
      <c r="AA18" s="92"/>
      <c r="AB18" s="92"/>
      <c r="AC18" s="92"/>
      <c r="AD18" s="92"/>
      <c r="AE18" s="99"/>
      <c r="AF18" s="99"/>
      <c r="AG18" s="99"/>
    </row>
    <row r="19" spans="1:33" ht="13" thickBot="1" x14ac:dyDescent="0.45">
      <c r="A19" s="10" t="str">
        <f>A2</f>
        <v>BLIND #</v>
      </c>
      <c r="B19" s="14"/>
      <c r="C19" s="65">
        <f t="shared" ref="C19:N19" si="5">C2</f>
        <v>1</v>
      </c>
      <c r="D19" s="12">
        <f t="shared" si="5"/>
        <v>2</v>
      </c>
      <c r="E19" s="12">
        <f t="shared" si="5"/>
        <v>3</v>
      </c>
      <c r="F19" s="12">
        <f t="shared" si="5"/>
        <v>4</v>
      </c>
      <c r="G19" s="12">
        <f t="shared" si="5"/>
        <v>5</v>
      </c>
      <c r="H19" s="12">
        <f t="shared" si="5"/>
        <v>6</v>
      </c>
      <c r="I19" s="12">
        <f t="shared" si="5"/>
        <v>7</v>
      </c>
      <c r="J19" s="12">
        <f t="shared" si="5"/>
        <v>8</v>
      </c>
      <c r="K19" s="12">
        <f t="shared" si="5"/>
        <v>9</v>
      </c>
      <c r="L19" s="12">
        <f t="shared" si="5"/>
        <v>10</v>
      </c>
      <c r="M19" s="12">
        <f t="shared" si="5"/>
        <v>11</v>
      </c>
      <c r="N19" s="12">
        <f t="shared" si="5"/>
        <v>12</v>
      </c>
      <c r="O19" s="12">
        <v>13</v>
      </c>
      <c r="P19" s="12">
        <v>14</v>
      </c>
      <c r="Q19" s="12">
        <v>15</v>
      </c>
      <c r="R19" s="12">
        <v>16</v>
      </c>
      <c r="S19" s="12">
        <v>17</v>
      </c>
      <c r="T19" s="12">
        <v>18</v>
      </c>
      <c r="U19" s="12">
        <v>19</v>
      </c>
      <c r="V19" s="12">
        <v>20</v>
      </c>
      <c r="W19" s="12">
        <v>21</v>
      </c>
      <c r="X19" s="12">
        <v>22</v>
      </c>
      <c r="Y19" s="12">
        <v>23</v>
      </c>
      <c r="Z19" s="12">
        <v>24</v>
      </c>
      <c r="AA19" s="12">
        <v>25</v>
      </c>
      <c r="AB19" s="12">
        <v>26</v>
      </c>
      <c r="AC19" s="12">
        <v>27</v>
      </c>
      <c r="AD19" s="12">
        <v>28</v>
      </c>
      <c r="AE19" s="120" t="s">
        <v>2</v>
      </c>
      <c r="AF19" s="99"/>
      <c r="AG19" s="99"/>
    </row>
    <row r="20" spans="1:33" x14ac:dyDescent="0.4">
      <c r="A20" s="121" t="str">
        <f>A3</f>
        <v>RINGNECK</v>
      </c>
      <c r="B20" s="121"/>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123">
        <f>SUM(C20:AD20)</f>
        <v>0</v>
      </c>
      <c r="AF20" s="99"/>
      <c r="AG20" s="99"/>
    </row>
    <row r="21" spans="1:33" x14ac:dyDescent="0.4">
      <c r="A21" s="124" t="str">
        <f t="shared" ref="A21:A31" si="6">A4</f>
        <v>CANVASBACK</v>
      </c>
      <c r="B21" s="124"/>
      <c r="C21" s="125"/>
      <c r="D21" s="125"/>
      <c r="E21" s="125"/>
      <c r="F21" s="125"/>
      <c r="G21" s="125"/>
      <c r="H21" s="125"/>
      <c r="I21" s="125"/>
      <c r="J21" s="125"/>
      <c r="K21" s="125"/>
      <c r="L21" s="125">
        <v>1</v>
      </c>
      <c r="M21" s="125">
        <v>1</v>
      </c>
      <c r="N21" s="125"/>
      <c r="O21" s="125"/>
      <c r="P21" s="125"/>
      <c r="Q21" s="125"/>
      <c r="R21" s="125"/>
      <c r="S21" s="125"/>
      <c r="T21" s="125"/>
      <c r="U21" s="125"/>
      <c r="V21" s="125"/>
      <c r="W21" s="125"/>
      <c r="X21" s="125"/>
      <c r="Y21" s="125"/>
      <c r="Z21" s="125"/>
      <c r="AA21" s="125"/>
      <c r="AB21" s="125"/>
      <c r="AC21" s="125"/>
      <c r="AD21" s="125"/>
      <c r="AE21" s="126">
        <f>SUM(C21:AD21)</f>
        <v>2</v>
      </c>
      <c r="AF21" s="99"/>
      <c r="AG21" s="99"/>
    </row>
    <row r="22" spans="1:33" x14ac:dyDescent="0.4">
      <c r="A22" s="124" t="str">
        <f t="shared" si="6"/>
        <v>GADWALL</v>
      </c>
      <c r="B22" s="124"/>
      <c r="C22" s="92">
        <v>4</v>
      </c>
      <c r="D22" s="92">
        <v>2</v>
      </c>
      <c r="E22" s="92"/>
      <c r="F22" s="92"/>
      <c r="G22" s="92"/>
      <c r="H22" s="92">
        <v>3</v>
      </c>
      <c r="I22" s="92">
        <v>10</v>
      </c>
      <c r="J22" s="92"/>
      <c r="K22" s="92">
        <v>3</v>
      </c>
      <c r="L22" s="92"/>
      <c r="M22" s="92"/>
      <c r="N22" s="92"/>
      <c r="O22" s="92">
        <v>4</v>
      </c>
      <c r="P22" s="92"/>
      <c r="Q22" s="92"/>
      <c r="R22" s="92">
        <v>3</v>
      </c>
      <c r="S22" s="92">
        <v>1</v>
      </c>
      <c r="T22" s="92"/>
      <c r="U22" s="92"/>
      <c r="V22" s="92">
        <v>4</v>
      </c>
      <c r="W22" s="92">
        <v>5</v>
      </c>
      <c r="X22" s="92"/>
      <c r="Y22" s="92">
        <v>1</v>
      </c>
      <c r="Z22" s="92">
        <v>2</v>
      </c>
      <c r="AA22" s="92"/>
      <c r="AB22" s="92">
        <v>7</v>
      </c>
      <c r="AC22" s="92">
        <v>2</v>
      </c>
      <c r="AD22" s="92">
        <v>1</v>
      </c>
      <c r="AE22" s="126">
        <f t="shared" ref="AE22:AE32" si="7">SUM(C22:AD22)</f>
        <v>52</v>
      </c>
      <c r="AF22" s="99"/>
      <c r="AG22" s="99"/>
    </row>
    <row r="23" spans="1:33" x14ac:dyDescent="0.4">
      <c r="A23" s="124" t="str">
        <f t="shared" si="6"/>
        <v>GEESE</v>
      </c>
      <c r="B23" s="124"/>
      <c r="C23" s="125"/>
      <c r="D23" s="125"/>
      <c r="E23" s="125"/>
      <c r="F23" s="125"/>
      <c r="G23" s="125"/>
      <c r="H23" s="125"/>
      <c r="I23" s="125"/>
      <c r="J23" s="125"/>
      <c r="K23" s="125"/>
      <c r="L23" s="125">
        <v>2</v>
      </c>
      <c r="M23" s="125"/>
      <c r="N23" s="125"/>
      <c r="O23" s="125"/>
      <c r="P23" s="125"/>
      <c r="Q23" s="125"/>
      <c r="R23" s="125"/>
      <c r="S23" s="125"/>
      <c r="T23" s="125"/>
      <c r="U23" s="125"/>
      <c r="V23" s="125"/>
      <c r="W23" s="125"/>
      <c r="X23" s="125"/>
      <c r="Y23" s="125"/>
      <c r="Z23" s="125"/>
      <c r="AA23" s="125"/>
      <c r="AB23" s="125"/>
      <c r="AC23" s="125"/>
      <c r="AD23" s="125">
        <v>2</v>
      </c>
      <c r="AE23" s="126">
        <f t="shared" si="7"/>
        <v>4</v>
      </c>
      <c r="AF23" s="99"/>
      <c r="AG23" s="99"/>
    </row>
    <row r="24" spans="1:33" x14ac:dyDescent="0.4">
      <c r="A24" s="124" t="str">
        <f>A7</f>
        <v>MALLARD</v>
      </c>
      <c r="B24" s="124"/>
      <c r="C24" s="92"/>
      <c r="D24" s="92"/>
      <c r="E24" s="92"/>
      <c r="F24" s="92"/>
      <c r="G24" s="92"/>
      <c r="H24" s="92"/>
      <c r="I24" s="92">
        <v>2</v>
      </c>
      <c r="J24" s="92"/>
      <c r="K24" s="92"/>
      <c r="L24" s="92"/>
      <c r="M24" s="92"/>
      <c r="N24" s="92"/>
      <c r="O24" s="92"/>
      <c r="P24" s="92"/>
      <c r="Q24" s="92"/>
      <c r="R24" s="92"/>
      <c r="S24" s="92"/>
      <c r="T24" s="92"/>
      <c r="U24" s="92"/>
      <c r="V24" s="92"/>
      <c r="W24" s="92">
        <v>1</v>
      </c>
      <c r="X24" s="92"/>
      <c r="Y24" s="92"/>
      <c r="Z24" s="92"/>
      <c r="AA24" s="92"/>
      <c r="AB24" s="92"/>
      <c r="AC24" s="92"/>
      <c r="AD24" s="92"/>
      <c r="AE24" s="126">
        <f t="shared" si="7"/>
        <v>3</v>
      </c>
      <c r="AF24" s="99"/>
      <c r="AG24" s="99"/>
    </row>
    <row r="25" spans="1:33" x14ac:dyDescent="0.4">
      <c r="A25" s="124" t="str">
        <f t="shared" si="6"/>
        <v>PINTAIL</v>
      </c>
      <c r="B25" s="124"/>
      <c r="C25" s="125">
        <v>4</v>
      </c>
      <c r="D25" s="125"/>
      <c r="E25" s="125">
        <v>1</v>
      </c>
      <c r="F25" s="125">
        <v>3</v>
      </c>
      <c r="G25" s="125"/>
      <c r="H25" s="125">
        <v>6</v>
      </c>
      <c r="I25" s="125">
        <v>7</v>
      </c>
      <c r="J25" s="125"/>
      <c r="K25" s="125">
        <v>3</v>
      </c>
      <c r="L25" s="125"/>
      <c r="M25" s="125">
        <v>9</v>
      </c>
      <c r="N25" s="125"/>
      <c r="O25" s="125">
        <v>7</v>
      </c>
      <c r="P25" s="125"/>
      <c r="Q25" s="125"/>
      <c r="R25" s="125">
        <v>11</v>
      </c>
      <c r="S25" s="125">
        <v>4</v>
      </c>
      <c r="T25" s="125"/>
      <c r="U25" s="125"/>
      <c r="V25" s="125">
        <v>3</v>
      </c>
      <c r="W25" s="125">
        <v>12</v>
      </c>
      <c r="X25" s="125"/>
      <c r="Y25" s="125">
        <v>2</v>
      </c>
      <c r="Z25" s="125">
        <v>2</v>
      </c>
      <c r="AA25" s="125"/>
      <c r="AB25" s="125">
        <v>12</v>
      </c>
      <c r="AC25" s="125">
        <v>2</v>
      </c>
      <c r="AD25" s="125">
        <v>12</v>
      </c>
      <c r="AE25" s="126">
        <f t="shared" si="7"/>
        <v>100</v>
      </c>
      <c r="AF25" s="99"/>
      <c r="AG25" s="99"/>
    </row>
    <row r="26" spans="1:33" x14ac:dyDescent="0.4">
      <c r="A26" s="124" t="str">
        <f t="shared" si="6"/>
        <v>REDHEAD</v>
      </c>
      <c r="B26" s="124"/>
      <c r="C26" s="92"/>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126">
        <f t="shared" si="7"/>
        <v>0</v>
      </c>
      <c r="AF26" s="99"/>
      <c r="AG26" s="99"/>
    </row>
    <row r="27" spans="1:33" x14ac:dyDescent="0.4">
      <c r="A27" s="124" t="str">
        <f t="shared" si="6"/>
        <v>WOODY</v>
      </c>
      <c r="B27" s="124"/>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6">
        <f t="shared" si="7"/>
        <v>0</v>
      </c>
      <c r="AF27" s="99"/>
      <c r="AG27" s="99"/>
    </row>
    <row r="28" spans="1:33" x14ac:dyDescent="0.4">
      <c r="A28" s="124" t="str">
        <f t="shared" si="6"/>
        <v>B'HEAD</v>
      </c>
      <c r="B28" s="124"/>
      <c r="C28" s="92"/>
      <c r="D28" s="92"/>
      <c r="E28" s="92"/>
      <c r="F28" s="92"/>
      <c r="G28" s="92"/>
      <c r="H28" s="92">
        <v>2</v>
      </c>
      <c r="I28" s="92"/>
      <c r="J28" s="92"/>
      <c r="K28" s="92"/>
      <c r="L28" s="92"/>
      <c r="M28" s="92">
        <v>2</v>
      </c>
      <c r="N28" s="92"/>
      <c r="O28" s="92"/>
      <c r="P28" s="92"/>
      <c r="Q28" s="92"/>
      <c r="R28" s="92"/>
      <c r="S28" s="92"/>
      <c r="T28" s="92"/>
      <c r="U28" s="92"/>
      <c r="V28" s="92"/>
      <c r="W28" s="92"/>
      <c r="X28" s="92"/>
      <c r="Y28" s="92"/>
      <c r="Z28" s="92"/>
      <c r="AA28" s="92"/>
      <c r="AB28" s="92"/>
      <c r="AC28" s="92"/>
      <c r="AD28" s="92">
        <v>2</v>
      </c>
      <c r="AE28" s="126">
        <f t="shared" si="7"/>
        <v>6</v>
      </c>
      <c r="AF28" s="99"/>
      <c r="AG28" s="99"/>
    </row>
    <row r="29" spans="1:33" x14ac:dyDescent="0.4">
      <c r="A29" s="124" t="str">
        <f t="shared" si="6"/>
        <v>SPOONY</v>
      </c>
      <c r="B29" s="124"/>
      <c r="C29" s="125">
        <v>18</v>
      </c>
      <c r="D29" s="125">
        <v>2</v>
      </c>
      <c r="E29" s="125">
        <v>13</v>
      </c>
      <c r="F29" s="125">
        <v>5</v>
      </c>
      <c r="G29" s="125">
        <v>2</v>
      </c>
      <c r="H29" s="125">
        <v>44</v>
      </c>
      <c r="I29" s="125">
        <v>43</v>
      </c>
      <c r="J29" s="125"/>
      <c r="K29" s="125">
        <v>6</v>
      </c>
      <c r="L29" s="125">
        <v>4</v>
      </c>
      <c r="M29" s="125">
        <v>28</v>
      </c>
      <c r="N29" s="125"/>
      <c r="O29" s="125">
        <v>48</v>
      </c>
      <c r="P29" s="125"/>
      <c r="Q29" s="125"/>
      <c r="R29" s="125">
        <v>33</v>
      </c>
      <c r="S29" s="125">
        <v>10</v>
      </c>
      <c r="T29" s="125"/>
      <c r="U29" s="125"/>
      <c r="V29" s="125">
        <v>8</v>
      </c>
      <c r="W29" s="125">
        <v>16</v>
      </c>
      <c r="X29" s="125">
        <v>4</v>
      </c>
      <c r="Y29" s="125">
        <v>6</v>
      </c>
      <c r="Z29" s="125">
        <v>3</v>
      </c>
      <c r="AA29" s="125">
        <v>1</v>
      </c>
      <c r="AB29" s="125">
        <v>27</v>
      </c>
      <c r="AC29" s="125">
        <v>2</v>
      </c>
      <c r="AD29" s="125">
        <v>17</v>
      </c>
      <c r="AE29" s="126">
        <f t="shared" si="7"/>
        <v>340</v>
      </c>
      <c r="AF29" s="99"/>
      <c r="AG29" s="99"/>
    </row>
    <row r="30" spans="1:33" x14ac:dyDescent="0.4">
      <c r="A30" s="124" t="str">
        <f t="shared" si="6"/>
        <v>TEAL</v>
      </c>
      <c r="B30" s="124"/>
      <c r="C30" s="134">
        <v>40</v>
      </c>
      <c r="D30" s="134">
        <v>5</v>
      </c>
      <c r="E30" s="134">
        <v>32</v>
      </c>
      <c r="F30" s="134">
        <v>18</v>
      </c>
      <c r="G30" s="134">
        <v>4</v>
      </c>
      <c r="H30" s="134">
        <v>50</v>
      </c>
      <c r="I30" s="134">
        <v>112</v>
      </c>
      <c r="J30" s="134"/>
      <c r="K30" s="134">
        <v>20</v>
      </c>
      <c r="L30" s="134">
        <v>10</v>
      </c>
      <c r="M30" s="134">
        <v>91</v>
      </c>
      <c r="N30" s="134"/>
      <c r="O30" s="134">
        <v>57</v>
      </c>
      <c r="P30" s="134"/>
      <c r="Q30" s="134"/>
      <c r="R30" s="134">
        <v>83</v>
      </c>
      <c r="S30" s="134">
        <v>13</v>
      </c>
      <c r="T30" s="134"/>
      <c r="U30" s="134"/>
      <c r="V30" s="134">
        <v>23</v>
      </c>
      <c r="W30" s="134">
        <v>74</v>
      </c>
      <c r="X30" s="134">
        <v>4</v>
      </c>
      <c r="Y30" s="134">
        <v>13</v>
      </c>
      <c r="Z30" s="134">
        <v>20</v>
      </c>
      <c r="AA30" s="134">
        <v>4</v>
      </c>
      <c r="AB30" s="134">
        <v>96</v>
      </c>
      <c r="AC30" s="134">
        <v>1</v>
      </c>
      <c r="AD30" s="134">
        <v>76</v>
      </c>
      <c r="AE30" s="126">
        <f t="shared" si="7"/>
        <v>846</v>
      </c>
      <c r="AF30" s="99"/>
      <c r="AG30" s="99"/>
    </row>
    <row r="31" spans="1:33" x14ac:dyDescent="0.4">
      <c r="A31" s="124" t="str">
        <f t="shared" si="6"/>
        <v>WIDGEON</v>
      </c>
      <c r="B31" s="124"/>
      <c r="C31" s="125">
        <v>3</v>
      </c>
      <c r="D31" s="125"/>
      <c r="E31" s="125">
        <v>10</v>
      </c>
      <c r="F31" s="125">
        <v>4</v>
      </c>
      <c r="G31" s="125"/>
      <c r="H31" s="125">
        <v>7</v>
      </c>
      <c r="I31" s="125">
        <v>16</v>
      </c>
      <c r="J31" s="125"/>
      <c r="K31" s="125">
        <v>3</v>
      </c>
      <c r="L31" s="125"/>
      <c r="M31" s="125">
        <v>12</v>
      </c>
      <c r="N31" s="125"/>
      <c r="O31" s="125">
        <v>8</v>
      </c>
      <c r="P31" s="125"/>
      <c r="Q31" s="125"/>
      <c r="R31" s="125">
        <v>30</v>
      </c>
      <c r="S31" s="125">
        <v>7</v>
      </c>
      <c r="T31" s="125"/>
      <c r="U31" s="125"/>
      <c r="V31" s="125">
        <v>21</v>
      </c>
      <c r="W31" s="125">
        <v>25</v>
      </c>
      <c r="X31" s="125"/>
      <c r="Y31" s="125">
        <v>2</v>
      </c>
      <c r="Z31" s="125">
        <v>2</v>
      </c>
      <c r="AA31" s="125">
        <v>1</v>
      </c>
      <c r="AB31" s="125">
        <v>37</v>
      </c>
      <c r="AC31" s="125">
        <v>9</v>
      </c>
      <c r="AD31" s="125">
        <v>17</v>
      </c>
      <c r="AE31" s="126">
        <f t="shared" si="7"/>
        <v>214</v>
      </c>
      <c r="AF31" s="99"/>
      <c r="AG31" s="99"/>
    </row>
    <row r="32" spans="1:33" x14ac:dyDescent="0.4">
      <c r="A32" s="124" t="s">
        <v>111</v>
      </c>
      <c r="B32" s="124"/>
      <c r="C32" s="134"/>
      <c r="D32" s="134"/>
      <c r="E32" s="134"/>
      <c r="F32" s="134"/>
      <c r="G32" s="13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c r="AE32" s="126">
        <f t="shared" si="7"/>
        <v>0</v>
      </c>
      <c r="AF32" s="99"/>
      <c r="AG32" s="99"/>
    </row>
    <row r="33" spans="1:33" ht="13" thickBot="1" x14ac:dyDescent="0.45">
      <c r="A33" s="128" t="str">
        <f>A16</f>
        <v>MISC</v>
      </c>
      <c r="B33" s="128"/>
      <c r="C33" s="93"/>
      <c r="D33" s="93"/>
      <c r="E33" s="93"/>
      <c r="F33" s="93"/>
      <c r="G33" s="93"/>
      <c r="H33" s="93"/>
      <c r="I33" s="93"/>
      <c r="J33" s="93"/>
      <c r="K33" s="93"/>
      <c r="L33" s="93">
        <v>1</v>
      </c>
      <c r="M33" s="93"/>
      <c r="N33" s="93"/>
      <c r="O33" s="93"/>
      <c r="P33" s="93"/>
      <c r="Q33" s="93"/>
      <c r="R33" s="93"/>
      <c r="S33" s="93"/>
      <c r="T33" s="93"/>
      <c r="U33" s="93"/>
      <c r="V33" s="93"/>
      <c r="W33" s="93"/>
      <c r="X33" s="93"/>
      <c r="Y33" s="93"/>
      <c r="Z33" s="93"/>
      <c r="AA33" s="93"/>
      <c r="AB33" s="93"/>
      <c r="AC33" s="93"/>
      <c r="AD33" s="93"/>
      <c r="AE33" s="102">
        <f>SUM(C33:AD33)</f>
        <v>1</v>
      </c>
      <c r="AF33" s="99"/>
      <c r="AG33" s="99"/>
    </row>
    <row r="34" spans="1:33" x14ac:dyDescent="0.4">
      <c r="A34" s="99" t="s">
        <v>25</v>
      </c>
      <c r="B34" s="99"/>
      <c r="C34" s="92">
        <f t="shared" ref="C34:P34" si="8">SUM(C20:C33)</f>
        <v>69</v>
      </c>
      <c r="D34" s="92">
        <f t="shared" si="8"/>
        <v>9</v>
      </c>
      <c r="E34" s="92">
        <f t="shared" si="8"/>
        <v>56</v>
      </c>
      <c r="F34" s="92">
        <f t="shared" si="8"/>
        <v>30</v>
      </c>
      <c r="G34" s="92">
        <f t="shared" si="8"/>
        <v>6</v>
      </c>
      <c r="H34" s="92">
        <f t="shared" si="8"/>
        <v>112</v>
      </c>
      <c r="I34" s="92">
        <f t="shared" si="8"/>
        <v>190</v>
      </c>
      <c r="J34" s="92">
        <f t="shared" si="8"/>
        <v>0</v>
      </c>
      <c r="K34" s="92">
        <f t="shared" si="8"/>
        <v>35</v>
      </c>
      <c r="L34" s="92">
        <f t="shared" si="8"/>
        <v>18</v>
      </c>
      <c r="M34" s="92">
        <f t="shared" si="8"/>
        <v>143</v>
      </c>
      <c r="N34" s="92">
        <f t="shared" si="8"/>
        <v>0</v>
      </c>
      <c r="O34" s="92">
        <f t="shared" si="8"/>
        <v>124</v>
      </c>
      <c r="P34" s="92">
        <f t="shared" si="8"/>
        <v>0</v>
      </c>
      <c r="Q34" s="92">
        <f>SUM(Q20:Q33)</f>
        <v>0</v>
      </c>
      <c r="R34" s="92">
        <f>SUM(R20:R33)</f>
        <v>160</v>
      </c>
      <c r="S34" s="92">
        <f>SUM(S20:S33)</f>
        <v>35</v>
      </c>
      <c r="T34" s="92">
        <f>SUM(T20:T33)</f>
        <v>0</v>
      </c>
      <c r="U34" s="92">
        <f>SUM(U20:U33)</f>
        <v>0</v>
      </c>
      <c r="V34" s="92">
        <f t="shared" ref="V34:AD34" si="9">SUM(V20:V33)</f>
        <v>59</v>
      </c>
      <c r="W34" s="92">
        <f t="shared" si="9"/>
        <v>133</v>
      </c>
      <c r="X34" s="92">
        <f t="shared" si="9"/>
        <v>8</v>
      </c>
      <c r="Y34" s="92">
        <f t="shared" si="9"/>
        <v>24</v>
      </c>
      <c r="Z34" s="92">
        <f t="shared" si="9"/>
        <v>29</v>
      </c>
      <c r="AA34" s="92">
        <f t="shared" si="9"/>
        <v>6</v>
      </c>
      <c r="AB34" s="92">
        <f t="shared" si="9"/>
        <v>179</v>
      </c>
      <c r="AC34" s="92">
        <f t="shared" si="9"/>
        <v>16</v>
      </c>
      <c r="AD34" s="92">
        <f t="shared" si="9"/>
        <v>127</v>
      </c>
      <c r="AE34" s="92">
        <f>SUM(C34:AD34)</f>
        <v>1568</v>
      </c>
      <c r="AF34" s="92"/>
      <c r="AG34" s="99"/>
    </row>
    <row r="35" spans="1:33" ht="13" thickBot="1" x14ac:dyDescent="0.45">
      <c r="A35" s="99"/>
      <c r="B35" s="99"/>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9"/>
      <c r="AF35" s="99"/>
      <c r="AG35" s="99"/>
    </row>
    <row r="36" spans="1:33" ht="13" thickBot="1" x14ac:dyDescent="0.45">
      <c r="A36" s="5" t="s">
        <v>38</v>
      </c>
      <c r="B36" s="5"/>
      <c r="C36" s="7"/>
      <c r="D36" s="7"/>
      <c r="E36" s="7"/>
      <c r="F36" s="7"/>
      <c r="G36" s="7"/>
      <c r="H36" s="7"/>
      <c r="I36" s="7"/>
      <c r="J36" s="7"/>
      <c r="K36" s="7"/>
      <c r="L36" s="7"/>
      <c r="M36" s="7"/>
      <c r="N36" s="7"/>
      <c r="O36" s="7"/>
      <c r="P36" s="7"/>
      <c r="Q36" s="7"/>
      <c r="R36" s="7"/>
      <c r="S36" s="7"/>
      <c r="T36" s="7"/>
      <c r="U36" s="7"/>
      <c r="V36" s="65"/>
      <c r="W36" s="65"/>
      <c r="X36" s="65"/>
      <c r="Y36" s="65"/>
      <c r="Z36" s="65"/>
      <c r="AA36" s="65"/>
      <c r="AB36" s="65"/>
      <c r="AC36" s="65"/>
      <c r="AD36" s="65"/>
      <c r="AE36" s="15"/>
      <c r="AF36" s="20" t="s">
        <v>60</v>
      </c>
      <c r="AG36" s="21" t="s">
        <v>57</v>
      </c>
    </row>
    <row r="37" spans="1:33" ht="13" thickBot="1" x14ac:dyDescent="0.45">
      <c r="A37" s="10" t="str">
        <f>A19</f>
        <v>BLIND #</v>
      </c>
      <c r="B37" s="14"/>
      <c r="C37" s="12">
        <f t="shared" ref="C37:U37" si="10">C19</f>
        <v>1</v>
      </c>
      <c r="D37" s="12">
        <f t="shared" si="10"/>
        <v>2</v>
      </c>
      <c r="E37" s="12">
        <f t="shared" si="10"/>
        <v>3</v>
      </c>
      <c r="F37" s="12">
        <f t="shared" si="10"/>
        <v>4</v>
      </c>
      <c r="G37" s="12">
        <f t="shared" si="10"/>
        <v>5</v>
      </c>
      <c r="H37" s="12">
        <f t="shared" si="10"/>
        <v>6</v>
      </c>
      <c r="I37" s="12">
        <f t="shared" si="10"/>
        <v>7</v>
      </c>
      <c r="J37" s="12">
        <f t="shared" si="10"/>
        <v>8</v>
      </c>
      <c r="K37" s="12">
        <f t="shared" si="10"/>
        <v>9</v>
      </c>
      <c r="L37" s="12">
        <f t="shared" si="10"/>
        <v>10</v>
      </c>
      <c r="M37" s="12">
        <f t="shared" si="10"/>
        <v>11</v>
      </c>
      <c r="N37" s="12">
        <f t="shared" si="10"/>
        <v>12</v>
      </c>
      <c r="O37" s="12">
        <f t="shared" si="10"/>
        <v>13</v>
      </c>
      <c r="P37" s="12">
        <f t="shared" si="10"/>
        <v>14</v>
      </c>
      <c r="Q37" s="12">
        <f t="shared" si="10"/>
        <v>15</v>
      </c>
      <c r="R37" s="12">
        <f t="shared" si="10"/>
        <v>16</v>
      </c>
      <c r="S37" s="12">
        <f t="shared" si="10"/>
        <v>17</v>
      </c>
      <c r="T37" s="12">
        <f t="shared" si="10"/>
        <v>18</v>
      </c>
      <c r="U37" s="12">
        <f t="shared" si="10"/>
        <v>19</v>
      </c>
      <c r="V37" s="65">
        <v>20</v>
      </c>
      <c r="W37" s="65">
        <v>21</v>
      </c>
      <c r="X37" s="65">
        <v>22</v>
      </c>
      <c r="Y37" s="65">
        <v>23</v>
      </c>
      <c r="Z37" s="65">
        <v>24</v>
      </c>
      <c r="AA37" s="65">
        <v>25</v>
      </c>
      <c r="AB37" s="65">
        <v>26</v>
      </c>
      <c r="AC37" s="65">
        <v>27</v>
      </c>
      <c r="AD37" s="65">
        <v>28</v>
      </c>
      <c r="AE37" s="131" t="s">
        <v>2</v>
      </c>
      <c r="AF37" s="26" t="s">
        <v>61</v>
      </c>
      <c r="AG37" s="27" t="s">
        <v>59</v>
      </c>
    </row>
    <row r="38" spans="1:33" x14ac:dyDescent="0.4">
      <c r="A38" s="121" t="str">
        <f>A20</f>
        <v>RINGNECK</v>
      </c>
      <c r="B38" s="121"/>
      <c r="C38" s="122">
        <f t="shared" ref="C38:AD47" si="11">C3+C20</f>
        <v>0</v>
      </c>
      <c r="D38" s="122">
        <f t="shared" si="11"/>
        <v>0</v>
      </c>
      <c r="E38" s="122">
        <f t="shared" si="11"/>
        <v>0</v>
      </c>
      <c r="F38" s="122">
        <f t="shared" si="11"/>
        <v>0</v>
      </c>
      <c r="G38" s="122">
        <f t="shared" si="11"/>
        <v>0</v>
      </c>
      <c r="H38" s="122">
        <f t="shared" si="11"/>
        <v>0</v>
      </c>
      <c r="I38" s="122">
        <f t="shared" si="11"/>
        <v>0</v>
      </c>
      <c r="J38" s="122">
        <f t="shared" si="11"/>
        <v>0</v>
      </c>
      <c r="K38" s="122">
        <f t="shared" si="11"/>
        <v>0</v>
      </c>
      <c r="L38" s="122">
        <f t="shared" si="11"/>
        <v>0</v>
      </c>
      <c r="M38" s="122">
        <f t="shared" si="11"/>
        <v>0</v>
      </c>
      <c r="N38" s="122">
        <f t="shared" si="11"/>
        <v>0</v>
      </c>
      <c r="O38" s="122">
        <f t="shared" si="11"/>
        <v>0</v>
      </c>
      <c r="P38" s="122">
        <f t="shared" si="11"/>
        <v>0</v>
      </c>
      <c r="Q38" s="122">
        <f t="shared" si="11"/>
        <v>0</v>
      </c>
      <c r="R38" s="122">
        <f t="shared" si="11"/>
        <v>0</v>
      </c>
      <c r="S38" s="122">
        <f t="shared" si="11"/>
        <v>0</v>
      </c>
      <c r="T38" s="122">
        <f t="shared" si="11"/>
        <v>0</v>
      </c>
      <c r="U38" s="122">
        <f t="shared" si="11"/>
        <v>0</v>
      </c>
      <c r="V38" s="122">
        <f t="shared" si="11"/>
        <v>0</v>
      </c>
      <c r="W38" s="122">
        <f t="shared" si="11"/>
        <v>0</v>
      </c>
      <c r="X38" s="122">
        <f t="shared" si="11"/>
        <v>0</v>
      </c>
      <c r="Y38" s="122">
        <f t="shared" si="11"/>
        <v>1</v>
      </c>
      <c r="Z38" s="122">
        <f t="shared" si="11"/>
        <v>0</v>
      </c>
      <c r="AA38" s="122">
        <f t="shared" si="11"/>
        <v>0</v>
      </c>
      <c r="AB38" s="122">
        <f t="shared" si="11"/>
        <v>0</v>
      </c>
      <c r="AC38" s="122">
        <f t="shared" si="11"/>
        <v>0</v>
      </c>
      <c r="AD38" s="122">
        <f t="shared" si="11"/>
        <v>0</v>
      </c>
      <c r="AE38" s="123">
        <f>SUM(C38:AD38)</f>
        <v>1</v>
      </c>
      <c r="AF38" s="132">
        <f>AE38/$AE$52</f>
        <v>4.9164208456243857E-4</v>
      </c>
      <c r="AG38" s="133">
        <f>35/3265</f>
        <v>1.0719754977029096E-2</v>
      </c>
    </row>
    <row r="39" spans="1:33" x14ac:dyDescent="0.4">
      <c r="A39" s="124" t="str">
        <f t="shared" ref="A39:A50" si="12">A21</f>
        <v>CANVASBACK</v>
      </c>
      <c r="B39" s="124"/>
      <c r="C39" s="125">
        <f t="shared" si="11"/>
        <v>1</v>
      </c>
      <c r="D39" s="125">
        <f t="shared" si="11"/>
        <v>0</v>
      </c>
      <c r="E39" s="125">
        <f t="shared" si="11"/>
        <v>0</v>
      </c>
      <c r="F39" s="125">
        <f t="shared" si="11"/>
        <v>0</v>
      </c>
      <c r="G39" s="125">
        <f t="shared" si="11"/>
        <v>0</v>
      </c>
      <c r="H39" s="125">
        <f t="shared" si="11"/>
        <v>0</v>
      </c>
      <c r="I39" s="125">
        <f t="shared" si="11"/>
        <v>1</v>
      </c>
      <c r="J39" s="125">
        <f t="shared" si="11"/>
        <v>0</v>
      </c>
      <c r="K39" s="125">
        <f t="shared" si="11"/>
        <v>0</v>
      </c>
      <c r="L39" s="125">
        <f t="shared" si="11"/>
        <v>1</v>
      </c>
      <c r="M39" s="125">
        <f t="shared" si="11"/>
        <v>1</v>
      </c>
      <c r="N39" s="125">
        <f t="shared" si="11"/>
        <v>0</v>
      </c>
      <c r="O39" s="125">
        <f t="shared" si="11"/>
        <v>0</v>
      </c>
      <c r="P39" s="125">
        <f t="shared" si="11"/>
        <v>0</v>
      </c>
      <c r="Q39" s="125">
        <f t="shared" si="11"/>
        <v>0</v>
      </c>
      <c r="R39" s="125">
        <f t="shared" si="11"/>
        <v>0</v>
      </c>
      <c r="S39" s="125">
        <f t="shared" si="11"/>
        <v>0</v>
      </c>
      <c r="T39" s="125">
        <f t="shared" si="11"/>
        <v>0</v>
      </c>
      <c r="U39" s="125">
        <f t="shared" si="11"/>
        <v>0</v>
      </c>
      <c r="V39" s="125">
        <f t="shared" si="11"/>
        <v>0</v>
      </c>
      <c r="W39" s="125">
        <f t="shared" si="11"/>
        <v>1</v>
      </c>
      <c r="X39" s="125">
        <f t="shared" si="11"/>
        <v>0</v>
      </c>
      <c r="Y39" s="125">
        <f t="shared" si="11"/>
        <v>0</v>
      </c>
      <c r="Z39" s="125">
        <f t="shared" si="11"/>
        <v>0</v>
      </c>
      <c r="AA39" s="125">
        <f t="shared" si="11"/>
        <v>0</v>
      </c>
      <c r="AB39" s="125">
        <f t="shared" si="11"/>
        <v>0</v>
      </c>
      <c r="AC39" s="125">
        <f t="shared" si="11"/>
        <v>0</v>
      </c>
      <c r="AD39" s="125">
        <f t="shared" si="11"/>
        <v>0</v>
      </c>
      <c r="AE39" s="126">
        <f t="shared" ref="AE39:AE51" si="13">SUM(C39:AD39)</f>
        <v>5</v>
      </c>
      <c r="AF39" s="129">
        <f>AE39/$AE$52</f>
        <v>2.4582104228121925E-3</v>
      </c>
      <c r="AG39" s="130">
        <f>13/3265</f>
        <v>3.9816232771822356E-3</v>
      </c>
    </row>
    <row r="40" spans="1:33" x14ac:dyDescent="0.4">
      <c r="A40" s="124" t="str">
        <f t="shared" si="12"/>
        <v>GADWALL</v>
      </c>
      <c r="B40" s="124"/>
      <c r="C40" s="125">
        <f t="shared" si="11"/>
        <v>7</v>
      </c>
      <c r="D40" s="125">
        <f t="shared" si="11"/>
        <v>2</v>
      </c>
      <c r="E40" s="125">
        <f t="shared" si="11"/>
        <v>1</v>
      </c>
      <c r="F40" s="125">
        <f t="shared" si="11"/>
        <v>0</v>
      </c>
      <c r="G40" s="125">
        <f t="shared" si="11"/>
        <v>0</v>
      </c>
      <c r="H40" s="125">
        <f t="shared" si="11"/>
        <v>6</v>
      </c>
      <c r="I40" s="125">
        <f t="shared" si="11"/>
        <v>13</v>
      </c>
      <c r="J40" s="125">
        <f t="shared" si="11"/>
        <v>0</v>
      </c>
      <c r="K40" s="125">
        <f t="shared" si="11"/>
        <v>8</v>
      </c>
      <c r="L40" s="125">
        <f t="shared" si="11"/>
        <v>0</v>
      </c>
      <c r="M40" s="125">
        <f t="shared" si="11"/>
        <v>0</v>
      </c>
      <c r="N40" s="125">
        <f t="shared" si="11"/>
        <v>0</v>
      </c>
      <c r="O40" s="125">
        <f t="shared" si="11"/>
        <v>4</v>
      </c>
      <c r="P40" s="125">
        <f t="shared" si="11"/>
        <v>0</v>
      </c>
      <c r="Q40" s="125">
        <f t="shared" si="11"/>
        <v>0</v>
      </c>
      <c r="R40" s="125">
        <f t="shared" si="11"/>
        <v>5</v>
      </c>
      <c r="S40" s="125">
        <f t="shared" si="11"/>
        <v>1</v>
      </c>
      <c r="T40" s="125">
        <f t="shared" si="11"/>
        <v>0</v>
      </c>
      <c r="U40" s="125">
        <f t="shared" si="11"/>
        <v>0</v>
      </c>
      <c r="V40" s="125">
        <f t="shared" si="11"/>
        <v>6</v>
      </c>
      <c r="W40" s="125">
        <f t="shared" si="11"/>
        <v>7</v>
      </c>
      <c r="X40" s="125">
        <f t="shared" si="11"/>
        <v>0</v>
      </c>
      <c r="Y40" s="125">
        <f t="shared" si="11"/>
        <v>3</v>
      </c>
      <c r="Z40" s="125">
        <f t="shared" si="11"/>
        <v>2</v>
      </c>
      <c r="AA40" s="125">
        <f t="shared" si="11"/>
        <v>0</v>
      </c>
      <c r="AB40" s="125">
        <f t="shared" si="11"/>
        <v>9</v>
      </c>
      <c r="AC40" s="125">
        <f t="shared" si="11"/>
        <v>2</v>
      </c>
      <c r="AD40" s="125">
        <f t="shared" si="11"/>
        <v>1</v>
      </c>
      <c r="AE40" s="126">
        <f t="shared" si="13"/>
        <v>77</v>
      </c>
      <c r="AF40" s="129">
        <f>AE40/$AE$52</f>
        <v>3.7856440511307765E-2</v>
      </c>
      <c r="AG40" s="130">
        <f>450/3265</f>
        <v>0.13782542113323124</v>
      </c>
    </row>
    <row r="41" spans="1:33" x14ac:dyDescent="0.4">
      <c r="A41" s="124" t="str">
        <f t="shared" si="12"/>
        <v>GEESE</v>
      </c>
      <c r="B41" s="124"/>
      <c r="C41" s="125">
        <f t="shared" si="11"/>
        <v>2</v>
      </c>
      <c r="D41" s="125">
        <f t="shared" si="11"/>
        <v>0</v>
      </c>
      <c r="E41" s="125">
        <f t="shared" si="11"/>
        <v>0</v>
      </c>
      <c r="F41" s="125">
        <f t="shared" si="11"/>
        <v>0</v>
      </c>
      <c r="G41" s="125">
        <f t="shared" si="11"/>
        <v>0</v>
      </c>
      <c r="H41" s="125">
        <f t="shared" si="11"/>
        <v>1</v>
      </c>
      <c r="I41" s="125">
        <f t="shared" si="11"/>
        <v>0</v>
      </c>
      <c r="J41" s="125">
        <f t="shared" si="11"/>
        <v>0</v>
      </c>
      <c r="K41" s="125">
        <f t="shared" si="11"/>
        <v>0</v>
      </c>
      <c r="L41" s="125">
        <f t="shared" si="11"/>
        <v>2</v>
      </c>
      <c r="M41" s="125">
        <f t="shared" si="11"/>
        <v>2</v>
      </c>
      <c r="N41" s="125">
        <f t="shared" si="11"/>
        <v>0</v>
      </c>
      <c r="O41" s="125">
        <f t="shared" si="11"/>
        <v>0</v>
      </c>
      <c r="P41" s="125">
        <f t="shared" si="11"/>
        <v>0</v>
      </c>
      <c r="Q41" s="125">
        <f t="shared" si="11"/>
        <v>0</v>
      </c>
      <c r="R41" s="125">
        <f t="shared" si="11"/>
        <v>3</v>
      </c>
      <c r="S41" s="125">
        <f t="shared" si="11"/>
        <v>0</v>
      </c>
      <c r="T41" s="125">
        <f t="shared" si="11"/>
        <v>0</v>
      </c>
      <c r="U41" s="125">
        <f t="shared" si="11"/>
        <v>0</v>
      </c>
      <c r="V41" s="125">
        <f t="shared" si="11"/>
        <v>0</v>
      </c>
      <c r="W41" s="125">
        <f t="shared" si="11"/>
        <v>0</v>
      </c>
      <c r="X41" s="125">
        <f t="shared" si="11"/>
        <v>0</v>
      </c>
      <c r="Y41" s="125">
        <f t="shared" si="11"/>
        <v>0</v>
      </c>
      <c r="Z41" s="125">
        <f t="shared" si="11"/>
        <v>0</v>
      </c>
      <c r="AA41" s="125">
        <f t="shared" si="11"/>
        <v>0</v>
      </c>
      <c r="AB41" s="125">
        <f t="shared" si="11"/>
        <v>0</v>
      </c>
      <c r="AC41" s="125">
        <f t="shared" si="11"/>
        <v>0</v>
      </c>
      <c r="AD41" s="125">
        <f t="shared" si="11"/>
        <v>2</v>
      </c>
      <c r="AE41" s="126">
        <f t="shared" si="13"/>
        <v>12</v>
      </c>
      <c r="AF41" s="129">
        <f>AE41/$AE$52</f>
        <v>5.8997050147492625E-3</v>
      </c>
      <c r="AG41" s="130">
        <f>16/3265</f>
        <v>4.900459418070444E-3</v>
      </c>
    </row>
    <row r="42" spans="1:33" x14ac:dyDescent="0.4">
      <c r="A42" s="124" t="str">
        <f t="shared" si="12"/>
        <v>MALLARD</v>
      </c>
      <c r="B42" s="124"/>
      <c r="C42" s="125">
        <f t="shared" si="11"/>
        <v>1</v>
      </c>
      <c r="D42" s="125">
        <f t="shared" si="11"/>
        <v>0</v>
      </c>
      <c r="E42" s="125">
        <f t="shared" si="11"/>
        <v>1</v>
      </c>
      <c r="F42" s="125">
        <f t="shared" si="11"/>
        <v>0</v>
      </c>
      <c r="G42" s="125">
        <f t="shared" si="11"/>
        <v>0</v>
      </c>
      <c r="H42" s="125">
        <f t="shared" si="11"/>
        <v>0</v>
      </c>
      <c r="I42" s="125">
        <f t="shared" si="11"/>
        <v>2</v>
      </c>
      <c r="J42" s="125">
        <f t="shared" si="11"/>
        <v>0</v>
      </c>
      <c r="K42" s="125">
        <f t="shared" si="11"/>
        <v>2</v>
      </c>
      <c r="L42" s="125">
        <f t="shared" si="11"/>
        <v>0</v>
      </c>
      <c r="M42" s="125">
        <f t="shared" si="11"/>
        <v>1</v>
      </c>
      <c r="N42" s="125">
        <f t="shared" si="11"/>
        <v>0</v>
      </c>
      <c r="O42" s="125">
        <f t="shared" si="11"/>
        <v>0</v>
      </c>
      <c r="P42" s="125">
        <f t="shared" si="11"/>
        <v>0</v>
      </c>
      <c r="Q42" s="125">
        <f t="shared" si="11"/>
        <v>0</v>
      </c>
      <c r="R42" s="125">
        <f t="shared" si="11"/>
        <v>1</v>
      </c>
      <c r="S42" s="125">
        <f t="shared" si="11"/>
        <v>0</v>
      </c>
      <c r="T42" s="125">
        <f t="shared" si="11"/>
        <v>0</v>
      </c>
      <c r="U42" s="125">
        <f t="shared" si="11"/>
        <v>0</v>
      </c>
      <c r="V42" s="125">
        <f t="shared" si="11"/>
        <v>0</v>
      </c>
      <c r="W42" s="125">
        <f t="shared" si="11"/>
        <v>1</v>
      </c>
      <c r="X42" s="125">
        <f t="shared" si="11"/>
        <v>0</v>
      </c>
      <c r="Y42" s="125">
        <f t="shared" si="11"/>
        <v>0</v>
      </c>
      <c r="Z42" s="125">
        <f t="shared" si="11"/>
        <v>0</v>
      </c>
      <c r="AA42" s="125">
        <f t="shared" si="11"/>
        <v>0</v>
      </c>
      <c r="AB42" s="125">
        <f t="shared" si="11"/>
        <v>0</v>
      </c>
      <c r="AC42" s="125">
        <f t="shared" si="11"/>
        <v>0</v>
      </c>
      <c r="AD42" s="125">
        <f t="shared" si="11"/>
        <v>0</v>
      </c>
      <c r="AE42" s="126">
        <f t="shared" si="13"/>
        <v>9</v>
      </c>
      <c r="AF42" s="129">
        <f t="shared" ref="AF42:AF51" si="14">AE42/$AE$52</f>
        <v>4.4247787610619468E-3</v>
      </c>
      <c r="AG42" s="130">
        <f>99/3265</f>
        <v>3.0321592649310874E-2</v>
      </c>
    </row>
    <row r="43" spans="1:33" x14ac:dyDescent="0.4">
      <c r="A43" s="124" t="str">
        <f t="shared" si="12"/>
        <v>PINTAIL</v>
      </c>
      <c r="B43" s="124"/>
      <c r="C43" s="125">
        <f t="shared" si="11"/>
        <v>6</v>
      </c>
      <c r="D43" s="125">
        <f>D8+D25</f>
        <v>0</v>
      </c>
      <c r="E43" s="125">
        <f t="shared" si="11"/>
        <v>2</v>
      </c>
      <c r="F43" s="125">
        <f t="shared" si="11"/>
        <v>4</v>
      </c>
      <c r="G43" s="125">
        <f t="shared" si="11"/>
        <v>1</v>
      </c>
      <c r="H43" s="125">
        <f t="shared" si="11"/>
        <v>10</v>
      </c>
      <c r="I43" s="125">
        <f t="shared" si="11"/>
        <v>8</v>
      </c>
      <c r="J43" s="125">
        <f t="shared" si="11"/>
        <v>2</v>
      </c>
      <c r="K43" s="125">
        <f t="shared" si="11"/>
        <v>5</v>
      </c>
      <c r="L43" s="125">
        <f t="shared" si="11"/>
        <v>0</v>
      </c>
      <c r="M43" s="125">
        <f t="shared" si="11"/>
        <v>10</v>
      </c>
      <c r="N43" s="125">
        <f t="shared" si="11"/>
        <v>0</v>
      </c>
      <c r="O43" s="125">
        <f t="shared" si="11"/>
        <v>7</v>
      </c>
      <c r="P43" s="125">
        <f t="shared" si="11"/>
        <v>0</v>
      </c>
      <c r="Q43" s="125">
        <f t="shared" si="11"/>
        <v>0</v>
      </c>
      <c r="R43" s="125">
        <f t="shared" si="11"/>
        <v>18</v>
      </c>
      <c r="S43" s="125">
        <f t="shared" si="11"/>
        <v>6</v>
      </c>
      <c r="T43" s="125">
        <f t="shared" si="11"/>
        <v>0</v>
      </c>
      <c r="U43" s="125">
        <f t="shared" si="11"/>
        <v>0</v>
      </c>
      <c r="V43" s="125">
        <f t="shared" si="11"/>
        <v>3</v>
      </c>
      <c r="W43" s="125">
        <f t="shared" si="11"/>
        <v>16</v>
      </c>
      <c r="X43" s="125">
        <f t="shared" si="11"/>
        <v>0</v>
      </c>
      <c r="Y43" s="125">
        <f t="shared" si="11"/>
        <v>3</v>
      </c>
      <c r="Z43" s="125">
        <f t="shared" si="11"/>
        <v>2</v>
      </c>
      <c r="AA43" s="125">
        <f t="shared" si="11"/>
        <v>0</v>
      </c>
      <c r="AB43" s="125">
        <f t="shared" si="11"/>
        <v>17</v>
      </c>
      <c r="AC43" s="125">
        <f t="shared" si="11"/>
        <v>2</v>
      </c>
      <c r="AD43" s="125">
        <f t="shared" si="11"/>
        <v>14</v>
      </c>
      <c r="AE43" s="126">
        <f t="shared" si="13"/>
        <v>136</v>
      </c>
      <c r="AF43" s="129">
        <f t="shared" si="14"/>
        <v>6.6863323500491637E-2</v>
      </c>
      <c r="AG43" s="130">
        <f>202/3265</f>
        <v>6.1868300153139356E-2</v>
      </c>
    </row>
    <row r="44" spans="1:33" x14ac:dyDescent="0.4">
      <c r="A44" s="124" t="str">
        <f t="shared" si="12"/>
        <v>REDHEAD</v>
      </c>
      <c r="B44" s="124"/>
      <c r="C44" s="125">
        <f t="shared" si="11"/>
        <v>1</v>
      </c>
      <c r="D44" s="125">
        <f t="shared" si="11"/>
        <v>0</v>
      </c>
      <c r="E44" s="125">
        <f t="shared" si="11"/>
        <v>0</v>
      </c>
      <c r="F44" s="125">
        <f t="shared" si="11"/>
        <v>0</v>
      </c>
      <c r="G44" s="125">
        <f t="shared" si="11"/>
        <v>0</v>
      </c>
      <c r="H44" s="125">
        <f t="shared" si="11"/>
        <v>0</v>
      </c>
      <c r="I44" s="125">
        <f t="shared" si="11"/>
        <v>0</v>
      </c>
      <c r="J44" s="125">
        <f t="shared" si="11"/>
        <v>1</v>
      </c>
      <c r="K44" s="125">
        <f t="shared" si="11"/>
        <v>0</v>
      </c>
      <c r="L44" s="125">
        <f t="shared" si="11"/>
        <v>0</v>
      </c>
      <c r="M44" s="125">
        <f t="shared" si="11"/>
        <v>0</v>
      </c>
      <c r="N44" s="125">
        <f t="shared" si="11"/>
        <v>1</v>
      </c>
      <c r="O44" s="125">
        <f t="shared" si="11"/>
        <v>0</v>
      </c>
      <c r="P44" s="125">
        <f t="shared" si="11"/>
        <v>0</v>
      </c>
      <c r="Q44" s="125">
        <f t="shared" si="11"/>
        <v>0</v>
      </c>
      <c r="R44" s="125">
        <f t="shared" si="11"/>
        <v>0</v>
      </c>
      <c r="S44" s="125">
        <f t="shared" si="11"/>
        <v>0</v>
      </c>
      <c r="T44" s="125">
        <f t="shared" si="11"/>
        <v>0</v>
      </c>
      <c r="U44" s="125">
        <f t="shared" si="11"/>
        <v>0</v>
      </c>
      <c r="V44" s="125">
        <f t="shared" si="11"/>
        <v>0</v>
      </c>
      <c r="W44" s="125">
        <f t="shared" si="11"/>
        <v>1</v>
      </c>
      <c r="X44" s="125">
        <f t="shared" si="11"/>
        <v>0</v>
      </c>
      <c r="Y44" s="125">
        <f t="shared" si="11"/>
        <v>0</v>
      </c>
      <c r="Z44" s="125">
        <f t="shared" si="11"/>
        <v>0</v>
      </c>
      <c r="AA44" s="125">
        <f t="shared" si="11"/>
        <v>0</v>
      </c>
      <c r="AB44" s="125">
        <f t="shared" si="11"/>
        <v>0</v>
      </c>
      <c r="AC44" s="125">
        <f t="shared" si="11"/>
        <v>0</v>
      </c>
      <c r="AD44" s="125">
        <f t="shared" si="11"/>
        <v>0</v>
      </c>
      <c r="AE44" s="126">
        <f t="shared" si="13"/>
        <v>4</v>
      </c>
      <c r="AF44" s="129">
        <f t="shared" si="14"/>
        <v>1.9665683382497543E-3</v>
      </c>
      <c r="AG44" s="130">
        <f>23/3265</f>
        <v>7.0444104134762637E-3</v>
      </c>
    </row>
    <row r="45" spans="1:33" x14ac:dyDescent="0.4">
      <c r="A45" s="124" t="str">
        <f t="shared" si="12"/>
        <v>WOODY</v>
      </c>
      <c r="B45" s="124"/>
      <c r="C45" s="125">
        <f t="shared" si="11"/>
        <v>0</v>
      </c>
      <c r="D45" s="125">
        <f t="shared" si="11"/>
        <v>0</v>
      </c>
      <c r="E45" s="125">
        <f t="shared" si="11"/>
        <v>0</v>
      </c>
      <c r="F45" s="125">
        <f t="shared" si="11"/>
        <v>0</v>
      </c>
      <c r="G45" s="125">
        <f t="shared" si="11"/>
        <v>0</v>
      </c>
      <c r="H45" s="125">
        <f t="shared" si="11"/>
        <v>0</v>
      </c>
      <c r="I45" s="125">
        <f t="shared" si="11"/>
        <v>0</v>
      </c>
      <c r="J45" s="125">
        <f t="shared" si="11"/>
        <v>0</v>
      </c>
      <c r="K45" s="125">
        <f t="shared" si="11"/>
        <v>0</v>
      </c>
      <c r="L45" s="125">
        <f t="shared" si="11"/>
        <v>0</v>
      </c>
      <c r="M45" s="125">
        <f t="shared" si="11"/>
        <v>0</v>
      </c>
      <c r="N45" s="125">
        <f t="shared" si="11"/>
        <v>0</v>
      </c>
      <c r="O45" s="125">
        <f t="shared" si="11"/>
        <v>0</v>
      </c>
      <c r="P45" s="125">
        <f t="shared" si="11"/>
        <v>0</v>
      </c>
      <c r="Q45" s="125">
        <f t="shared" si="11"/>
        <v>0</v>
      </c>
      <c r="R45" s="125">
        <f t="shared" si="11"/>
        <v>0</v>
      </c>
      <c r="S45" s="125">
        <f t="shared" si="11"/>
        <v>0</v>
      </c>
      <c r="T45" s="125">
        <f t="shared" si="11"/>
        <v>0</v>
      </c>
      <c r="U45" s="125">
        <f t="shared" si="11"/>
        <v>0</v>
      </c>
      <c r="V45" s="125">
        <f t="shared" si="11"/>
        <v>0</v>
      </c>
      <c r="W45" s="125">
        <f t="shared" si="11"/>
        <v>0</v>
      </c>
      <c r="X45" s="125">
        <f t="shared" si="11"/>
        <v>0</v>
      </c>
      <c r="Y45" s="125">
        <f t="shared" si="11"/>
        <v>0</v>
      </c>
      <c r="Z45" s="125">
        <f t="shared" si="11"/>
        <v>0</v>
      </c>
      <c r="AA45" s="125">
        <f t="shared" si="11"/>
        <v>0</v>
      </c>
      <c r="AB45" s="125">
        <f t="shared" si="11"/>
        <v>0</v>
      </c>
      <c r="AC45" s="125">
        <f t="shared" si="11"/>
        <v>0</v>
      </c>
      <c r="AD45" s="125">
        <f t="shared" si="11"/>
        <v>0</v>
      </c>
      <c r="AE45" s="126">
        <f t="shared" si="13"/>
        <v>0</v>
      </c>
      <c r="AF45" s="129">
        <f t="shared" si="14"/>
        <v>0</v>
      </c>
      <c r="AG45" s="130">
        <f>0/3265</f>
        <v>0</v>
      </c>
    </row>
    <row r="46" spans="1:33" x14ac:dyDescent="0.4">
      <c r="A46" s="124" t="str">
        <f t="shared" si="12"/>
        <v>B'HEAD</v>
      </c>
      <c r="B46" s="124"/>
      <c r="C46" s="125">
        <f t="shared" si="11"/>
        <v>0</v>
      </c>
      <c r="D46" s="125">
        <f t="shared" si="11"/>
        <v>0</v>
      </c>
      <c r="E46" s="125">
        <f t="shared" si="11"/>
        <v>0</v>
      </c>
      <c r="F46" s="125">
        <f t="shared" si="11"/>
        <v>0</v>
      </c>
      <c r="G46" s="125">
        <f t="shared" si="11"/>
        <v>0</v>
      </c>
      <c r="H46" s="125">
        <f t="shared" si="11"/>
        <v>4</v>
      </c>
      <c r="I46" s="125">
        <f t="shared" si="11"/>
        <v>0</v>
      </c>
      <c r="J46" s="125">
        <f t="shared" si="11"/>
        <v>0</v>
      </c>
      <c r="K46" s="125">
        <f t="shared" si="11"/>
        <v>0</v>
      </c>
      <c r="L46" s="125">
        <f t="shared" si="11"/>
        <v>0</v>
      </c>
      <c r="M46" s="125">
        <f t="shared" si="11"/>
        <v>2</v>
      </c>
      <c r="N46" s="125">
        <f t="shared" si="11"/>
        <v>0</v>
      </c>
      <c r="O46" s="125">
        <f t="shared" si="11"/>
        <v>0</v>
      </c>
      <c r="P46" s="125">
        <f t="shared" si="11"/>
        <v>0</v>
      </c>
      <c r="Q46" s="125">
        <f t="shared" si="11"/>
        <v>0</v>
      </c>
      <c r="R46" s="125">
        <f t="shared" si="11"/>
        <v>0</v>
      </c>
      <c r="S46" s="125">
        <f t="shared" si="11"/>
        <v>0</v>
      </c>
      <c r="T46" s="125">
        <f t="shared" si="11"/>
        <v>0</v>
      </c>
      <c r="U46" s="125">
        <f t="shared" si="11"/>
        <v>0</v>
      </c>
      <c r="V46" s="125">
        <f t="shared" si="11"/>
        <v>0</v>
      </c>
      <c r="W46" s="125">
        <f t="shared" si="11"/>
        <v>0</v>
      </c>
      <c r="X46" s="125">
        <f t="shared" si="11"/>
        <v>0</v>
      </c>
      <c r="Y46" s="125">
        <f t="shared" si="11"/>
        <v>0</v>
      </c>
      <c r="Z46" s="125">
        <f t="shared" si="11"/>
        <v>0</v>
      </c>
      <c r="AA46" s="125">
        <f t="shared" si="11"/>
        <v>0</v>
      </c>
      <c r="AB46" s="125">
        <f t="shared" si="11"/>
        <v>0</v>
      </c>
      <c r="AC46" s="125">
        <f t="shared" si="11"/>
        <v>0</v>
      </c>
      <c r="AD46" s="125">
        <f t="shared" si="11"/>
        <v>2</v>
      </c>
      <c r="AE46" s="126">
        <f t="shared" si="13"/>
        <v>8</v>
      </c>
      <c r="AF46" s="129">
        <f t="shared" si="14"/>
        <v>3.9331366764995086E-3</v>
      </c>
      <c r="AG46" s="130">
        <f>99/3250</f>
        <v>3.046153846153846E-2</v>
      </c>
    </row>
    <row r="47" spans="1:33" x14ac:dyDescent="0.4">
      <c r="A47" s="124" t="str">
        <f t="shared" si="12"/>
        <v>SPOONY</v>
      </c>
      <c r="B47" s="124"/>
      <c r="C47" s="125">
        <f t="shared" si="11"/>
        <v>53</v>
      </c>
      <c r="D47" s="125">
        <f t="shared" si="11"/>
        <v>3</v>
      </c>
      <c r="E47" s="125">
        <f t="shared" si="11"/>
        <v>19</v>
      </c>
      <c r="F47" s="125">
        <f t="shared" si="11"/>
        <v>7</v>
      </c>
      <c r="G47" s="125">
        <f t="shared" ref="C47:AD51" si="15">G12+G29</f>
        <v>12</v>
      </c>
      <c r="H47" s="125">
        <f t="shared" si="15"/>
        <v>73</v>
      </c>
      <c r="I47" s="125">
        <f t="shared" si="15"/>
        <v>58</v>
      </c>
      <c r="J47" s="125">
        <f t="shared" si="15"/>
        <v>7</v>
      </c>
      <c r="K47" s="125">
        <f t="shared" si="15"/>
        <v>30</v>
      </c>
      <c r="L47" s="125">
        <f t="shared" si="15"/>
        <v>11</v>
      </c>
      <c r="M47" s="125">
        <f t="shared" si="15"/>
        <v>53</v>
      </c>
      <c r="N47" s="125">
        <f t="shared" si="15"/>
        <v>6</v>
      </c>
      <c r="O47" s="125">
        <f t="shared" si="15"/>
        <v>48</v>
      </c>
      <c r="P47" s="125">
        <f t="shared" si="15"/>
        <v>0</v>
      </c>
      <c r="Q47" s="125">
        <f t="shared" si="15"/>
        <v>0</v>
      </c>
      <c r="R47" s="125">
        <f t="shared" si="15"/>
        <v>59</v>
      </c>
      <c r="S47" s="125">
        <f t="shared" si="15"/>
        <v>11</v>
      </c>
      <c r="T47" s="125">
        <f t="shared" si="15"/>
        <v>0</v>
      </c>
      <c r="U47" s="125">
        <f t="shared" si="15"/>
        <v>0</v>
      </c>
      <c r="V47" s="125">
        <f t="shared" si="15"/>
        <v>14</v>
      </c>
      <c r="W47" s="125">
        <f t="shared" si="15"/>
        <v>38</v>
      </c>
      <c r="X47" s="125">
        <f t="shared" si="15"/>
        <v>5</v>
      </c>
      <c r="Y47" s="125">
        <f t="shared" si="15"/>
        <v>10</v>
      </c>
      <c r="Z47" s="125">
        <f t="shared" si="15"/>
        <v>4</v>
      </c>
      <c r="AA47" s="125">
        <f t="shared" si="15"/>
        <v>1</v>
      </c>
      <c r="AB47" s="125">
        <f t="shared" si="15"/>
        <v>35</v>
      </c>
      <c r="AC47" s="125">
        <f t="shared" si="15"/>
        <v>2</v>
      </c>
      <c r="AD47" s="125">
        <f t="shared" si="15"/>
        <v>18</v>
      </c>
      <c r="AE47" s="126">
        <f t="shared" si="13"/>
        <v>577</v>
      </c>
      <c r="AF47" s="129">
        <f>AE47/$AE$52</f>
        <v>0.28367748279252702</v>
      </c>
      <c r="AG47" s="130">
        <f>1415/3265</f>
        <v>0.4333843797856049</v>
      </c>
    </row>
    <row r="48" spans="1:33" x14ac:dyDescent="0.4">
      <c r="A48" s="124" t="str">
        <f t="shared" si="12"/>
        <v>TEAL</v>
      </c>
      <c r="B48" s="124"/>
      <c r="C48" s="125">
        <f t="shared" si="15"/>
        <v>53</v>
      </c>
      <c r="D48" s="125">
        <f t="shared" si="15"/>
        <v>5</v>
      </c>
      <c r="E48" s="125">
        <f t="shared" si="15"/>
        <v>33</v>
      </c>
      <c r="F48" s="125">
        <f t="shared" si="15"/>
        <v>18</v>
      </c>
      <c r="G48" s="125">
        <f t="shared" si="15"/>
        <v>4</v>
      </c>
      <c r="H48" s="125">
        <f t="shared" si="15"/>
        <v>59</v>
      </c>
      <c r="I48" s="125">
        <f t="shared" si="15"/>
        <v>121</v>
      </c>
      <c r="J48" s="125">
        <f t="shared" si="15"/>
        <v>1</v>
      </c>
      <c r="K48" s="125">
        <f t="shared" si="15"/>
        <v>27</v>
      </c>
      <c r="L48" s="125">
        <f t="shared" si="15"/>
        <v>10</v>
      </c>
      <c r="M48" s="125">
        <f t="shared" si="15"/>
        <v>103</v>
      </c>
      <c r="N48" s="125">
        <f t="shared" si="15"/>
        <v>1</v>
      </c>
      <c r="O48" s="125">
        <f t="shared" si="15"/>
        <v>57</v>
      </c>
      <c r="P48" s="125">
        <f t="shared" si="15"/>
        <v>0</v>
      </c>
      <c r="Q48" s="125">
        <f t="shared" si="15"/>
        <v>0</v>
      </c>
      <c r="R48" s="125">
        <f t="shared" si="15"/>
        <v>94</v>
      </c>
      <c r="S48" s="125">
        <f t="shared" si="15"/>
        <v>14</v>
      </c>
      <c r="T48" s="125">
        <f t="shared" si="15"/>
        <v>0</v>
      </c>
      <c r="U48" s="125">
        <f t="shared" si="15"/>
        <v>0</v>
      </c>
      <c r="V48" s="125">
        <f t="shared" si="15"/>
        <v>23</v>
      </c>
      <c r="W48" s="125">
        <f t="shared" si="15"/>
        <v>74</v>
      </c>
      <c r="X48" s="125">
        <f t="shared" si="15"/>
        <v>4</v>
      </c>
      <c r="Y48" s="125">
        <f t="shared" si="15"/>
        <v>14</v>
      </c>
      <c r="Z48" s="125">
        <f t="shared" si="15"/>
        <v>23</v>
      </c>
      <c r="AA48" s="125">
        <f t="shared" si="15"/>
        <v>4</v>
      </c>
      <c r="AB48" s="125">
        <f t="shared" si="15"/>
        <v>108</v>
      </c>
      <c r="AC48" s="125">
        <f t="shared" si="15"/>
        <v>1</v>
      </c>
      <c r="AD48" s="125">
        <f t="shared" si="15"/>
        <v>78</v>
      </c>
      <c r="AE48" s="126">
        <f t="shared" si="13"/>
        <v>929</v>
      </c>
      <c r="AF48" s="129">
        <f t="shared" si="14"/>
        <v>0.45673549655850543</v>
      </c>
      <c r="AG48" s="130">
        <f>(896+111+3)/3265</f>
        <v>0.30934150076569678</v>
      </c>
    </row>
    <row r="49" spans="1:33" x14ac:dyDescent="0.4">
      <c r="A49" s="124" t="str">
        <f>A31</f>
        <v>WIDGEON</v>
      </c>
      <c r="B49" s="124"/>
      <c r="C49" s="125">
        <f t="shared" si="15"/>
        <v>4</v>
      </c>
      <c r="D49" s="125">
        <f t="shared" si="15"/>
        <v>0</v>
      </c>
      <c r="E49" s="125">
        <f t="shared" si="15"/>
        <v>12</v>
      </c>
      <c r="F49" s="125">
        <f t="shared" si="15"/>
        <v>4</v>
      </c>
      <c r="G49" s="125">
        <f t="shared" si="15"/>
        <v>0</v>
      </c>
      <c r="H49" s="125">
        <f t="shared" si="15"/>
        <v>14</v>
      </c>
      <c r="I49" s="125">
        <f t="shared" si="15"/>
        <v>18</v>
      </c>
      <c r="J49" s="125">
        <f t="shared" si="15"/>
        <v>1</v>
      </c>
      <c r="K49" s="125">
        <f t="shared" si="15"/>
        <v>7</v>
      </c>
      <c r="L49" s="125">
        <f t="shared" si="15"/>
        <v>0</v>
      </c>
      <c r="M49" s="125">
        <f t="shared" si="15"/>
        <v>14</v>
      </c>
      <c r="N49" s="125">
        <f t="shared" si="15"/>
        <v>0</v>
      </c>
      <c r="O49" s="125">
        <f t="shared" si="15"/>
        <v>8</v>
      </c>
      <c r="P49" s="125">
        <f t="shared" si="15"/>
        <v>0</v>
      </c>
      <c r="Q49" s="125">
        <f t="shared" si="15"/>
        <v>0</v>
      </c>
      <c r="R49" s="125">
        <f t="shared" si="15"/>
        <v>38</v>
      </c>
      <c r="S49" s="125">
        <f t="shared" si="15"/>
        <v>7</v>
      </c>
      <c r="T49" s="125">
        <f t="shared" si="15"/>
        <v>0</v>
      </c>
      <c r="U49" s="125">
        <f t="shared" si="15"/>
        <v>0</v>
      </c>
      <c r="V49" s="125">
        <f t="shared" si="15"/>
        <v>22</v>
      </c>
      <c r="W49" s="125">
        <f t="shared" si="15"/>
        <v>28</v>
      </c>
      <c r="X49" s="125">
        <f t="shared" si="15"/>
        <v>0</v>
      </c>
      <c r="Y49" s="125">
        <f t="shared" si="15"/>
        <v>4</v>
      </c>
      <c r="Z49" s="125">
        <f t="shared" si="15"/>
        <v>2</v>
      </c>
      <c r="AA49" s="125">
        <f t="shared" si="15"/>
        <v>1</v>
      </c>
      <c r="AB49" s="125">
        <f t="shared" si="15"/>
        <v>40</v>
      </c>
      <c r="AC49" s="125">
        <f t="shared" si="15"/>
        <v>9</v>
      </c>
      <c r="AD49" s="125">
        <f t="shared" si="15"/>
        <v>20</v>
      </c>
      <c r="AE49" s="126">
        <f t="shared" si="13"/>
        <v>253</v>
      </c>
      <c r="AF49" s="129">
        <f t="shared" si="14"/>
        <v>0.12438544739429695</v>
      </c>
      <c r="AG49" s="130">
        <f>288/3265</f>
        <v>8.8208269525267988E-2</v>
      </c>
    </row>
    <row r="50" spans="1:33" x14ac:dyDescent="0.4">
      <c r="A50" s="124" t="str">
        <f t="shared" si="12"/>
        <v>SCAUP</v>
      </c>
      <c r="B50" s="124"/>
      <c r="C50" s="125">
        <f t="shared" si="15"/>
        <v>0</v>
      </c>
      <c r="D50" s="125">
        <f t="shared" si="15"/>
        <v>0</v>
      </c>
      <c r="E50" s="125">
        <f t="shared" si="15"/>
        <v>0</v>
      </c>
      <c r="F50" s="125">
        <f t="shared" si="15"/>
        <v>0</v>
      </c>
      <c r="G50" s="125">
        <f t="shared" si="15"/>
        <v>0</v>
      </c>
      <c r="H50" s="125">
        <f t="shared" si="15"/>
        <v>0</v>
      </c>
      <c r="I50" s="125">
        <f t="shared" si="15"/>
        <v>0</v>
      </c>
      <c r="J50" s="125">
        <f t="shared" si="15"/>
        <v>0</v>
      </c>
      <c r="K50" s="125">
        <f t="shared" si="15"/>
        <v>1</v>
      </c>
      <c r="L50" s="125">
        <f t="shared" si="15"/>
        <v>0</v>
      </c>
      <c r="M50" s="125">
        <f t="shared" si="15"/>
        <v>0</v>
      </c>
      <c r="N50" s="125">
        <f t="shared" si="15"/>
        <v>1</v>
      </c>
      <c r="O50" s="125">
        <f t="shared" si="15"/>
        <v>0</v>
      </c>
      <c r="P50" s="125">
        <f t="shared" si="15"/>
        <v>0</v>
      </c>
      <c r="Q50" s="125">
        <f t="shared" si="15"/>
        <v>0</v>
      </c>
      <c r="R50" s="125">
        <f t="shared" si="15"/>
        <v>1</v>
      </c>
      <c r="S50" s="125">
        <f t="shared" si="15"/>
        <v>0</v>
      </c>
      <c r="T50" s="125">
        <f t="shared" si="15"/>
        <v>0</v>
      </c>
      <c r="U50" s="125">
        <f t="shared" si="15"/>
        <v>0</v>
      </c>
      <c r="V50" s="125">
        <f t="shared" si="15"/>
        <v>0</v>
      </c>
      <c r="W50" s="125">
        <f t="shared" si="15"/>
        <v>0</v>
      </c>
      <c r="X50" s="125">
        <f>X15+X32</f>
        <v>0</v>
      </c>
      <c r="Y50" s="125">
        <f>Y15+Y32</f>
        <v>1</v>
      </c>
      <c r="Z50" s="125">
        <f t="shared" si="15"/>
        <v>0</v>
      </c>
      <c r="AA50" s="125">
        <f t="shared" si="15"/>
        <v>0</v>
      </c>
      <c r="AB50" s="125">
        <f t="shared" si="15"/>
        <v>0</v>
      </c>
      <c r="AC50" s="125">
        <f t="shared" si="15"/>
        <v>0</v>
      </c>
      <c r="AD50" s="125">
        <f t="shared" si="15"/>
        <v>0</v>
      </c>
      <c r="AE50" s="126">
        <f t="shared" si="13"/>
        <v>4</v>
      </c>
      <c r="AF50" s="129">
        <f t="shared" si="14"/>
        <v>1.9665683382497543E-3</v>
      </c>
      <c r="AG50" s="130">
        <f>3/3265</f>
        <v>9.1883614088820824E-4</v>
      </c>
    </row>
    <row r="51" spans="1:33" ht="13" thickBot="1" x14ac:dyDescent="0.45">
      <c r="A51" s="128" t="str">
        <f>A33</f>
        <v>MISC</v>
      </c>
      <c r="B51" s="128"/>
      <c r="C51" s="93">
        <f t="shared" si="15"/>
        <v>0</v>
      </c>
      <c r="D51" s="93">
        <f t="shared" si="15"/>
        <v>0</v>
      </c>
      <c r="E51" s="93">
        <f t="shared" si="15"/>
        <v>0</v>
      </c>
      <c r="F51" s="93">
        <f t="shared" si="15"/>
        <v>0</v>
      </c>
      <c r="G51" s="93">
        <f t="shared" si="15"/>
        <v>0</v>
      </c>
      <c r="H51" s="93">
        <f t="shared" si="15"/>
        <v>17</v>
      </c>
      <c r="I51" s="93">
        <f t="shared" si="15"/>
        <v>0</v>
      </c>
      <c r="J51" s="93">
        <f t="shared" si="15"/>
        <v>0</v>
      </c>
      <c r="K51" s="93">
        <f t="shared" si="15"/>
        <v>0</v>
      </c>
      <c r="L51" s="93">
        <f t="shared" si="15"/>
        <v>1</v>
      </c>
      <c r="M51" s="93">
        <f t="shared" si="15"/>
        <v>0</v>
      </c>
      <c r="N51" s="93">
        <f t="shared" si="15"/>
        <v>0</v>
      </c>
      <c r="O51" s="93">
        <f t="shared" si="15"/>
        <v>0</v>
      </c>
      <c r="P51" s="93">
        <f t="shared" si="15"/>
        <v>0</v>
      </c>
      <c r="Q51" s="93">
        <f t="shared" si="15"/>
        <v>0</v>
      </c>
      <c r="R51" s="93">
        <f t="shared" si="15"/>
        <v>0</v>
      </c>
      <c r="S51" s="93">
        <f t="shared" si="15"/>
        <v>0</v>
      </c>
      <c r="T51" s="93">
        <f t="shared" si="15"/>
        <v>0</v>
      </c>
      <c r="U51" s="93">
        <f t="shared" si="15"/>
        <v>0</v>
      </c>
      <c r="V51" s="93">
        <f>V16+V33</f>
        <v>0</v>
      </c>
      <c r="W51" s="93">
        <f>W16+W33</f>
        <v>0</v>
      </c>
      <c r="X51" s="93">
        <f>X16+X33</f>
        <v>0</v>
      </c>
      <c r="Y51" s="93">
        <f>Y16+Y33</f>
        <v>1</v>
      </c>
      <c r="Z51" s="93">
        <f t="shared" si="15"/>
        <v>0</v>
      </c>
      <c r="AA51" s="93">
        <f t="shared" si="15"/>
        <v>0</v>
      </c>
      <c r="AB51" s="93">
        <f t="shared" si="15"/>
        <v>0</v>
      </c>
      <c r="AC51" s="93">
        <f t="shared" si="15"/>
        <v>0</v>
      </c>
      <c r="AD51" s="93">
        <f t="shared" si="15"/>
        <v>0</v>
      </c>
      <c r="AE51" s="102">
        <f t="shared" si="13"/>
        <v>19</v>
      </c>
      <c r="AF51" s="116">
        <f t="shared" si="14"/>
        <v>9.3411996066863328E-3</v>
      </c>
      <c r="AG51" s="105">
        <f>(20+21)/3265</f>
        <v>1.2557427258805513E-2</v>
      </c>
    </row>
    <row r="52" spans="1:33" x14ac:dyDescent="0.4">
      <c r="A52" s="99" t="s">
        <v>25</v>
      </c>
      <c r="B52" s="99"/>
      <c r="C52" s="92">
        <f>0+SUM(C38:C51)</f>
        <v>128</v>
      </c>
      <c r="D52" s="92">
        <f t="shared" ref="D52:U52" si="16">0+SUM(D38:D51)</f>
        <v>10</v>
      </c>
      <c r="E52" s="92">
        <f t="shared" si="16"/>
        <v>68</v>
      </c>
      <c r="F52" s="92">
        <f t="shared" si="16"/>
        <v>33</v>
      </c>
      <c r="G52" s="92">
        <f t="shared" si="16"/>
        <v>17</v>
      </c>
      <c r="H52" s="92">
        <f t="shared" si="16"/>
        <v>184</v>
      </c>
      <c r="I52" s="92">
        <f t="shared" si="16"/>
        <v>221</v>
      </c>
      <c r="J52" s="92">
        <f t="shared" si="16"/>
        <v>12</v>
      </c>
      <c r="K52" s="92">
        <f t="shared" si="16"/>
        <v>80</v>
      </c>
      <c r="L52" s="92">
        <f t="shared" si="16"/>
        <v>25</v>
      </c>
      <c r="M52" s="92">
        <f t="shared" si="16"/>
        <v>186</v>
      </c>
      <c r="N52" s="92">
        <f t="shared" si="16"/>
        <v>9</v>
      </c>
      <c r="O52" s="92">
        <f t="shared" si="16"/>
        <v>124</v>
      </c>
      <c r="P52" s="92">
        <f t="shared" si="16"/>
        <v>0</v>
      </c>
      <c r="Q52" s="92">
        <f t="shared" si="16"/>
        <v>0</v>
      </c>
      <c r="R52" s="92">
        <f t="shared" si="16"/>
        <v>219</v>
      </c>
      <c r="S52" s="92">
        <f t="shared" si="16"/>
        <v>39</v>
      </c>
      <c r="T52" s="92">
        <f t="shared" si="16"/>
        <v>0</v>
      </c>
      <c r="U52" s="92">
        <f t="shared" si="16"/>
        <v>0</v>
      </c>
      <c r="V52" s="92">
        <f>0+SUM(V38:V51)</f>
        <v>68</v>
      </c>
      <c r="W52" s="92">
        <f>0+SUM(W38:W51)</f>
        <v>166</v>
      </c>
      <c r="X52" s="92">
        <f>SUM(X17,X34)</f>
        <v>9</v>
      </c>
      <c r="Y52" s="92">
        <f t="shared" ref="Y52:AD52" si="17">0+SUM(Y38:Y51)</f>
        <v>37</v>
      </c>
      <c r="Z52" s="92">
        <f t="shared" si="17"/>
        <v>33</v>
      </c>
      <c r="AA52" s="92">
        <f t="shared" si="17"/>
        <v>6</v>
      </c>
      <c r="AB52" s="92">
        <f t="shared" si="17"/>
        <v>209</v>
      </c>
      <c r="AC52" s="92">
        <f t="shared" si="17"/>
        <v>16</v>
      </c>
      <c r="AD52" s="92">
        <f t="shared" si="17"/>
        <v>135</v>
      </c>
      <c r="AE52" s="99">
        <f>SUM(AE38:AE51)</f>
        <v>2034</v>
      </c>
      <c r="AF52" s="106"/>
      <c r="AG52" s="106"/>
    </row>
    <row r="53" spans="1:33" x14ac:dyDescent="0.4">
      <c r="A53" s="99" t="s">
        <v>48</v>
      </c>
      <c r="B53" s="99"/>
      <c r="C53" s="107">
        <f t="shared" ref="C53:AD53" si="18">C52/$AE$52</f>
        <v>6.2930186823992137E-2</v>
      </c>
      <c r="D53" s="107">
        <f t="shared" si="18"/>
        <v>4.9164208456243851E-3</v>
      </c>
      <c r="E53" s="107">
        <f t="shared" si="18"/>
        <v>3.3431661750245818E-2</v>
      </c>
      <c r="F53" s="107">
        <f t="shared" si="18"/>
        <v>1.6224188790560472E-2</v>
      </c>
      <c r="G53" s="107">
        <f t="shared" si="18"/>
        <v>8.3579154375614546E-3</v>
      </c>
      <c r="H53" s="107">
        <f t="shared" si="18"/>
        <v>9.0462143559488686E-2</v>
      </c>
      <c r="I53" s="107">
        <v>0.13850000000000001</v>
      </c>
      <c r="J53" s="107">
        <f t="shared" si="18"/>
        <v>5.8997050147492625E-3</v>
      </c>
      <c r="K53" s="107">
        <f t="shared" si="18"/>
        <v>3.9331366764995081E-2</v>
      </c>
      <c r="L53" s="107">
        <f t="shared" si="18"/>
        <v>1.2291052114060964E-2</v>
      </c>
      <c r="M53" s="107">
        <f t="shared" si="18"/>
        <v>9.1445427728613568E-2</v>
      </c>
      <c r="N53" s="107">
        <f t="shared" si="18"/>
        <v>4.4247787610619468E-3</v>
      </c>
      <c r="O53" s="107">
        <f t="shared" si="18"/>
        <v>6.0963618485742381E-2</v>
      </c>
      <c r="P53" s="107">
        <f t="shared" si="18"/>
        <v>0</v>
      </c>
      <c r="Q53" s="107">
        <f t="shared" si="18"/>
        <v>0</v>
      </c>
      <c r="R53" s="107">
        <f t="shared" si="18"/>
        <v>0.10766961651917405</v>
      </c>
      <c r="S53" s="107">
        <f t="shared" si="18"/>
        <v>1.9174041297935103E-2</v>
      </c>
      <c r="T53" s="107">
        <f t="shared" si="18"/>
        <v>0</v>
      </c>
      <c r="U53" s="107">
        <f t="shared" si="18"/>
        <v>0</v>
      </c>
      <c r="V53" s="107">
        <f t="shared" si="18"/>
        <v>3.3431661750245818E-2</v>
      </c>
      <c r="W53" s="107">
        <f t="shared" si="18"/>
        <v>8.1612586037364793E-2</v>
      </c>
      <c r="X53" s="107">
        <f t="shared" si="18"/>
        <v>4.4247787610619468E-3</v>
      </c>
      <c r="Y53" s="107">
        <f t="shared" si="18"/>
        <v>1.8190757128810225E-2</v>
      </c>
      <c r="Z53" s="107">
        <f t="shared" si="18"/>
        <v>1.6224188790560472E-2</v>
      </c>
      <c r="AA53" s="107">
        <f t="shared" si="18"/>
        <v>2.9498525073746312E-3</v>
      </c>
      <c r="AB53" s="107">
        <f t="shared" si="18"/>
        <v>0.10275319567354965</v>
      </c>
      <c r="AC53" s="107">
        <f t="shared" si="18"/>
        <v>7.8662733529990172E-3</v>
      </c>
      <c r="AD53" s="107">
        <f t="shared" si="18"/>
        <v>6.637168141592921E-2</v>
      </c>
      <c r="AE53" s="99"/>
      <c r="AF53" s="99"/>
      <c r="AG53" s="99"/>
    </row>
    <row r="54" spans="1:33" x14ac:dyDescent="0.4">
      <c r="A54" s="99" t="s">
        <v>169</v>
      </c>
      <c r="B54" s="99"/>
      <c r="C54" s="7">
        <v>8</v>
      </c>
      <c r="D54" s="7"/>
      <c r="E54" s="7">
        <v>11</v>
      </c>
      <c r="F54" s="7"/>
      <c r="G54" s="7"/>
      <c r="H54" s="7">
        <v>5</v>
      </c>
      <c r="I54" s="7">
        <v>1</v>
      </c>
      <c r="J54" s="7"/>
      <c r="K54" s="7">
        <v>10</v>
      </c>
      <c r="L54" s="7"/>
      <c r="M54" s="7">
        <v>4</v>
      </c>
      <c r="N54" s="7"/>
      <c r="O54" s="7">
        <v>9</v>
      </c>
      <c r="P54" s="7"/>
      <c r="Q54" s="7"/>
      <c r="R54" s="7">
        <v>2</v>
      </c>
      <c r="S54" s="7"/>
      <c r="T54" s="7"/>
      <c r="U54" s="7"/>
      <c r="V54" s="7">
        <v>11</v>
      </c>
      <c r="W54" s="7">
        <v>6</v>
      </c>
      <c r="X54" s="7"/>
      <c r="Y54" s="7"/>
      <c r="Z54" s="7"/>
      <c r="AA54" s="7"/>
      <c r="AB54" s="7">
        <v>3</v>
      </c>
      <c r="AC54" s="7"/>
      <c r="AD54" s="7">
        <v>7</v>
      </c>
      <c r="AE54" s="5"/>
      <c r="AF54" s="99"/>
      <c r="AG54" s="99"/>
    </row>
    <row r="55" spans="1:33" x14ac:dyDescent="0.4">
      <c r="A55" s="5" t="s">
        <v>47</v>
      </c>
      <c r="D55" s="108"/>
      <c r="E55" s="92"/>
      <c r="F55" s="92"/>
      <c r="G55" s="92"/>
      <c r="H55" s="92"/>
      <c r="I55" s="92"/>
      <c r="J55" s="92"/>
      <c r="K55" s="92"/>
      <c r="L55" s="92"/>
      <c r="M55" s="92">
        <f>SUM(C52:N52)</f>
        <v>973</v>
      </c>
      <c r="N55" s="92"/>
      <c r="O55" s="92"/>
      <c r="P55" s="92"/>
      <c r="Q55" s="92"/>
      <c r="R55" s="92"/>
      <c r="S55" s="92"/>
      <c r="T55" s="92"/>
      <c r="U55" s="92"/>
      <c r="V55" s="92"/>
      <c r="W55" s="92"/>
      <c r="X55" s="92"/>
      <c r="Y55" s="92">
        <f>SUM(O52:Y52)+AA52</f>
        <v>668</v>
      </c>
      <c r="Z55" s="92"/>
      <c r="AA55" s="92"/>
      <c r="AB55" s="92"/>
      <c r="AC55" s="92"/>
      <c r="AD55" s="92">
        <f>Z52+AB52+AC52+AD52</f>
        <v>393</v>
      </c>
      <c r="AE55" s="99"/>
      <c r="AF55" s="99"/>
      <c r="AG55" s="99"/>
    </row>
    <row r="56" spans="1:33" x14ac:dyDescent="0.4">
      <c r="A56" s="99" t="s">
        <v>40</v>
      </c>
      <c r="B56" s="99"/>
      <c r="C56" s="92">
        <v>204</v>
      </c>
      <c r="D56" s="109"/>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9"/>
      <c r="AF56" s="99"/>
      <c r="AG56" s="99"/>
    </row>
    <row r="57" spans="1:33" x14ac:dyDescent="0.4">
      <c r="A57" s="99" t="s">
        <v>41</v>
      </c>
      <c r="B57" s="99"/>
      <c r="C57" s="87">
        <f>AE17/C56</f>
        <v>2.284313725490196</v>
      </c>
      <c r="D57" s="108"/>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9"/>
      <c r="AF57" s="99"/>
      <c r="AG57" s="99"/>
    </row>
    <row r="58" spans="1:33" x14ac:dyDescent="0.4">
      <c r="A58" s="99" t="s">
        <v>42</v>
      </c>
      <c r="B58" s="99"/>
      <c r="C58" s="92">
        <f>345-10</f>
        <v>335</v>
      </c>
      <c r="D58" s="109"/>
      <c r="E58" s="92"/>
      <c r="F58" s="29" t="s">
        <v>62</v>
      </c>
      <c r="G58" s="92"/>
      <c r="H58" s="110">
        <f>3265/1028</f>
        <v>3.1760700389105057</v>
      </c>
      <c r="I58" s="92"/>
      <c r="J58" s="92"/>
      <c r="K58" s="92"/>
      <c r="L58" s="92"/>
      <c r="M58" s="92"/>
      <c r="N58" s="92"/>
      <c r="O58" s="92"/>
      <c r="U58" s="92"/>
      <c r="V58" s="92"/>
      <c r="W58" s="92"/>
      <c r="X58" s="92"/>
      <c r="Y58" s="92"/>
      <c r="Z58" s="92"/>
      <c r="AA58" s="92"/>
      <c r="AB58" s="92"/>
      <c r="AC58" s="92"/>
      <c r="AD58" s="92"/>
      <c r="AE58" s="99"/>
      <c r="AF58" s="99"/>
      <c r="AG58" s="99"/>
    </row>
    <row r="59" spans="1:33" x14ac:dyDescent="0.4">
      <c r="A59" s="99" t="s">
        <v>43</v>
      </c>
      <c r="B59" s="99"/>
      <c r="C59" s="87">
        <f>AE34/C58</f>
        <v>4.6805970149253735</v>
      </c>
      <c r="D59" s="108"/>
      <c r="E59" s="92"/>
      <c r="F59" s="109"/>
      <c r="G59" s="92"/>
      <c r="H59" s="92"/>
      <c r="I59" s="92"/>
      <c r="J59" s="76" t="s">
        <v>86</v>
      </c>
      <c r="K59" s="92"/>
      <c r="L59" s="92">
        <f>60+118-3</f>
        <v>175</v>
      </c>
      <c r="M59" s="76" t="s">
        <v>134</v>
      </c>
      <c r="N59" s="2"/>
      <c r="O59" s="92">
        <f>14+63-4</f>
        <v>73</v>
      </c>
      <c r="P59" s="117" t="s">
        <v>157</v>
      </c>
      <c r="Q59" s="92"/>
      <c r="R59" s="92">
        <f>C60-L59-O59</f>
        <v>291</v>
      </c>
      <c r="S59" s="92"/>
      <c r="T59" s="92"/>
      <c r="U59" s="92"/>
      <c r="V59" s="92"/>
      <c r="W59" s="92"/>
      <c r="X59" s="92"/>
      <c r="Y59" s="92"/>
      <c r="Z59" s="92"/>
      <c r="AA59" s="92"/>
      <c r="AB59" s="92"/>
      <c r="AC59" s="92"/>
      <c r="AD59" s="92"/>
      <c r="AE59" s="99"/>
      <c r="AF59" s="99"/>
      <c r="AG59" s="99"/>
    </row>
    <row r="60" spans="1:33" x14ac:dyDescent="0.4">
      <c r="A60" s="99" t="s">
        <v>44</v>
      </c>
      <c r="B60" s="99"/>
      <c r="C60" s="92">
        <f>C56+C58</f>
        <v>539</v>
      </c>
      <c r="D60" s="109"/>
      <c r="E60" s="92"/>
      <c r="F60" s="109" t="s">
        <v>165</v>
      </c>
      <c r="G60" s="94" t="s">
        <v>77</v>
      </c>
      <c r="H60" s="92"/>
      <c r="I60" s="92"/>
      <c r="J60" s="118" t="s">
        <v>158</v>
      </c>
      <c r="K60" s="92"/>
      <c r="L60" s="87">
        <f>Y55/L59</f>
        <v>3.8171428571428572</v>
      </c>
      <c r="M60" s="117" t="s">
        <v>159</v>
      </c>
      <c r="N60" s="92"/>
      <c r="O60" s="87">
        <f>AD55/O59</f>
        <v>5.3835616438356162</v>
      </c>
      <c r="P60" s="118" t="s">
        <v>160</v>
      </c>
      <c r="Q60" s="92"/>
      <c r="R60" s="87">
        <f>M55/R59</f>
        <v>3.3436426116838489</v>
      </c>
      <c r="S60" s="92"/>
      <c r="T60" s="92"/>
      <c r="U60" s="92"/>
      <c r="V60" s="92"/>
      <c r="W60" s="92"/>
      <c r="X60" s="92"/>
      <c r="Y60" s="92"/>
      <c r="Z60" s="7" t="s">
        <v>178</v>
      </c>
      <c r="AA60" s="92"/>
      <c r="AB60" s="92"/>
      <c r="AC60" s="92"/>
      <c r="AD60" s="92"/>
      <c r="AE60" s="99"/>
      <c r="AF60" s="99"/>
      <c r="AG60" s="99"/>
    </row>
    <row r="61" spans="1:33" x14ac:dyDescent="0.4">
      <c r="A61" s="99" t="s">
        <v>45</v>
      </c>
      <c r="B61" s="99"/>
      <c r="C61" s="87">
        <f>AE52/C60</f>
        <v>3.7736549165120592</v>
      </c>
      <c r="D61" s="110"/>
      <c r="E61" s="92"/>
      <c r="F61" s="109" t="s">
        <v>165</v>
      </c>
      <c r="G61" s="94" t="s">
        <v>64</v>
      </c>
      <c r="H61" s="92"/>
      <c r="I61" s="92"/>
      <c r="J61" s="92"/>
      <c r="K61" s="92"/>
      <c r="L61" s="92"/>
      <c r="M61" s="92"/>
      <c r="N61" s="92"/>
      <c r="O61" s="92"/>
      <c r="P61" s="92"/>
      <c r="Q61" s="92"/>
      <c r="R61" s="92"/>
      <c r="S61" s="92"/>
      <c r="T61" s="92"/>
      <c r="U61" s="94" t="s">
        <v>183</v>
      </c>
      <c r="V61" s="92"/>
      <c r="W61" s="92"/>
      <c r="X61" s="92"/>
      <c r="Y61" s="92"/>
      <c r="Z61" s="92">
        <f>45/10</f>
        <v>4.5</v>
      </c>
      <c r="AA61" s="92"/>
      <c r="AB61" s="92"/>
      <c r="AC61" s="92"/>
      <c r="AD61" s="92"/>
      <c r="AE61" s="99"/>
      <c r="AF61" s="99"/>
      <c r="AG61" s="99"/>
    </row>
    <row r="62" spans="1:33" x14ac:dyDescent="0.4">
      <c r="A62" s="99" t="s">
        <v>46</v>
      </c>
      <c r="B62" s="99"/>
      <c r="C62" s="109">
        <f>AE52/300</f>
        <v>6.78</v>
      </c>
      <c r="D62" s="7"/>
      <c r="E62" s="92"/>
      <c r="F62" s="92"/>
      <c r="G62" s="92"/>
      <c r="H62" s="92"/>
      <c r="I62" s="92"/>
      <c r="J62" s="92"/>
      <c r="K62" s="92"/>
      <c r="L62" s="92"/>
      <c r="M62" s="92"/>
      <c r="N62" s="92"/>
      <c r="O62" s="92"/>
      <c r="P62" s="92"/>
      <c r="Q62" s="92"/>
      <c r="R62" s="92"/>
      <c r="S62" s="94"/>
      <c r="T62" s="92"/>
      <c r="U62" s="94" t="s">
        <v>184</v>
      </c>
      <c r="V62" s="92"/>
      <c r="W62" s="92"/>
      <c r="X62" s="92"/>
      <c r="Y62" s="92"/>
      <c r="Z62" s="135">
        <f>19/8</f>
        <v>2.375</v>
      </c>
      <c r="AA62" s="92"/>
      <c r="AB62" s="92"/>
      <c r="AC62" s="92"/>
      <c r="AD62" s="92"/>
      <c r="AE62" s="99"/>
      <c r="AF62" s="99"/>
      <c r="AG62" s="99"/>
    </row>
    <row r="63" spans="1:33" x14ac:dyDescent="0.4">
      <c r="B63" s="99"/>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9"/>
      <c r="AF63" s="99"/>
      <c r="AG63" s="99"/>
    </row>
    <row r="64" spans="1:33" x14ac:dyDescent="0.4">
      <c r="A64" s="5" t="s">
        <v>49</v>
      </c>
      <c r="B64" s="99"/>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9"/>
      <c r="AF64" s="99"/>
      <c r="AG64" s="99"/>
    </row>
    <row r="65" spans="1:33" x14ac:dyDescent="0.4">
      <c r="A65" s="99" t="s">
        <v>191</v>
      </c>
      <c r="B65" s="99"/>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9"/>
      <c r="AF65" s="99"/>
      <c r="AG65" s="99"/>
    </row>
    <row r="66" spans="1:33" x14ac:dyDescent="0.4">
      <c r="A66" s="99" t="s">
        <v>188</v>
      </c>
      <c r="B66" s="99"/>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9"/>
      <c r="AF66" s="99"/>
      <c r="AG66" s="99"/>
    </row>
    <row r="67" spans="1:33" x14ac:dyDescent="0.4">
      <c r="A67" s="99" t="s">
        <v>189</v>
      </c>
      <c r="B67" s="99"/>
      <c r="C67" s="92"/>
      <c r="D67" s="7"/>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9"/>
      <c r="AF67" s="99"/>
      <c r="AG67" s="99"/>
    </row>
    <row r="68" spans="1:33" x14ac:dyDescent="0.4">
      <c r="A68" s="99" t="s">
        <v>190</v>
      </c>
      <c r="B68" s="99"/>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9"/>
      <c r="AF68" s="99"/>
      <c r="AG68" s="99"/>
    </row>
    <row r="69" spans="1:33" x14ac:dyDescent="0.4">
      <c r="A69" s="99" t="s">
        <v>180</v>
      </c>
      <c r="B69" s="99"/>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9"/>
      <c r="AF69" s="99"/>
      <c r="AG69" s="99"/>
    </row>
    <row r="70" spans="1:33" x14ac:dyDescent="0.4">
      <c r="A70" s="5" t="s">
        <v>56</v>
      </c>
      <c r="B70" s="99"/>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9"/>
      <c r="AF70" s="99"/>
      <c r="AG70" s="99"/>
    </row>
    <row r="71" spans="1:33" x14ac:dyDescent="0.4">
      <c r="A71" s="99" t="s">
        <v>133</v>
      </c>
      <c r="B71" s="99"/>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9"/>
      <c r="AF71" s="99"/>
      <c r="AG71" s="99"/>
    </row>
    <row r="72" spans="1:33" x14ac:dyDescent="0.4">
      <c r="A72" s="99" t="s">
        <v>187</v>
      </c>
    </row>
  </sheetData>
  <printOptions horizontalCentered="1" verticalCentered="1" gridLines="1"/>
  <pageMargins left="0.2" right="0.2" top="0.5" bottom="0.5" header="0.3" footer="0.3"/>
  <pageSetup scale="59" orientation="landscape" r:id="rId1"/>
  <headerFooter>
    <oddHeader>&amp;C&amp;F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1999-2000</vt:lpstr>
      <vt:lpstr>2000-01</vt:lpstr>
      <vt:lpstr>2001-02</vt:lpstr>
      <vt:lpstr>2002-03</vt:lpstr>
      <vt:lpstr>2003-04</vt:lpstr>
      <vt:lpstr>2004-05</vt:lpstr>
      <vt:lpstr>2005-06</vt:lpstr>
      <vt:lpstr>2006-2007</vt:lpstr>
      <vt:lpstr>2007-08</vt:lpstr>
      <vt:lpstr>2008-09</vt:lpstr>
      <vt:lpstr>2009-10</vt:lpstr>
      <vt:lpstr>2010-11</vt:lpstr>
      <vt:lpstr>2012-2013</vt:lpstr>
      <vt:lpstr>2013-2014</vt:lpstr>
      <vt:lpstr>2014-2015</vt:lpstr>
      <vt:lpstr>2015-2016</vt:lpstr>
      <vt:lpstr>2016-17</vt:lpstr>
      <vt:lpstr>2017-18</vt:lpstr>
      <vt:lpstr>2018-19</vt:lpstr>
      <vt:lpstr>2019-20</vt:lpstr>
      <vt:lpstr>2020-21</vt:lpstr>
      <vt:lpstr>2021-22</vt:lpstr>
      <vt:lpstr>2022-23</vt:lpstr>
      <vt:lpstr>'2017-18'!Print_Area</vt:lpstr>
      <vt:lpstr>'2022-23'!Print_Area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WESTERN VEG-PRODUCE,INC.</dc:creator>
  <cp:lastModifiedBy>Robb Stewart</cp:lastModifiedBy>
  <cp:lastPrinted>2023-03-03T03:36:33Z</cp:lastPrinted>
  <dcterms:created xsi:type="dcterms:W3CDTF">1999-01-25T23:31:02Z</dcterms:created>
  <dcterms:modified xsi:type="dcterms:W3CDTF">2023-03-11T18:40:33Z</dcterms:modified>
</cp:coreProperties>
</file>