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icha\Desktop\vancomycin-calculator\Old Excel Versions\"/>
    </mc:Choice>
  </mc:AlternateContent>
  <xr:revisionPtr revIDLastSave="0" documentId="13_ncr:1_{94E0F34E-D399-4EF1-9B5C-C21B89E25D5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UC Draf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" i="1" l="1"/>
  <c r="F31" i="1" s="1"/>
  <c r="F29" i="1"/>
  <c r="F28" i="1"/>
  <c r="E8" i="1"/>
  <c r="E4" i="1"/>
  <c r="L13" i="1" l="1"/>
  <c r="E5" i="1" l="1"/>
  <c r="E6" i="1" s="1"/>
  <c r="E7" i="1"/>
  <c r="J5" i="1"/>
  <c r="J31" i="1" l="1"/>
  <c r="J4" i="1"/>
  <c r="J9" i="1" s="1"/>
  <c r="F32" i="1" l="1"/>
  <c r="J6" i="1"/>
  <c r="J7" i="1" s="1"/>
  <c r="J8" i="1" s="1"/>
  <c r="J15" i="1"/>
  <c r="L15" i="1" s="1"/>
  <c r="J17" i="1"/>
  <c r="J13" i="1"/>
  <c r="F34" i="1" l="1"/>
  <c r="F35" i="1"/>
  <c r="F36" i="1"/>
  <c r="J30" i="1" s="1"/>
  <c r="J35" i="1" s="1"/>
  <c r="J39" i="1" s="1"/>
  <c r="K13" i="1"/>
  <c r="M13" i="1" s="1"/>
  <c r="K17" i="1"/>
  <c r="M17" i="1" s="1"/>
  <c r="L17" i="1"/>
  <c r="K15" i="1"/>
  <c r="M15" i="1" s="1"/>
  <c r="J32" i="1" l="1"/>
  <c r="J45" i="1"/>
  <c r="J41" i="1"/>
  <c r="J43" i="1"/>
  <c r="L42" i="1" l="1"/>
  <c r="K42" i="1"/>
  <c r="M42" i="1" s="1"/>
  <c r="L44" i="1"/>
  <c r="K44" i="1"/>
  <c r="M44" i="1" s="1"/>
  <c r="K38" i="1"/>
  <c r="M38" i="1" s="1"/>
  <c r="L38" i="1"/>
  <c r="L40" i="1"/>
  <c r="K40" i="1"/>
  <c r="M40" i="1" s="1"/>
</calcChain>
</file>

<file path=xl/sharedStrings.xml><?xml version="1.0" encoding="utf-8"?>
<sst xmlns="http://schemas.openxmlformats.org/spreadsheetml/2006/main" count="88" uniqueCount="72">
  <si>
    <t>INITIAL DOSING</t>
  </si>
  <si>
    <t>Patient Input Data</t>
  </si>
  <si>
    <t>Patient Age (yr)</t>
  </si>
  <si>
    <t>Weight (kg)</t>
  </si>
  <si>
    <t>Height (in)</t>
  </si>
  <si>
    <t>Clearance (L/hr)</t>
  </si>
  <si>
    <t>Volume (L)</t>
  </si>
  <si>
    <t>kel</t>
  </si>
  <si>
    <t xml:space="preserve">t(1/2) </t>
  </si>
  <si>
    <t>Desired AUC</t>
  </si>
  <si>
    <t>M</t>
  </si>
  <si>
    <t>Related Calculations</t>
  </si>
  <si>
    <t>Ideal Body Weight (kg)</t>
  </si>
  <si>
    <t>Calculates IBW by gender 
for those over 5 ft</t>
  </si>
  <si>
    <t>Equation Body Weight (kg)</t>
  </si>
  <si>
    <t>CrCL (ml/min)</t>
  </si>
  <si>
    <t>Uses correct weight for CrCL equation</t>
  </si>
  <si>
    <t>SCr (mg/dL)</t>
  </si>
  <si>
    <t>Calculates CrCL based on gender</t>
  </si>
  <si>
    <t>Cl(vanco) = CrCL * 0.06</t>
  </si>
  <si>
    <t>Vanco PK Output</t>
  </si>
  <si>
    <t>BMI (kg/m^2)</t>
  </si>
  <si>
    <t>Based on BMI</t>
  </si>
  <si>
    <t>VAPA Infusion Times</t>
  </si>
  <si>
    <t>Dose</t>
  </si>
  <si>
    <t>Infusion Time</t>
  </si>
  <si>
    <t>Dose (mg)</t>
  </si>
  <si>
    <t>Infusion Time (hr)</t>
  </si>
  <si>
    <t>Suggested Regimens</t>
  </si>
  <si>
    <t>Q8</t>
  </si>
  <si>
    <t>Q12</t>
  </si>
  <si>
    <t>Q24</t>
  </si>
  <si>
    <t xml:space="preserve">Q8 </t>
  </si>
  <si>
    <t>Suggested Dose:</t>
  </si>
  <si>
    <t>TDD</t>
  </si>
  <si>
    <t>Estimated AUC</t>
  </si>
  <si>
    <t>Estimated TDD (mg)</t>
  </si>
  <si>
    <t>Description</t>
  </si>
  <si>
    <t>AUC REVISION DOSING (Sawchuk-Zaske Method)</t>
  </si>
  <si>
    <t>True Peak</t>
  </si>
  <si>
    <t>True Trough</t>
  </si>
  <si>
    <t>Adjusted SCr</t>
  </si>
  <si>
    <t>Estimated Trough</t>
  </si>
  <si>
    <t>Revised kel</t>
  </si>
  <si>
    <t>To add:</t>
  </si>
  <si>
    <t>Rouding SCr Option</t>
  </si>
  <si>
    <t>Peak C(vanco) &amp; time</t>
  </si>
  <si>
    <t>Trough C(vanco) &amp; time</t>
  </si>
  <si>
    <t xml:space="preserve">Time to steady state (hr) </t>
  </si>
  <si>
    <t>Dose Timing before peak</t>
  </si>
  <si>
    <t>Dose Timing before trough</t>
  </si>
  <si>
    <t>kel = [ln(C1) - ln(c2)]/t</t>
  </si>
  <si>
    <t>time difference between
peak and dose. Accounts for trough drawn before peak</t>
  </si>
  <si>
    <t>Time difference (end of infusion and C1)</t>
  </si>
  <si>
    <t>Time difference (peak and trough)</t>
  </si>
  <si>
    <t>AUC (inf)</t>
  </si>
  <si>
    <t>back extrapolates 
peak to end of infusion</t>
  </si>
  <si>
    <t>estimates AUC during infusion 
with trapezoid bound by cmax and cmin</t>
  </si>
  <si>
    <t>Using equation AUC = C/k</t>
  </si>
  <si>
    <t>AUC (elim)</t>
  </si>
  <si>
    <t>AUC (0-24)</t>
  </si>
  <si>
    <t>Revised CL vanco</t>
  </si>
  <si>
    <t>Revised t (1/2)</t>
  </si>
  <si>
    <t>Revised V</t>
  </si>
  <si>
    <t>this is an UNDERESTIMATE</t>
  </si>
  <si>
    <t>Target AUC</t>
  </si>
  <si>
    <t>Revised TDD</t>
  </si>
  <si>
    <t>Q6</t>
  </si>
  <si>
    <t xml:space="preserve">    Suggested Dose:</t>
  </si>
  <si>
    <t>Sex (M or F)</t>
  </si>
  <si>
    <t>Dosing Interval</t>
  </si>
  <si>
    <t>MM/DD 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</si>
</sst>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3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3" borderId="2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/>
    <xf numFmtId="0" fontId="0" fillId="3" borderId="8" xfId="0" applyFill="1" applyBorder="1"/>
    <xf numFmtId="0" fontId="0" fillId="3" borderId="9" xfId="0" applyFill="1" applyBorder="1"/>
    <xf numFmtId="0" fontId="0" fillId="3" borderId="3" xfId="0" applyFill="1" applyBorder="1"/>
    <xf numFmtId="0" fontId="0" fillId="3" borderId="10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0" borderId="8" xfId="0" applyBorder="1" applyAlignment="1">
      <alignment wrapText="1"/>
    </xf>
    <xf numFmtId="0" fontId="3" fillId="0" borderId="11" xfId="0" applyFont="1" applyBorder="1"/>
    <xf numFmtId="0" fontId="0" fillId="0" borderId="12" xfId="0" applyBorder="1"/>
    <xf numFmtId="0" fontId="2" fillId="2" borderId="13" xfId="0" applyFont="1" applyFill="1" applyBorder="1"/>
    <xf numFmtId="0" fontId="2" fillId="2" borderId="14" xfId="0" applyFont="1" applyFill="1" applyBorder="1" applyAlignment="1">
      <alignment horizontal="right"/>
    </xf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17" xfId="0" applyBorder="1"/>
    <xf numFmtId="0" fontId="0" fillId="5" borderId="9" xfId="0" applyFill="1" applyBorder="1"/>
    <xf numFmtId="0" fontId="0" fillId="5" borderId="3" xfId="0" applyFill="1" applyBorder="1"/>
    <xf numFmtId="0" fontId="0" fillId="5" borderId="10" xfId="0" applyFill="1" applyBorder="1"/>
    <xf numFmtId="0" fontId="0" fillId="0" borderId="18" xfId="0" applyBorder="1"/>
    <xf numFmtId="0" fontId="0" fillId="5" borderId="0" xfId="0" applyFill="1"/>
    <xf numFmtId="22" fontId="0" fillId="0" borderId="0" xfId="0" applyNumberFormat="1"/>
    <xf numFmtId="0" fontId="3" fillId="0" borderId="4" xfId="0" applyFont="1" applyBorder="1"/>
    <xf numFmtId="0" fontId="0" fillId="2" borderId="2" xfId="0" applyFill="1" applyBorder="1"/>
    <xf numFmtId="22" fontId="0" fillId="2" borderId="2" xfId="0" applyNumberFormat="1" applyFill="1" applyBorder="1"/>
    <xf numFmtId="22" fontId="0" fillId="0" borderId="2" xfId="0" applyNumberFormat="1" applyBorder="1"/>
    <xf numFmtId="0" fontId="0" fillId="0" borderId="2" xfId="0" applyBorder="1" applyAlignment="1">
      <alignment wrapText="1"/>
    </xf>
    <xf numFmtId="0" fontId="2" fillId="6" borderId="2" xfId="0" applyFont="1" applyFill="1" applyBorder="1"/>
    <xf numFmtId="0" fontId="3" fillId="0" borderId="2" xfId="0" applyFont="1" applyBorder="1"/>
    <xf numFmtId="0" fontId="0" fillId="2" borderId="19" xfId="0" applyFill="1" applyBorder="1"/>
    <xf numFmtId="164" fontId="2" fillId="6" borderId="2" xfId="0" applyNumberFormat="1" applyFont="1" applyFill="1" applyBorder="1"/>
    <xf numFmtId="2" fontId="2" fillId="6" borderId="2" xfId="0" applyNumberFormat="1" applyFont="1" applyFill="1" applyBorder="1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zoomScale="70" zoomScaleNormal="70" workbookViewId="0">
      <selection activeCell="F20" sqref="F20"/>
    </sheetView>
  </sheetViews>
  <sheetFormatPr defaultRowHeight="15" x14ac:dyDescent="0.25"/>
  <cols>
    <col min="1" max="1" width="20.140625" bestFit="1" customWidth="1"/>
    <col min="2" max="3" width="15.85546875" bestFit="1" customWidth="1"/>
    <col min="4" max="4" width="23.140625" bestFit="1" customWidth="1"/>
    <col min="5" max="5" width="34.85546875" bestFit="1" customWidth="1"/>
    <col min="6" max="6" width="37.85546875" bestFit="1" customWidth="1"/>
    <col min="7" max="7" width="22.5703125" bestFit="1" customWidth="1"/>
    <col min="8" max="8" width="6.85546875" customWidth="1"/>
    <col min="9" max="9" width="22" bestFit="1" customWidth="1"/>
    <col min="10" max="10" width="9.42578125" customWidth="1"/>
    <col min="11" max="11" width="19.85546875" bestFit="1" customWidth="1"/>
    <col min="12" max="12" width="19.85546875" customWidth="1"/>
    <col min="13" max="13" width="13.140625" bestFit="1" customWidth="1"/>
    <col min="14" max="14" width="15.5703125" bestFit="1" customWidth="1"/>
  </cols>
  <sheetData>
    <row r="1" spans="1:14" ht="20.25" thickBot="1" x14ac:dyDescent="0.35">
      <c r="A1" s="52" t="s">
        <v>0</v>
      </c>
      <c r="B1" s="52"/>
      <c r="C1" s="52"/>
      <c r="D1" s="52"/>
      <c r="E1" s="52"/>
      <c r="F1" s="52"/>
      <c r="G1" s="52"/>
      <c r="H1" s="52"/>
    </row>
    <row r="2" spans="1:14" ht="15.75" thickTop="1" x14ac:dyDescent="0.25"/>
    <row r="3" spans="1:14" s="3" customFormat="1" x14ac:dyDescent="0.25">
      <c r="A3" s="28" t="s">
        <v>1</v>
      </c>
      <c r="B3" s="29"/>
      <c r="D3" s="28" t="s">
        <v>11</v>
      </c>
      <c r="E3" s="5"/>
      <c r="F3" s="29" t="s">
        <v>37</v>
      </c>
      <c r="I3" s="28" t="s">
        <v>20</v>
      </c>
      <c r="J3" s="35"/>
      <c r="K3" s="29"/>
    </row>
    <row r="4" spans="1:14" ht="30" x14ac:dyDescent="0.25">
      <c r="A4" s="7" t="s">
        <v>2</v>
      </c>
      <c r="B4" s="30">
        <v>61</v>
      </c>
      <c r="D4" s="7" t="s">
        <v>12</v>
      </c>
      <c r="E4" s="4">
        <f>IF(B6&gt;60,IF(B5="M",50+2.3 * (B6-60), 45.5 + 2.3 * (B6-60)),IF(B5="M",50,45.5))</f>
        <v>68.400000000000006</v>
      </c>
      <c r="F4" s="27" t="s">
        <v>13</v>
      </c>
      <c r="I4" s="7" t="s">
        <v>5</v>
      </c>
      <c r="J4" s="11">
        <f>E6*0.06</f>
        <v>4.7202500000000001</v>
      </c>
      <c r="K4" s="8" t="s">
        <v>19</v>
      </c>
    </row>
    <row r="5" spans="1:14" x14ac:dyDescent="0.25">
      <c r="A5" s="7" t="s">
        <v>69</v>
      </c>
      <c r="B5" s="31" t="s">
        <v>10</v>
      </c>
      <c r="D5" s="7" t="s">
        <v>14</v>
      </c>
      <c r="E5" s="4">
        <f>IF((B7/E4)&gt;1.2,E4+0.4*(B7-E4),IF(B7&gt;E4,B7,E4))</f>
        <v>71.7</v>
      </c>
      <c r="F5" s="8" t="s">
        <v>16</v>
      </c>
      <c r="I5" s="7" t="s">
        <v>6</v>
      </c>
      <c r="J5" s="11">
        <f>IF(E8&gt;40,0.7 * B7, 0.5*B7)</f>
        <v>35.85</v>
      </c>
      <c r="K5" s="8" t="s">
        <v>22</v>
      </c>
    </row>
    <row r="6" spans="1:14" x14ac:dyDescent="0.25">
      <c r="A6" s="7" t="s">
        <v>4</v>
      </c>
      <c r="B6" s="32">
        <v>68</v>
      </c>
      <c r="D6" s="7" t="s">
        <v>15</v>
      </c>
      <c r="E6" s="4">
        <f>IF(B5="M",(140-B4)*E5/(72 * E7),(140-B4) *E5/(72*E7)*0.85)</f>
        <v>78.670833333333334</v>
      </c>
      <c r="F6" s="8" t="s">
        <v>18</v>
      </c>
      <c r="I6" s="7" t="s">
        <v>7</v>
      </c>
      <c r="J6" s="11">
        <f>J4/J5</f>
        <v>0.13166666666666665</v>
      </c>
      <c r="K6" s="8"/>
    </row>
    <row r="7" spans="1:14" ht="15.75" thickBot="1" x14ac:dyDescent="0.3">
      <c r="A7" s="7" t="s">
        <v>3</v>
      </c>
      <c r="B7" s="33">
        <v>71.7</v>
      </c>
      <c r="D7" s="7" t="s">
        <v>41</v>
      </c>
      <c r="E7" s="4">
        <f>IF(B4&gt;=65, IF(B8&lt;1,1,B8),B8)</f>
        <v>1</v>
      </c>
      <c r="F7" s="8"/>
      <c r="I7" s="7" t="s">
        <v>8</v>
      </c>
      <c r="J7" s="11">
        <f>-LN(0.5)/J6</f>
        <v>5.264408966278066</v>
      </c>
      <c r="K7" s="8"/>
    </row>
    <row r="8" spans="1:14" ht="15.75" thickBot="1" x14ac:dyDescent="0.3">
      <c r="A8" s="7" t="s">
        <v>17</v>
      </c>
      <c r="B8" s="34">
        <v>1</v>
      </c>
      <c r="D8" s="9" t="s">
        <v>21</v>
      </c>
      <c r="E8" s="4">
        <f>B7/(B6 * 0.0254)^2</f>
        <v>24.034433882016558</v>
      </c>
      <c r="F8" s="10"/>
      <c r="I8" s="7" t="s">
        <v>48</v>
      </c>
      <c r="J8" s="16">
        <f>J7*3.3</f>
        <v>17.372549588717618</v>
      </c>
      <c r="K8" s="8"/>
    </row>
    <row r="9" spans="1:14" x14ac:dyDescent="0.25">
      <c r="A9" s="9" t="s">
        <v>9</v>
      </c>
      <c r="B9" s="30">
        <v>500</v>
      </c>
      <c r="I9" s="36" t="s">
        <v>36</v>
      </c>
      <c r="J9" s="37">
        <f>B9*J4</f>
        <v>2360.125</v>
      </c>
      <c r="K9" s="38"/>
      <c r="L9" s="40"/>
    </row>
    <row r="11" spans="1:14" x14ac:dyDescent="0.25">
      <c r="A11" s="21" t="s">
        <v>23</v>
      </c>
      <c r="B11" s="22"/>
      <c r="I11" s="12" t="s">
        <v>28</v>
      </c>
      <c r="J11" s="13"/>
      <c r="K11" s="13" t="s">
        <v>34</v>
      </c>
      <c r="L11" s="13" t="s">
        <v>27</v>
      </c>
      <c r="M11" s="14" t="s">
        <v>35</v>
      </c>
      <c r="N11" s="16" t="s">
        <v>42</v>
      </c>
    </row>
    <row r="12" spans="1:14" x14ac:dyDescent="0.25">
      <c r="A12" s="23" t="s">
        <v>26</v>
      </c>
      <c r="B12" s="24" t="s">
        <v>27</v>
      </c>
      <c r="I12" s="15" t="s">
        <v>32</v>
      </c>
      <c r="J12" s="16"/>
      <c r="K12" s="16"/>
      <c r="L12" s="16"/>
      <c r="M12" s="17"/>
    </row>
    <row r="13" spans="1:14" x14ac:dyDescent="0.25">
      <c r="A13" s="23">
        <v>500</v>
      </c>
      <c r="B13" s="24">
        <v>1</v>
      </c>
      <c r="I13" s="15" t="s">
        <v>33</v>
      </c>
      <c r="J13" s="16">
        <f>MROUND(J9/3,250)</f>
        <v>750</v>
      </c>
      <c r="K13" s="16">
        <f>J13*3</f>
        <v>2250</v>
      </c>
      <c r="L13" s="16" t="e">
        <f>VLOOKUP(FJ13,$A$11:$B$22,2,FALSE)</f>
        <v>#N/A</v>
      </c>
      <c r="M13" s="17">
        <f>K13/J4</f>
        <v>476.66966792013136</v>
      </c>
    </row>
    <row r="14" spans="1:14" x14ac:dyDescent="0.25">
      <c r="A14" s="23">
        <v>750</v>
      </c>
      <c r="B14" s="24">
        <v>1.5</v>
      </c>
      <c r="I14" s="15" t="s">
        <v>30</v>
      </c>
      <c r="J14" s="16"/>
      <c r="K14" s="16"/>
      <c r="L14" s="16"/>
      <c r="M14" s="17"/>
    </row>
    <row r="15" spans="1:14" x14ac:dyDescent="0.25">
      <c r="A15" s="23">
        <v>1000</v>
      </c>
      <c r="B15" s="24">
        <v>1.5</v>
      </c>
      <c r="D15" t="s">
        <v>44</v>
      </c>
      <c r="I15" s="15" t="s">
        <v>33</v>
      </c>
      <c r="J15" s="16">
        <f>MROUND(J9/2,250)</f>
        <v>1250</v>
      </c>
      <c r="K15" s="16">
        <f>J15*2</f>
        <v>2500</v>
      </c>
      <c r="L15" s="16">
        <f>VLOOKUP(J15,$A$11:$B$22,2,FALSE)</f>
        <v>2</v>
      </c>
      <c r="M15" s="17">
        <f>K15/J4</f>
        <v>529.63296435570146</v>
      </c>
    </row>
    <row r="16" spans="1:14" x14ac:dyDescent="0.25">
      <c r="A16" s="23">
        <v>1250</v>
      </c>
      <c r="B16" s="24">
        <v>2</v>
      </c>
      <c r="D16" t="s">
        <v>42</v>
      </c>
      <c r="I16" s="15" t="s">
        <v>31</v>
      </c>
      <c r="J16" s="16"/>
      <c r="K16" s="16"/>
      <c r="L16" s="16"/>
      <c r="M16" s="17"/>
    </row>
    <row r="17" spans="1:13" x14ac:dyDescent="0.25">
      <c r="A17" s="23">
        <v>1500</v>
      </c>
      <c r="B17" s="24">
        <v>2.5</v>
      </c>
      <c r="D17" t="s">
        <v>45</v>
      </c>
      <c r="I17" s="18" t="s">
        <v>33</v>
      </c>
      <c r="J17" s="19">
        <f>MROUND(J9,250)</f>
        <v>2250</v>
      </c>
      <c r="K17" s="19">
        <f>J17</f>
        <v>2250</v>
      </c>
      <c r="L17" s="16">
        <f>VLOOKUP(J17,$A$11:$B$22,2,FALSE)</f>
        <v>3.5</v>
      </c>
      <c r="M17" s="20">
        <f>K17/J4</f>
        <v>476.66966792013136</v>
      </c>
    </row>
    <row r="18" spans="1:13" x14ac:dyDescent="0.25">
      <c r="A18" s="23">
        <v>1750</v>
      </c>
      <c r="B18" s="24">
        <v>3</v>
      </c>
    </row>
    <row r="19" spans="1:13" x14ac:dyDescent="0.25">
      <c r="A19" s="23">
        <v>2000</v>
      </c>
      <c r="B19" s="24">
        <v>3</v>
      </c>
    </row>
    <row r="20" spans="1:13" x14ac:dyDescent="0.25">
      <c r="A20" s="23">
        <v>2250</v>
      </c>
      <c r="B20" s="24">
        <v>3.5</v>
      </c>
    </row>
    <row r="21" spans="1:13" x14ac:dyDescent="0.25">
      <c r="A21" s="23">
        <v>2500</v>
      </c>
      <c r="B21" s="24">
        <v>4.17</v>
      </c>
    </row>
    <row r="22" spans="1:13" x14ac:dyDescent="0.25">
      <c r="A22" s="25">
        <v>3000</v>
      </c>
      <c r="B22" s="26">
        <v>5</v>
      </c>
    </row>
    <row r="24" spans="1:13" s="39" customFormat="1" ht="15.75" thickBot="1" x14ac:dyDescent="0.3"/>
    <row r="25" spans="1:13" ht="20.25" thickBot="1" x14ac:dyDescent="0.35">
      <c r="A25" s="52" t="s">
        <v>38</v>
      </c>
      <c r="B25" s="52"/>
      <c r="C25" s="52"/>
      <c r="D25" s="52"/>
      <c r="E25" s="52"/>
      <c r="F25" s="52"/>
    </row>
    <row r="26" spans="1:13" ht="15.75" thickTop="1" x14ac:dyDescent="0.25"/>
    <row r="27" spans="1:13" x14ac:dyDescent="0.25">
      <c r="A27" s="42" t="s">
        <v>1</v>
      </c>
      <c r="B27" s="5"/>
      <c r="C27" s="6"/>
      <c r="E27" s="1" t="s">
        <v>11</v>
      </c>
      <c r="I27" s="48" t="s">
        <v>20</v>
      </c>
      <c r="J27" s="2"/>
      <c r="K27" s="2"/>
    </row>
    <row r="28" spans="1:13" ht="75" x14ac:dyDescent="0.25">
      <c r="A28" s="7" t="s">
        <v>46</v>
      </c>
      <c r="B28" s="43">
        <v>38.6</v>
      </c>
      <c r="C28" s="44">
        <v>44072.893750000003</v>
      </c>
      <c r="D28" t="s">
        <v>71</v>
      </c>
      <c r="E28" s="2" t="s">
        <v>54</v>
      </c>
      <c r="F28" s="51">
        <f>((C30-C31)-(C28-C29)) * 24</f>
        <v>12.549999999871943</v>
      </c>
      <c r="G28" s="46" t="s">
        <v>52</v>
      </c>
      <c r="I28" s="2" t="s">
        <v>43</v>
      </c>
      <c r="J28" s="50">
        <f>LN(B28/B30)/F28</f>
        <v>2.8774979272245156E-2</v>
      </c>
      <c r="K28" s="2" t="s">
        <v>51</v>
      </c>
    </row>
    <row r="29" spans="1:13" x14ac:dyDescent="0.25">
      <c r="A29" s="7" t="s">
        <v>49</v>
      </c>
      <c r="B29" s="2"/>
      <c r="C29" s="44">
        <v>44072.738888888889</v>
      </c>
      <c r="D29" s="41"/>
      <c r="E29" s="2" t="s">
        <v>53</v>
      </c>
      <c r="F29" s="47">
        <f>24*(C28-C29)-B35</f>
        <v>1.7166666667326353</v>
      </c>
      <c r="G29" s="2"/>
      <c r="I29" s="2" t="s">
        <v>61</v>
      </c>
      <c r="J29" s="50"/>
      <c r="K29" s="2"/>
    </row>
    <row r="30" spans="1:13" x14ac:dyDescent="0.25">
      <c r="A30" s="7" t="s">
        <v>47</v>
      </c>
      <c r="B30" s="43">
        <v>26.9</v>
      </c>
      <c r="C30" s="44">
        <v>44073.416666666664</v>
      </c>
      <c r="I30" s="2" t="s">
        <v>62</v>
      </c>
      <c r="J30" s="47">
        <f>B33*(24/B34) /F36</f>
        <v>1.7286091067186433</v>
      </c>
      <c r="K30" s="2"/>
    </row>
    <row r="31" spans="1:13" ht="30" x14ac:dyDescent="0.25">
      <c r="A31" s="7" t="s">
        <v>50</v>
      </c>
      <c r="B31" s="2"/>
      <c r="C31" s="44">
        <v>44072.738888888889</v>
      </c>
      <c r="E31" s="2" t="s">
        <v>39</v>
      </c>
      <c r="F31" s="47">
        <f>B28/EXP(-J28*F29)</f>
        <v>40.554604456890537</v>
      </c>
      <c r="G31" s="46" t="s">
        <v>56</v>
      </c>
      <c r="I31" s="2" t="s">
        <v>63</v>
      </c>
      <c r="J31" s="47">
        <f>-LN(0.5)/J28</f>
        <v>24.0885379621635</v>
      </c>
      <c r="K31" s="2"/>
    </row>
    <row r="32" spans="1:13" x14ac:dyDescent="0.25">
      <c r="A32" s="7"/>
      <c r="B32" s="2"/>
      <c r="C32" s="45"/>
      <c r="E32" s="2" t="s">
        <v>40</v>
      </c>
      <c r="F32" s="47">
        <f>F31*EXP(-J28*(B34-B35))</f>
        <v>21.53328290477042</v>
      </c>
      <c r="G32" s="2"/>
      <c r="J32" s="47">
        <f>J30/J28</f>
        <v>60.073339770776812</v>
      </c>
    </row>
    <row r="33" spans="1:13" x14ac:dyDescent="0.25">
      <c r="A33" s="7" t="s">
        <v>24</v>
      </c>
      <c r="B33" s="43">
        <v>1250</v>
      </c>
      <c r="C33" s="2"/>
      <c r="E33" s="41"/>
    </row>
    <row r="34" spans="1:13" ht="60" x14ac:dyDescent="0.25">
      <c r="A34" s="7" t="s">
        <v>70</v>
      </c>
      <c r="B34" s="43">
        <v>24</v>
      </c>
      <c r="C34" s="2"/>
      <c r="E34" s="2" t="s">
        <v>55</v>
      </c>
      <c r="F34" s="47">
        <f>B35*(F31+F32)/2</f>
        <v>62.087887361660961</v>
      </c>
      <c r="G34" s="46" t="s">
        <v>57</v>
      </c>
      <c r="I34" t="s">
        <v>66</v>
      </c>
    </row>
    <row r="35" spans="1:13" x14ac:dyDescent="0.25">
      <c r="A35" s="9" t="s">
        <v>25</v>
      </c>
      <c r="B35" s="43">
        <v>2</v>
      </c>
      <c r="C35" s="2"/>
      <c r="E35" s="2" t="s">
        <v>59</v>
      </c>
      <c r="F35" s="47">
        <f>(F31-F32)/J28</f>
        <v>661.03684635724801</v>
      </c>
      <c r="G35" s="2" t="s">
        <v>58</v>
      </c>
      <c r="J35">
        <f>B36*J30</f>
        <v>1037.165464031186</v>
      </c>
    </row>
    <row r="36" spans="1:13" x14ac:dyDescent="0.25">
      <c r="A36" s="7" t="s">
        <v>65</v>
      </c>
      <c r="B36" s="49">
        <v>600</v>
      </c>
      <c r="E36" s="2" t="s">
        <v>60</v>
      </c>
      <c r="F36" s="47">
        <f>(F35+F34) * (24/B34)</f>
        <v>723.12473371890894</v>
      </c>
      <c r="G36" s="2" t="s">
        <v>64</v>
      </c>
      <c r="I36" s="12" t="s">
        <v>28</v>
      </c>
      <c r="K36" s="13" t="s">
        <v>34</v>
      </c>
      <c r="L36" s="13" t="s">
        <v>27</v>
      </c>
      <c r="M36" s="14" t="s">
        <v>35</v>
      </c>
    </row>
    <row r="37" spans="1:13" x14ac:dyDescent="0.25">
      <c r="I37" s="15" t="s">
        <v>67</v>
      </c>
      <c r="J37" s="13"/>
      <c r="K37" s="16"/>
      <c r="L37" s="16"/>
      <c r="M37" s="17"/>
    </row>
    <row r="38" spans="1:13" x14ac:dyDescent="0.25">
      <c r="I38" s="15" t="s">
        <v>68</v>
      </c>
      <c r="J38" s="16"/>
      <c r="K38" s="16">
        <f>J39*4</f>
        <v>1000</v>
      </c>
      <c r="L38" s="16" t="e">
        <f>VLOOKUP(J39,$A$11:$B$22,2,FALSE)</f>
        <v>#N/A</v>
      </c>
      <c r="M38" s="17">
        <f>K38/J30</f>
        <v>578.49978697512711</v>
      </c>
    </row>
    <row r="39" spans="1:13" x14ac:dyDescent="0.25">
      <c r="I39" s="15" t="s">
        <v>29</v>
      </c>
      <c r="J39" s="16">
        <f>MROUND(J35/4,250)</f>
        <v>250</v>
      </c>
      <c r="K39" s="16"/>
      <c r="L39" s="16"/>
      <c r="M39" s="17"/>
    </row>
    <row r="40" spans="1:13" x14ac:dyDescent="0.25">
      <c r="I40" s="15" t="s">
        <v>68</v>
      </c>
      <c r="J40" s="16"/>
      <c r="K40" s="16">
        <f>J41*3</f>
        <v>750</v>
      </c>
      <c r="L40" s="16" t="e">
        <f>VLOOKUP(J41,$A$11:$B$22,2,FALSE)</f>
        <v>#N/A</v>
      </c>
      <c r="M40" s="17">
        <f>K40/J30</f>
        <v>433.87484023134539</v>
      </c>
    </row>
    <row r="41" spans="1:13" x14ac:dyDescent="0.25">
      <c r="I41" s="15" t="s">
        <v>30</v>
      </c>
      <c r="J41" s="16">
        <f>MROUND(J35/3,250)</f>
        <v>250</v>
      </c>
      <c r="K41" s="16"/>
      <c r="L41" s="16"/>
      <c r="M41" s="17"/>
    </row>
    <row r="42" spans="1:13" x14ac:dyDescent="0.25">
      <c r="I42" s="15" t="s">
        <v>68</v>
      </c>
      <c r="J42" s="16"/>
      <c r="K42" s="16">
        <f>J43*2</f>
        <v>1000</v>
      </c>
      <c r="L42" s="16">
        <f>VLOOKUP(J43,$A$11:$B$22,2,FALSE)</f>
        <v>1</v>
      </c>
      <c r="M42" s="17">
        <f>K42/J30</f>
        <v>578.49978697512711</v>
      </c>
    </row>
    <row r="43" spans="1:13" x14ac:dyDescent="0.25">
      <c r="I43" s="15" t="s">
        <v>31</v>
      </c>
      <c r="J43" s="16">
        <f>MROUND(J35/2,250)</f>
        <v>500</v>
      </c>
      <c r="K43" s="16"/>
      <c r="L43" s="16"/>
      <c r="M43" s="17"/>
    </row>
    <row r="44" spans="1:13" x14ac:dyDescent="0.25">
      <c r="I44" s="18" t="s">
        <v>68</v>
      </c>
      <c r="J44" s="16"/>
      <c r="K44" s="19">
        <f>J45</f>
        <v>1000</v>
      </c>
      <c r="L44" s="16">
        <f>VLOOKUP(J45,$A$11:$B$22,2,FALSE)</f>
        <v>1.5</v>
      </c>
      <c r="M44" s="20">
        <f>K44/J30</f>
        <v>578.49978697512711</v>
      </c>
    </row>
    <row r="45" spans="1:13" x14ac:dyDescent="0.25">
      <c r="J45" s="19">
        <f>MROUND(J35,250)</f>
        <v>1000</v>
      </c>
    </row>
  </sheetData>
  <mergeCells count="2">
    <mergeCell ref="A1:H1"/>
    <mergeCell ref="A25:F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AUC 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Luo</dc:creator>
  <cp:lastModifiedBy>Michael Luo</cp:lastModifiedBy>
  <dcterms:created xsi:type="dcterms:W3CDTF">2023-03-27T08:41:48Z</dcterms:created>
  <dcterms:modified xsi:type="dcterms:W3CDTF">2023-03-27T08:42:29Z</dcterms:modified>
</cp:coreProperties>
</file>