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vancomycin-calculator\"/>
    </mc:Choice>
  </mc:AlternateContent>
  <xr:revisionPtr revIDLastSave="0" documentId="13_ncr:1_{D8451268-CD3E-4E96-8CCA-7A76AB9E1875}" xr6:coauthVersionLast="47" xr6:coauthVersionMax="47" xr10:uidLastSave="{00000000-0000-0000-0000-000000000000}"/>
  <bookViews>
    <workbookView xWindow="-120" yWindow="-120" windowWidth="29040" windowHeight="15990" activeTab="1" xr2:uid="{09F097DA-E6CE-4591-8FE9-FCAE9228663C}"/>
  </bookViews>
  <sheets>
    <sheet name="Trough Vancomycin Calculator" sheetId="6" r:id="rId1"/>
    <sheet name=" AUC Vancomycin Calculator " sheetId="4" r:id="rId2"/>
    <sheet name="Refer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6" l="1"/>
  <c r="I10" i="6"/>
  <c r="I9" i="6"/>
  <c r="I21" i="6"/>
  <c r="I19" i="6"/>
  <c r="B23" i="6" s="1"/>
  <c r="H39" i="6"/>
  <c r="I17" i="6"/>
  <c r="E30" i="6"/>
  <c r="B38" i="6" s="1"/>
  <c r="H38" i="6" s="1"/>
  <c r="F38" i="6" l="1"/>
  <c r="H37" i="6"/>
  <c r="E38" i="6" s="1"/>
  <c r="F39" i="6"/>
  <c r="B40" i="6"/>
  <c r="B39" i="6"/>
  <c r="E31" i="6" s="1"/>
  <c r="E20" i="6"/>
  <c r="F40" i="6" l="1"/>
  <c r="E39" i="6"/>
  <c r="E40" i="6"/>
  <c r="E16" i="4"/>
  <c r="K27" i="4" s="1"/>
  <c r="B28" i="4"/>
  <c r="F16" i="4"/>
  <c r="B37" i="4"/>
  <c r="F36" i="4" s="1"/>
  <c r="F35" i="4"/>
  <c r="B48" i="4" s="1"/>
  <c r="F11" i="6"/>
  <c r="E11" i="6"/>
  <c r="B25" i="4"/>
  <c r="D11" i="6" l="1"/>
  <c r="G16" i="4"/>
  <c r="K29" i="4" s="1"/>
  <c r="K28" i="4"/>
  <c r="B24" i="4" s="1"/>
  <c r="B27" i="4" s="1"/>
  <c r="F38" i="4"/>
  <c r="B51" i="4"/>
  <c r="D16" i="4"/>
  <c r="G11" i="6"/>
  <c r="E21" i="4" l="1"/>
  <c r="E30" i="4" s="1"/>
  <c r="B29" i="4"/>
  <c r="B30" i="4" s="1"/>
  <c r="B18" i="6"/>
  <c r="I20" i="6" s="1"/>
  <c r="F39" i="4"/>
  <c r="F42" i="4" s="1"/>
  <c r="E29" i="4" l="1"/>
  <c r="F29" i="4" s="1"/>
  <c r="H29" i="4" s="1"/>
  <c r="E25" i="4"/>
  <c r="F25" i="4" s="1"/>
  <c r="H25" i="4" s="1"/>
  <c r="E23" i="4"/>
  <c r="G23" i="4" s="1"/>
  <c r="J23" i="4" s="1"/>
  <c r="E28" i="4"/>
  <c r="G28" i="4" s="1"/>
  <c r="J28" i="4" s="1"/>
  <c r="I28" i="4" s="1"/>
  <c r="E26" i="4"/>
  <c r="F26" i="4" s="1"/>
  <c r="H26" i="4" s="1"/>
  <c r="E27" i="4"/>
  <c r="G27" i="4" s="1"/>
  <c r="J27" i="4" s="1"/>
  <c r="I27" i="4" s="1"/>
  <c r="E24" i="4"/>
  <c r="F24" i="4" s="1"/>
  <c r="H24" i="4" s="1"/>
  <c r="I24" i="6"/>
  <c r="I22" i="6"/>
  <c r="B22" i="6" s="1"/>
  <c r="B24" i="6" s="1"/>
  <c r="I15" i="6" s="1"/>
  <c r="E21" i="6" s="1"/>
  <c r="I23" i="6"/>
  <c r="G25" i="4"/>
  <c r="J25" i="4" s="1"/>
  <c r="I25" i="4" s="1"/>
  <c r="F41" i="4"/>
  <c r="F43" i="4" s="1"/>
  <c r="B49" i="4" s="1"/>
  <c r="B50" i="4" s="1"/>
  <c r="F23" i="4"/>
  <c r="H23" i="4" s="1"/>
  <c r="G24" i="4"/>
  <c r="J24" i="4" s="1"/>
  <c r="I24" i="4" s="1"/>
  <c r="F28" i="4"/>
  <c r="H28" i="4" s="1"/>
  <c r="G30" i="4"/>
  <c r="J30" i="4" s="1"/>
  <c r="I30" i="4" s="1"/>
  <c r="F30" i="4"/>
  <c r="H30" i="4" s="1"/>
  <c r="G29" i="4"/>
  <c r="J29" i="4" s="1"/>
  <c r="I29" i="4" s="1"/>
  <c r="F27" i="4" l="1"/>
  <c r="H27" i="4" s="1"/>
  <c r="G26" i="4"/>
  <c r="J26" i="4" s="1"/>
  <c r="I26" i="4" s="1"/>
  <c r="B25" i="6"/>
  <c r="I16" i="6"/>
  <c r="F23" i="6" s="1"/>
  <c r="E49" i="4"/>
  <c r="E56" i="4" s="1"/>
  <c r="I23" i="4"/>
  <c r="E22" i="6"/>
  <c r="E23" i="6"/>
  <c r="F22" i="6" l="1"/>
  <c r="F21" i="6"/>
  <c r="E55" i="4"/>
  <c r="G55" i="4" s="1"/>
  <c r="E58" i="4"/>
  <c r="E54" i="4"/>
  <c r="E53" i="4"/>
  <c r="F53" i="4" s="1"/>
  <c r="H53" i="4" s="1"/>
  <c r="E52" i="4"/>
  <c r="G52" i="4" s="1"/>
  <c r="E51" i="4"/>
  <c r="G51" i="4" s="1"/>
  <c r="E57" i="4"/>
  <c r="G56" i="4"/>
  <c r="F56" i="4"/>
  <c r="H56" i="4" s="1"/>
  <c r="F57" i="4" l="1"/>
  <c r="H57" i="4" s="1"/>
  <c r="G54" i="4"/>
  <c r="J54" i="4" s="1"/>
  <c r="J52" i="4"/>
  <c r="I52" i="4" s="1"/>
  <c r="G57" i="4"/>
  <c r="J51" i="4"/>
  <c r="I51" i="4" s="1"/>
  <c r="F54" i="4"/>
  <c r="H54" i="4" s="1"/>
  <c r="F51" i="4"/>
  <c r="H51" i="4" s="1"/>
  <c r="F58" i="4"/>
  <c r="H58" i="4" s="1"/>
  <c r="J55" i="4"/>
  <c r="I55" i="4" s="1"/>
  <c r="F52" i="4"/>
  <c r="H52" i="4" s="1"/>
  <c r="F55" i="4"/>
  <c r="H55" i="4" s="1"/>
  <c r="G58" i="4"/>
  <c r="J58" i="4" s="1"/>
  <c r="G53" i="4"/>
  <c r="J56" i="4"/>
  <c r="I56" i="4" s="1"/>
  <c r="I58" i="4" l="1"/>
  <c r="I54" i="4"/>
  <c r="J57" i="4"/>
  <c r="I57" i="4" s="1"/>
  <c r="J53" i="4"/>
  <c r="I5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" authorId="0" shapeId="0" xr:uid="{9691F692-4E2B-4254-8A9A-16C449AB7C2F}">
      <text>
        <r>
          <rPr>
            <sz val="9"/>
            <color indexed="81"/>
            <rFont val="Tahoma"/>
            <family val="2"/>
          </rPr>
          <t xml:space="preserve">Age must be &gt;=18
</t>
        </r>
      </text>
    </comment>
    <comment ref="B12" authorId="0" shapeId="0" xr:uid="{212B752C-9FE5-454D-88C1-93F2DBE35FBE}">
      <text>
        <r>
          <rPr>
            <b/>
            <sz val="9"/>
            <color indexed="81"/>
            <rFont val="Tahoma"/>
            <family val="2"/>
          </rPr>
          <t>Must be &gt;=5ft (60 in)</t>
        </r>
      </text>
    </comment>
    <comment ref="E16" authorId="0" shapeId="0" xr:uid="{C54CFF47-6CF2-4A1E-8E9B-664DB94E6FB7}">
      <text>
        <r>
          <rPr>
            <b/>
            <sz val="9"/>
            <color indexed="81"/>
            <rFont val="Tahoma"/>
            <family val="2"/>
          </rPr>
          <t xml:space="preserve">Suggested: Between 1-2 half-lives
Use 6,8,12,24,48, or 72
</t>
        </r>
      </text>
    </comment>
    <comment ref="B18" authorId="0" shapeId="0" xr:uid="{92E21FB1-D177-43F1-9CCE-C611D7E188E2}">
      <text>
        <r>
          <rPr>
            <sz val="9"/>
            <color indexed="81"/>
            <rFont val="Tahoma"/>
            <family val="2"/>
          </rPr>
          <t>Calculates CrCl using C-G equation, depending on selected weight
Factor of 0.85 if female.</t>
        </r>
      </text>
    </comment>
    <comment ref="B20" authorId="0" shapeId="0" xr:uid="{90CA4D1A-96A3-4D42-9F6D-AFFA79B72B8F}">
      <text>
        <r>
          <rPr>
            <b/>
            <sz val="9"/>
            <color indexed="81"/>
            <rFont val="Tahoma"/>
            <family val="2"/>
          </rPr>
          <t>Ambrose Method:</t>
        </r>
        <r>
          <rPr>
            <sz val="9"/>
            <color indexed="81"/>
            <rFont val="Tahoma"/>
            <family val="2"/>
          </rPr>
          <t xml:space="preserve">
V(L) = (0.17*age)+(0.22+TBW in kg)+15
Cl(L/hr) = CrCl * 0.06
</t>
        </r>
        <r>
          <rPr>
            <b/>
            <sz val="9"/>
            <color indexed="81"/>
            <rFont val="Tahoma"/>
            <family val="2"/>
          </rPr>
          <t>Bauer Method:</t>
        </r>
        <r>
          <rPr>
            <sz val="9"/>
            <color indexed="81"/>
            <rFont val="Tahoma"/>
            <family val="2"/>
          </rPr>
          <t xml:space="preserve">
V(L) = 0.7L/kg * TBW in kg
Cl(L/hr) = 0.75 * CrCl * 0.06
</t>
        </r>
        <r>
          <rPr>
            <b/>
            <sz val="9"/>
            <color indexed="81"/>
            <rFont val="Tahoma"/>
            <family val="2"/>
          </rPr>
          <t xml:space="preserve">
Matzeke Method:</t>
        </r>
        <r>
          <rPr>
            <sz val="9"/>
            <color indexed="81"/>
            <rFont val="Tahoma"/>
            <family val="2"/>
          </rPr>
          <t xml:space="preserve">
CrCL &lt;60: V(L) = 0.9L/kg*TBW in kg
CrCL &gt;=60: V(L) = 0.72L/kg*TBW in kg
Cl(L/hr) = (CrCL*0.678+3.66)*0.06
</t>
        </r>
      </text>
    </comment>
    <comment ref="B24" authorId="0" shapeId="0" xr:uid="{348200FC-E99B-41FD-A24E-1DAAFFF90086}">
      <text>
        <r>
          <rPr>
            <sz val="9"/>
            <color indexed="81"/>
            <rFont val="Tahoma"/>
            <family val="2"/>
          </rPr>
          <t>k (1/hr) = Cl/V</t>
        </r>
      </text>
    </comment>
    <comment ref="B25" authorId="0" shapeId="0" xr:uid="{F0114373-0DFE-4C4A-B7B2-E4E9C21BC16C}">
      <text>
        <r>
          <rPr>
            <sz val="9"/>
            <color indexed="81"/>
            <rFont val="Tahoma"/>
            <family val="2"/>
          </rPr>
          <t xml:space="preserve">Half-life (hr) = -ln(0.5)/k
</t>
        </r>
      </text>
    </comment>
    <comment ref="B34" authorId="0" shapeId="0" xr:uid="{45D44942-193F-4D2F-B6E9-BF086F7DC9B7}">
      <text>
        <r>
          <rPr>
            <sz val="9"/>
            <color indexed="81"/>
            <rFont val="Tahoma"/>
            <family val="2"/>
          </rPr>
          <t xml:space="preserve">True trough should be drawn near the end of the dosing interval, 30 min before next dose.
</t>
        </r>
      </text>
    </comment>
    <comment ref="E34" authorId="0" shapeId="0" xr:uid="{5EF1F1B8-3D83-48AD-BD8C-88196F51A3A3}">
      <text>
        <r>
          <rPr>
            <sz val="9"/>
            <color indexed="81"/>
            <rFont val="Tahoma"/>
            <family val="2"/>
          </rPr>
          <t>If dose needs to be adjusted, 
choose new tau based on 1-2x revised half-life (table 3) 
Use 6,8,12,24,48, or 72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799EA401-CC3E-489B-8039-7BE17EED7E1F}">
      <text>
        <r>
          <rPr>
            <b/>
            <sz val="9"/>
            <color indexed="81"/>
            <rFont val="Tahoma"/>
            <family val="2"/>
          </rPr>
          <t>Age must be &gt;=18</t>
        </r>
      </text>
    </comment>
    <comment ref="D15" authorId="0" shapeId="0" xr:uid="{8EAA0D8F-61A0-494B-B747-DAEA9142DF09}">
      <text>
        <r>
          <rPr>
            <b/>
            <sz val="9"/>
            <color indexed="81"/>
            <rFont val="Tahoma"/>
            <family val="2"/>
          </rPr>
          <t xml:space="preserve"> Obese patients: (ABW/IBW)&gt;=1.2 or 120% </t>
        </r>
      </text>
    </comment>
    <comment ref="E15" authorId="0" shapeId="0" xr:uid="{5E0B46A6-ADBF-4AB4-9031-038D7ED72BF0}">
      <text>
        <r>
          <rPr>
            <sz val="9"/>
            <color indexed="81"/>
            <rFont val="Tahoma"/>
            <family val="2"/>
          </rPr>
          <t xml:space="preserve">Ideal body Weight
Male
IBW(kg) = 50 + 2.3(height inches - 60)
Female
IBW(kg) = 45.5 + 2.3(height inches - 60)
 </t>
        </r>
      </text>
    </comment>
    <comment ref="G15" authorId="0" shapeId="0" xr:uid="{788D86E5-9BAB-43A0-B3AA-06859FF00A78}">
      <text>
        <r>
          <rPr>
            <sz val="9"/>
            <color indexed="81"/>
            <rFont val="Tahoma"/>
            <family val="2"/>
          </rPr>
          <t>Adjusted Body Weight
AdjBW(kg) = IBW + 0.4(Actual BW - IBW)</t>
        </r>
      </text>
    </comment>
    <comment ref="B17" authorId="0" shapeId="0" xr:uid="{F1ACDDF6-6C9B-4F4E-90B0-CC9E44290AFA}">
      <text>
        <r>
          <rPr>
            <b/>
            <sz val="9"/>
            <color indexed="81"/>
            <rFont val="Tahoma"/>
            <family val="2"/>
          </rPr>
          <t>Height must be over 5ft (60 in)</t>
        </r>
      </text>
    </comment>
    <comment ref="B20" authorId="0" shapeId="0" xr:uid="{EA0FD638-268A-4236-9B38-AC456A04BFA3}">
      <text>
        <r>
          <rPr>
            <sz val="9"/>
            <color indexed="81"/>
            <rFont val="Tahoma"/>
            <family val="2"/>
          </rPr>
          <t xml:space="preserve">For elderly &amp; malnourished: may underestimate CrCl
</t>
        </r>
      </text>
    </comment>
    <comment ref="E20" authorId="0" shapeId="0" xr:uid="{8BBC9394-1BF7-4A42-B399-63153E24EA65}">
      <text>
        <r>
          <rPr>
            <sz val="9"/>
            <color indexed="81"/>
            <rFont val="Tahoma"/>
            <family val="2"/>
          </rPr>
          <t xml:space="preserve">Target range: 400-600 mg*hr/L
</t>
        </r>
      </text>
    </comment>
    <comment ref="D21" authorId="0" shapeId="0" xr:uid="{0AFA7D51-98EC-450B-92A2-96F52D9AF960}">
      <text>
        <r>
          <rPr>
            <sz val="9"/>
            <color indexed="81"/>
            <rFont val="Tahoma"/>
            <family val="2"/>
          </rPr>
          <t xml:space="preserve">
Total Daily Dose (mg) = AUC * Cl
</t>
        </r>
      </text>
    </comment>
    <comment ref="E22" authorId="0" shapeId="0" xr:uid="{59C77F66-8E3C-4E52-B131-491C0C84A4C8}">
      <text>
        <r>
          <rPr>
            <sz val="9"/>
            <color indexed="81"/>
            <rFont val="Tahoma"/>
            <family val="2"/>
          </rPr>
          <t xml:space="preserve">For each dosing regimen, dose is rounded up and 
down to nearest multiple of 250mg
</t>
        </r>
      </text>
    </comment>
    <comment ref="H22" authorId="0" shapeId="0" xr:uid="{DD7E20A0-225A-47CA-98FE-0B0C389EB420}">
      <text>
        <r>
          <rPr>
            <sz val="9"/>
            <color indexed="81"/>
            <rFont val="Tahoma"/>
            <family val="2"/>
          </rPr>
          <t>AUC 24-hour (mg*h/L) = TDD/Cl
where
TDD (mg)is total daily dose, 
Cl (L/hr) is clearance of vanco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22" authorId="0" shapeId="0" xr:uid="{E100442F-059B-440C-8914-A8F873058860}">
      <text>
        <r>
          <rPr>
            <sz val="9"/>
            <color indexed="81"/>
            <rFont val="Tahoma"/>
            <family val="2"/>
          </rPr>
          <t xml:space="preserve">Estimates vancomycin trough based on estimated peak at steady state.
Css,max (mg/L) = Dose/(Cl * t) * (1-e^(-kt))/(1-e^(-ktau))
Estimated Trough (mg/L) = Css,max * e^(-k*(tau - t))
where 
t (hrs)= infusion time
tau (hrs)= dosing interval
</t>
        </r>
      </text>
    </comment>
    <comment ref="A24" authorId="0" shapeId="0" xr:uid="{BFFCDE20-CC4C-44DD-B462-BF5A213F0CD4}">
      <text>
        <r>
          <rPr>
            <sz val="9"/>
            <color indexed="81"/>
            <rFont val="Tahoma"/>
            <family val="2"/>
          </rPr>
          <t xml:space="preserve">Calculates CrCl using C-G equation, depending on selected weight
CrCL(ml/min) = (140-age) * BW/(72*SCr)
If female, x 0.85
</t>
        </r>
      </text>
    </comment>
    <comment ref="A25" authorId="0" shapeId="0" xr:uid="{1824B3E4-C2E4-40B8-8A0C-EBF75D864643}">
      <text>
        <r>
          <rPr>
            <sz val="9"/>
            <color indexed="81"/>
            <rFont val="Tahoma"/>
            <family val="2"/>
          </rPr>
          <t xml:space="preserve">Body Mass Index (BMI) used for VD.
BMI (kg/m^2) =TBW/(H*0.0254)^2
</t>
        </r>
      </text>
    </comment>
    <comment ref="A27" authorId="0" shapeId="0" xr:uid="{0DD422B4-FE17-4267-BE6A-3BFF420C88C8}">
      <text>
        <r>
          <rPr>
            <sz val="9"/>
            <color indexed="81"/>
            <rFont val="Tahoma"/>
            <family val="2"/>
          </rPr>
          <t xml:space="preserve">Clvanco (L/hr) = CrCl * 0.06
</t>
        </r>
      </text>
    </comment>
    <comment ref="A28" authorId="0" shapeId="0" xr:uid="{3A19FFB5-492A-4847-B767-61186E8772A9}">
      <text>
        <r>
          <rPr>
            <sz val="9"/>
            <color indexed="81"/>
            <rFont val="Tahoma"/>
            <family val="2"/>
          </rPr>
          <t xml:space="preserve">
Varies based on BMI.
For BMI &gt;=40: V(L) = 0.5*TBW
For BMI &lt;40: V(L) = 0.7*TBW</t>
        </r>
      </text>
    </comment>
    <comment ref="A29" authorId="0" shapeId="0" xr:uid="{9BB96E36-67FB-4E69-BEA0-5FB74DE982A4}">
      <text>
        <r>
          <rPr>
            <sz val="9"/>
            <color indexed="81"/>
            <rFont val="Tahoma"/>
            <family val="2"/>
          </rPr>
          <t>k of elimination (1/hr) = Cl/V</t>
        </r>
      </text>
    </comment>
    <comment ref="A30" authorId="0" shapeId="0" xr:uid="{C545142F-9394-432E-836C-71AE7E537A77}">
      <text>
        <r>
          <rPr>
            <sz val="9"/>
            <color indexed="81"/>
            <rFont val="Tahoma"/>
            <family val="2"/>
          </rPr>
          <t>Half-life (hr) = -ln(0.5)/k</t>
        </r>
      </text>
    </comment>
    <comment ref="E35" authorId="0" shapeId="0" xr:uid="{36C2332A-912B-4C31-A620-26BAFCBDCA68}">
      <text>
        <r>
          <rPr>
            <sz val="9"/>
            <color indexed="81"/>
            <rFont val="Tahoma"/>
            <family val="2"/>
          </rPr>
          <t xml:space="preserve">Calculates time of 1st-order vancomycin decay at steady state between peak and trough. Trough may be drawn before peak at steady state.
T (hr) = (time from previous most recent dose to trough) - (time from previous most recent dose to peak)
</t>
        </r>
      </text>
    </comment>
    <comment ref="E36" authorId="0" shapeId="0" xr:uid="{7FD8ACE6-F616-42AA-8E65-F9C746641C59}">
      <text>
        <r>
          <rPr>
            <sz val="9"/>
            <color indexed="81"/>
            <rFont val="Tahoma"/>
            <family val="2"/>
          </rPr>
          <t xml:space="preserve">Accounts for difference in time between end of most recent infusion and peak level.
t(hr) = (time of peak) - (infusion time) - (time of last infusion)
</t>
        </r>
      </text>
    </comment>
    <comment ref="E38" authorId="0" shapeId="0" xr:uid="{0D3C91BE-44D1-43E1-B63C-A92A87BE412C}">
      <text>
        <r>
          <rPr>
            <sz val="9"/>
            <color indexed="81"/>
            <rFont val="Tahoma"/>
            <family val="2"/>
          </rPr>
          <t xml:space="preserve">Extrapolates to the "true peak" at the end of infusion.
Est. True Peak (mg/L) = 
C/ e^(-kt),
where C is "peak" level,
t is time between "peak" and end of last infusion
</t>
        </r>
      </text>
    </comment>
    <comment ref="E39" authorId="0" shapeId="0" xr:uid="{69F01EC6-F074-4D8F-BF21-9A55D3C62E47}">
      <text>
        <r>
          <rPr>
            <sz val="9"/>
            <color indexed="81"/>
            <rFont val="Tahoma"/>
            <family val="2"/>
          </rPr>
          <t xml:space="preserve">Extrapolates to the "true trough" at the end of a dosing interval
Est. True Trough (mg/L) = C*e^(-kt),
where C is est. true peak,
t = dosing interval - infusion time
</t>
        </r>
      </text>
    </comment>
    <comment ref="B41" authorId="0" shapeId="0" xr:uid="{9EAA7DB5-7FED-49EE-88E9-AF43A57908F3}">
      <text>
        <r>
          <rPr>
            <sz val="9"/>
            <color indexed="81"/>
            <rFont val="Tahoma"/>
            <family val="2"/>
          </rPr>
          <t>Higher value of paired concentrations taken at steady-state.</t>
        </r>
      </text>
    </comment>
    <comment ref="E41" authorId="0" shapeId="0" xr:uid="{E1F74431-4E45-4FD5-B665-44510DE0CCEF}">
      <text>
        <r>
          <rPr>
            <sz val="9"/>
            <color indexed="81"/>
            <rFont val="Tahoma"/>
            <family val="2"/>
          </rPr>
          <t xml:space="preserve">Calculates trapezoidal AUC during infusion.
AUC inf (mg*hr/L) = (C1+C2) * t / 2
C1= true peak
C2 = true trough
t = infusion time
</t>
        </r>
      </text>
    </comment>
    <comment ref="B42" authorId="0" shapeId="0" xr:uid="{93FCB8FF-B8D7-4E6A-9807-8CE15CB3B48D}">
      <text>
        <r>
          <rPr>
            <sz val="9"/>
            <color indexed="81"/>
            <rFont val="Tahoma"/>
            <family val="2"/>
          </rPr>
          <t xml:space="preserve">Time of most recent dose given before "peak" concentration.
</t>
        </r>
      </text>
    </comment>
    <comment ref="E42" authorId="0" shapeId="0" xr:uid="{96B7667F-F5A3-498E-84FE-4FE1FD5274DF}">
      <text>
        <r>
          <rPr>
            <sz val="9"/>
            <color indexed="81"/>
            <rFont val="Tahoma"/>
            <family val="2"/>
          </rPr>
          <t xml:space="preserve">Calculates AUC of vancomycin between end of infusion and next dose. 
AUC of elim (mg*hr/L) =
(C1-C2) /k
C1= true peak
C2 = true trough
</t>
        </r>
      </text>
    </comment>
    <comment ref="B43" authorId="0" shapeId="0" xr:uid="{E774C32F-550F-41E2-B914-05FA930DD9D0}">
      <text>
        <r>
          <rPr>
            <sz val="9"/>
            <color indexed="81"/>
            <rFont val="Tahoma"/>
            <family val="2"/>
          </rPr>
          <t xml:space="preserve">Lower value of paired concentrations taken at steady-state.
</t>
        </r>
      </text>
    </comment>
    <comment ref="E43" authorId="0" shapeId="0" xr:uid="{21345D4A-AE4C-46BD-B229-3DBE30DFE072}">
      <text>
        <r>
          <rPr>
            <b/>
            <sz val="9"/>
            <color indexed="81"/>
            <rFont val="Tahoma"/>
            <family val="2"/>
          </rPr>
          <t xml:space="preserve">**NOTE**
Sawchuk-Zaske Method will slighly underestimate AUC
</t>
        </r>
        <r>
          <rPr>
            <sz val="9"/>
            <color indexed="81"/>
            <rFont val="Tahoma"/>
            <family val="2"/>
          </rPr>
          <t xml:space="preserve">
AUC of infusion for 1st-order, 1-compartmental decay over 24 hours.</t>
        </r>
      </text>
    </comment>
    <comment ref="B44" authorId="0" shapeId="0" xr:uid="{E991C5EF-7ACC-478C-B9B5-F008410DFF77}">
      <text>
        <r>
          <rPr>
            <sz val="9"/>
            <color indexed="81"/>
            <rFont val="Tahoma"/>
            <family val="2"/>
          </rPr>
          <t xml:space="preserve">Time of most recent dose given before "peak" concentration.
</t>
        </r>
      </text>
    </comment>
    <comment ref="B48" authorId="0" shapeId="0" xr:uid="{F8A5F27E-4746-4096-8BD9-856914B43983}">
      <text>
        <r>
          <rPr>
            <sz val="9"/>
            <color indexed="81"/>
            <rFont val="Tahoma"/>
            <family val="2"/>
          </rPr>
          <t xml:space="preserve">Revised k (1/hr) = ln(C2/C1)/t,
where t is time from "peak" to "trough",
C2 is "trough",
C1 is "peak" 
</t>
        </r>
      </text>
    </comment>
    <comment ref="E48" authorId="0" shapeId="0" xr:uid="{05110646-A3B2-4349-A933-0B076B923443}">
      <text>
        <r>
          <rPr>
            <sz val="9"/>
            <color indexed="81"/>
            <rFont val="Tahoma"/>
            <family val="2"/>
          </rPr>
          <t>Target range: 400-600 mg*hr/L
**</t>
        </r>
        <r>
          <rPr>
            <b/>
            <sz val="9"/>
            <color indexed="81"/>
            <rFont val="Tahoma"/>
            <family val="2"/>
          </rPr>
          <t>Sawchuk-Zaske method slightly underestimates AUC, not recommended to target 600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 xr:uid="{53D7E008-A3E5-4DCD-AC7C-1132E8C21C4A}">
      <text>
        <r>
          <rPr>
            <sz val="9"/>
            <color indexed="81"/>
            <rFont val="Tahoma"/>
            <family val="2"/>
          </rPr>
          <t xml:space="preserve">Revised Cl(L/hr)=
TDD(mg)/24-hr AUC
</t>
        </r>
        <r>
          <rPr>
            <b/>
            <sz val="9"/>
            <color indexed="81"/>
            <rFont val="Tahoma"/>
            <family val="2"/>
          </rPr>
          <t>**NOTE**</t>
        </r>
        <r>
          <rPr>
            <sz val="9"/>
            <color indexed="81"/>
            <rFont val="Tahoma"/>
            <family val="2"/>
          </rPr>
          <t xml:space="preserve">
For Sawchuk-Sazke Method, AUC(0-24) is slightly underestimated. Clearance is slightly overestimated.
</t>
        </r>
      </text>
    </comment>
    <comment ref="D49" authorId="0" shapeId="0" xr:uid="{E3B06DA8-057F-4B25-AFC5-B6BF007F6BDC}">
      <text>
        <r>
          <rPr>
            <sz val="9"/>
            <color indexed="81"/>
            <rFont val="Tahoma"/>
            <family val="2"/>
          </rPr>
          <t xml:space="preserve">Revised Total Daily Dose (mg) = 24-hour AUC * Revised Cl
</t>
        </r>
      </text>
    </comment>
    <comment ref="B50" authorId="0" shapeId="0" xr:uid="{ABC1DB74-22EE-4BFB-9F0E-93D1442F8712}">
      <text>
        <r>
          <rPr>
            <sz val="9"/>
            <color indexed="81"/>
            <rFont val="Tahoma"/>
            <family val="2"/>
          </rPr>
          <t xml:space="preserve">Revised V(L) = 
revised k/ revised Cl
</t>
        </r>
      </text>
    </comment>
    <comment ref="E50" authorId="0" shapeId="0" xr:uid="{5393F777-44BF-4C7E-B998-886645DDEC79}">
      <text>
        <r>
          <rPr>
            <sz val="9"/>
            <color indexed="81"/>
            <rFont val="Tahoma"/>
            <family val="2"/>
          </rPr>
          <t xml:space="preserve">For each dosing regimen, dose is rounded up and 
down to nearest multiple of 250mg
</t>
        </r>
      </text>
    </comment>
    <comment ref="H50" authorId="0" shapeId="0" xr:uid="{217B5A84-5902-4FB9-9044-EF252387AE09}">
      <text>
        <r>
          <rPr>
            <sz val="9"/>
            <color indexed="81"/>
            <rFont val="Tahoma"/>
            <family val="2"/>
          </rPr>
          <t xml:space="preserve">AUC 24-hour (mg*h/L) = TDD/Cl
where
TDD (mg)is total daily dose, 
Cl (L/hr) is clearance of vanco
</t>
        </r>
      </text>
    </comment>
    <comment ref="I50" authorId="0" shapeId="0" xr:uid="{0EA2C138-BE29-47AF-95FD-DAB5BFC88D1E}">
      <text>
        <r>
          <rPr>
            <sz val="9"/>
            <color indexed="81"/>
            <rFont val="Tahoma"/>
            <family val="2"/>
          </rPr>
          <t>Estimates vancomycin trough based on estimated peak at steady state.
Css,max (mg/L) = Dose/(Cl * t) * (1-e^(-kt))/(1-e^(-ktau))
Estimated Trough (mg/L) = Css,max * e^(-k*(tau - t))
where 
t (hrs)= infusion time
tau (hrs)= dosing interval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 shapeId="0" xr:uid="{B1754354-2782-4929-A7B8-C215B2A74347}">
      <text>
        <r>
          <rPr>
            <sz val="9"/>
            <color indexed="81"/>
            <rFont val="Tahoma"/>
            <family val="2"/>
          </rPr>
          <t xml:space="preserve">Half-life (hr) = -ln(0.5)/
</t>
        </r>
      </text>
    </comment>
  </commentList>
</comments>
</file>

<file path=xl/sharedStrings.xml><?xml version="1.0" encoding="utf-8"?>
<sst xmlns="http://schemas.openxmlformats.org/spreadsheetml/2006/main" count="163" uniqueCount="111">
  <si>
    <t>INITIAL DOSING</t>
  </si>
  <si>
    <t>Age (yr)</t>
  </si>
  <si>
    <t>Sex (M or F)</t>
  </si>
  <si>
    <t>Height (in)</t>
  </si>
  <si>
    <t>Weight (kg)</t>
  </si>
  <si>
    <t>SCr (mg/dL)</t>
  </si>
  <si>
    <t>Round SCr to 1? (Y or N)</t>
  </si>
  <si>
    <t>CrCL (mL/min)</t>
  </si>
  <si>
    <t>Hidden Calculations</t>
  </si>
  <si>
    <t>Clearance (L/hr)</t>
  </si>
  <si>
    <t>VAPA Vancomycin Infusion Times</t>
  </si>
  <si>
    <t>Dose (mg)</t>
  </si>
  <si>
    <t>RESULTS</t>
  </si>
  <si>
    <t>SUGGESTED REGIMENS</t>
  </si>
  <si>
    <t>Q6H</t>
  </si>
  <si>
    <t>Q8H</t>
  </si>
  <si>
    <t>Q12H</t>
  </si>
  <si>
    <t>Q24H</t>
  </si>
  <si>
    <t>TDD (mg)</t>
  </si>
  <si>
    <t>Est. AUC (mg*hr/L)</t>
  </si>
  <si>
    <t>CALCULATIONS</t>
  </si>
  <si>
    <r>
      <t>k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(1/hr)</t>
    </r>
  </si>
  <si>
    <r>
      <t>t</t>
    </r>
    <r>
      <rPr>
        <vertAlign val="sub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(hr)</t>
    </r>
  </si>
  <si>
    <t>Current Dose (mg)</t>
  </si>
  <si>
    <t>Dosing Interval (hr)</t>
  </si>
  <si>
    <t>Infusion time (hr)</t>
  </si>
  <si>
    <t>Time (MM/DD HH:MM)</t>
  </si>
  <si>
    <t>REVISED PATIENT VANCO PK</t>
  </si>
  <si>
    <t>BMI (kg/m2)</t>
  </si>
  <si>
    <t>CrCL (IBW)</t>
  </si>
  <si>
    <t>CrCL (ABW)</t>
  </si>
  <si>
    <t>CrCL (adj BW)</t>
  </si>
  <si>
    <r>
      <t>Target AUC</t>
    </r>
    <r>
      <rPr>
        <vertAlign val="subscript"/>
        <sz val="11"/>
        <color theme="1"/>
        <rFont val="Calibri"/>
        <family val="2"/>
        <scheme val="minor"/>
      </rPr>
      <t>0-24</t>
    </r>
    <r>
      <rPr>
        <sz val="11"/>
        <color theme="1"/>
        <rFont val="Calibri"/>
        <family val="2"/>
        <scheme val="minor"/>
      </rPr>
      <t xml:space="preserve"> (mg*hr/L)</t>
    </r>
  </si>
  <si>
    <t>Infusion (min)</t>
  </si>
  <si>
    <t>Infusion Time (min)</t>
  </si>
  <si>
    <t>IBW (kg)</t>
  </si>
  <si>
    <t>Act BW(kg)</t>
  </si>
  <si>
    <t>Adj BW(kg)</t>
  </si>
  <si>
    <r>
      <t>Volume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(L)</t>
    </r>
  </si>
  <si>
    <r>
      <t>C</t>
    </r>
    <r>
      <rPr>
        <vertAlign val="subscript"/>
        <sz val="11"/>
        <color theme="1"/>
        <rFont val="Calibri"/>
        <family val="2"/>
        <scheme val="minor"/>
      </rPr>
      <t>Vanco</t>
    </r>
    <r>
      <rPr>
        <sz val="11"/>
        <color theme="1"/>
        <rFont val="Calibri"/>
        <family val="2"/>
        <scheme val="minor"/>
      </rPr>
      <t xml:space="preserve"> (mg/L)</t>
    </r>
  </si>
  <si>
    <t>Est. True Peak (mg/L)</t>
  </si>
  <si>
    <t>Est. True Trough (mg/L)</t>
  </si>
  <si>
    <t xml:space="preserve"> </t>
  </si>
  <si>
    <r>
      <t>Revised k</t>
    </r>
    <r>
      <rPr>
        <vertAlign val="subscript"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>(1/hr)</t>
    </r>
  </si>
  <si>
    <r>
      <t>Revised Cl</t>
    </r>
    <r>
      <rPr>
        <vertAlign val="subscript"/>
        <sz val="11"/>
        <color theme="1"/>
        <rFont val="Calibri"/>
        <family val="2"/>
        <scheme val="minor"/>
      </rPr>
      <t>vanco</t>
    </r>
    <r>
      <rPr>
        <sz val="11"/>
        <color theme="1"/>
        <rFont val="Calibri"/>
        <family val="2"/>
        <scheme val="minor"/>
      </rPr>
      <t xml:space="preserve"> (L/hr)</t>
    </r>
  </si>
  <si>
    <r>
      <t>Revised t</t>
    </r>
    <r>
      <rPr>
        <vertAlign val="sub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(hr)</t>
    </r>
  </si>
  <si>
    <r>
      <t>Revised 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(L)</t>
    </r>
  </si>
  <si>
    <t>AUC REVISION DOSING (Sawchuk-Zaske Method)</t>
  </si>
  <si>
    <t>CrCl (mL/min)</t>
  </si>
  <si>
    <t>INSTRUCTIONS</t>
  </si>
  <si>
    <t>"Peak" Vanco</t>
  </si>
  <si>
    <t>"Trough" Vanco</t>
  </si>
  <si>
    <t xml:space="preserve">     Admin time before "peak"</t>
  </si>
  <si>
    <t xml:space="preserve">     Admin time before "trough"</t>
  </si>
  <si>
    <t>Time diff (hr)
"Peak" and "Trough"</t>
  </si>
  <si>
    <t>Time diff (hr)
End of last infusion and "peak"</t>
  </si>
  <si>
    <t>Est. Total Daily Dose (mg)</t>
  </si>
  <si>
    <t>Revised Total Daily Dose (mg)</t>
  </si>
  <si>
    <t>VAPA VANCOMYCIN TROUGH-BASED CALCULATOR</t>
  </si>
  <si>
    <t>VAPA VANCOMYCIN AUC-BASED CALCULATOR</t>
  </si>
  <si>
    <t>Est. Css Max</t>
  </si>
  <si>
    <t>Estimated Cmax</t>
  </si>
  <si>
    <t>1. PATIENT INPUT DATA</t>
  </si>
  <si>
    <t>2. PATIENT WEIGHT</t>
  </si>
  <si>
    <t>1. CURRENT REGIMEN</t>
  </si>
  <si>
    <t>2. VANCOMYCIN LEVELS</t>
  </si>
  <si>
    <t>Target Trough (mg/L)</t>
  </si>
  <si>
    <t>Chosen Dosing Interval (hr)</t>
  </si>
  <si>
    <t>Initial Maintenance Regimen</t>
  </si>
  <si>
    <t xml:space="preserve">Suggested Loading Dose </t>
  </si>
  <si>
    <t>TROUGH REVISION DOSING</t>
  </si>
  <si>
    <t>Dose Calculations</t>
  </si>
  <si>
    <t>Vanco Dose</t>
  </si>
  <si>
    <t>Trough Range</t>
  </si>
  <si>
    <t xml:space="preserve">Act BW/IBW </t>
  </si>
  <si>
    <t>Act BW/IBW Ratio</t>
  </si>
  <si>
    <t>Est. Trough (mg/L)</t>
  </si>
  <si>
    <r>
      <t>Est. Trough/Cp</t>
    </r>
    <r>
      <rPr>
        <vertAlign val="subscript"/>
        <sz val="16"/>
        <color theme="1"/>
        <rFont val="Calibri"/>
        <family val="2"/>
        <scheme val="minor"/>
      </rPr>
      <t>min</t>
    </r>
    <r>
      <rPr>
        <sz val="16"/>
        <color theme="1"/>
        <rFont val="Calibri"/>
        <family val="2"/>
        <scheme val="minor"/>
      </rPr>
      <t xml:space="preserve"> (mg/L)</t>
    </r>
  </si>
  <si>
    <r>
      <t>Trough C</t>
    </r>
    <r>
      <rPr>
        <vertAlign val="subscript"/>
        <sz val="11"/>
        <color theme="1"/>
        <rFont val="Calibri"/>
        <family val="2"/>
        <scheme val="minor"/>
      </rPr>
      <t>Vanco</t>
    </r>
    <r>
      <rPr>
        <sz val="11"/>
        <color theme="1"/>
        <rFont val="Calibri"/>
        <family val="2"/>
        <scheme val="minor"/>
      </rPr>
      <t xml:space="preserve"> (mg/L)</t>
    </r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</si>
  <si>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(L)</t>
    </r>
  </si>
  <si>
    <r>
      <t>Est. Trough/Cp</t>
    </r>
    <r>
      <rPr>
        <vertAlign val="subscript"/>
        <sz val="14"/>
        <color theme="1"/>
        <rFont val="Calibri"/>
        <family val="2"/>
        <scheme val="minor"/>
      </rPr>
      <t>min</t>
    </r>
    <r>
      <rPr>
        <sz val="14"/>
        <color theme="1"/>
        <rFont val="Calibri"/>
        <family val="2"/>
        <scheme val="minor"/>
      </rPr>
      <t xml:space="preserve"> (mg/L)</t>
    </r>
  </si>
  <si>
    <t>PATIENT VANCO PK</t>
  </si>
  <si>
    <t>Revised kel (1/hr)</t>
  </si>
  <si>
    <t>Est. Vanco AUC0-24 (mg*hr/L)</t>
  </si>
  <si>
    <r>
      <t>Est. AUC</t>
    </r>
    <r>
      <rPr>
        <vertAlign val="subscript"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(mg*hr/L)</t>
    </r>
  </si>
  <si>
    <r>
      <t>Est. AUC</t>
    </r>
    <r>
      <rPr>
        <vertAlign val="subscript"/>
        <sz val="11"/>
        <color theme="1"/>
        <rFont val="Calibri"/>
        <family val="2"/>
        <scheme val="minor"/>
      </rPr>
      <t>elim</t>
    </r>
    <r>
      <rPr>
        <sz val="11"/>
        <color theme="1"/>
        <rFont val="Calibri"/>
        <family val="2"/>
        <scheme val="minor"/>
      </rPr>
      <t xml:space="preserve"> (mg*hr/L)</t>
    </r>
  </si>
  <si>
    <r>
      <t>Current Vanco AUC</t>
    </r>
    <r>
      <rPr>
        <vertAlign val="subscript"/>
        <sz val="11"/>
        <color theme="1"/>
        <rFont val="Calibri"/>
        <family val="2"/>
        <scheme val="minor"/>
      </rPr>
      <t>0-24</t>
    </r>
    <r>
      <rPr>
        <sz val="11"/>
        <color theme="1"/>
        <rFont val="Calibri"/>
        <family val="2"/>
        <scheme val="minor"/>
      </rPr>
      <t xml:space="preserve"> (mg*hr/L)</t>
    </r>
  </si>
  <si>
    <r>
      <t>Cp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(mg/L)</t>
    </r>
  </si>
  <si>
    <t>2. STEADY STATE VANCOMYCIN LEVEL</t>
  </si>
  <si>
    <t>3. PATIENT VANCO PK</t>
  </si>
  <si>
    <t>4. VANCOMYCIN REGIMEN</t>
  </si>
  <si>
    <t>New Dosing Interval (hr)</t>
  </si>
  <si>
    <t>Revised Maintenance Regimen</t>
  </si>
  <si>
    <t>4. REVISED VANCOMYCIN REGIMEN</t>
  </si>
  <si>
    <t>Population Kinetics</t>
  </si>
  <si>
    <t>Ambrose V</t>
  </si>
  <si>
    <t>Ambrose Cl</t>
  </si>
  <si>
    <t>Bauer V</t>
  </si>
  <si>
    <t>Bauer CL</t>
  </si>
  <si>
    <t>Matzke V</t>
  </si>
  <si>
    <t>Matzke Cl</t>
  </si>
  <si>
    <t>PATIENT VARIABLES</t>
  </si>
  <si>
    <r>
      <t>Est. AUC</t>
    </r>
    <r>
      <rPr>
        <vertAlign val="subscript"/>
        <sz val="16"/>
        <color theme="1"/>
        <rFont val="Calibri"/>
        <family val="2"/>
        <scheme val="minor"/>
      </rPr>
      <t>24</t>
    </r>
    <r>
      <rPr>
        <sz val="16"/>
        <color theme="1"/>
        <rFont val="Calibri"/>
        <family val="2"/>
        <scheme val="minor"/>
      </rPr>
      <t xml:space="preserve"> (mg*h/L)</t>
    </r>
  </si>
  <si>
    <t>RESULTS BOX</t>
  </si>
  <si>
    <r>
      <rPr>
        <u/>
        <sz val="11"/>
        <color theme="0"/>
        <rFont val="Calibri"/>
        <family val="2"/>
        <scheme val="minor"/>
      </rPr>
      <t>BOX 1</t>
    </r>
    <r>
      <rPr>
        <sz val="11"/>
        <color theme="0"/>
        <rFont val="Calibri"/>
        <family val="2"/>
        <scheme val="minor"/>
      </rPr>
      <t xml:space="preserve">
Enter age, sex, height, weight, and serum creatinine levels 
     -Age must be &gt;=18 yr
     -Height must be &gt;=60 in
     -*Option to round SCr to 1 (may underestimate CrCl in elderly, malnourished, and those with low muscle mass</t>
    </r>
  </si>
  <si>
    <r>
      <rPr>
        <u/>
        <sz val="11"/>
        <color theme="0"/>
        <rFont val="Calibri"/>
        <family val="2"/>
        <scheme val="minor"/>
      </rPr>
      <t>BOX 2</t>
    </r>
    <r>
      <rPr>
        <sz val="11"/>
        <color theme="0"/>
        <rFont val="Calibri"/>
        <family val="2"/>
        <scheme val="minor"/>
      </rPr>
      <t xml:space="preserve">
Options to use ideal (IBW), actual (ActBW), or adjusted body weights (AdjBW).
If ActBW:IBW ratio &gt;=1.2 or 120%, AdjBW is calculated.</t>
    </r>
  </si>
  <si>
    <t>Enter the target 24-hour AUC (ref range 400-600 mg*h/L)
Displays suggested vancomycin regimens based on target AUC and patient PK data
     -Options include Q6, Q8, Q12, and Q24 hour dosing   intervals
     -For each dosing interval, dose is rounded up and down to nearest 250mg
     -Infusion times are automatically updated (see Reference page)
     -Est. AUC(mg*h/L): 400-600 ref range
     -Est. Trough(mg/L): 10-20 ref range</t>
  </si>
  <si>
    <r>
      <t xml:space="preserve">Revises k of elimination, clearance, half-life and estimates AUC over 
a 24 hour period using the Sawchuck-Zaske Method
     **Paired vancomycin levels should be drawn at steady state
     **The trough may be drawn before the peak
</t>
    </r>
    <r>
      <rPr>
        <u/>
        <sz val="11"/>
        <color theme="0"/>
        <rFont val="Calibri"/>
        <family val="2"/>
        <scheme val="minor"/>
      </rPr>
      <t>BOX 1</t>
    </r>
    <r>
      <rPr>
        <sz val="11"/>
        <color theme="0"/>
        <rFont val="Calibri"/>
        <family val="2"/>
        <scheme val="minor"/>
      </rPr>
      <t xml:space="preserve">
Enter the current vancomycin regimen and dose.
Infusion time auto-populates
</t>
    </r>
    <r>
      <rPr>
        <u/>
        <sz val="11"/>
        <color theme="0"/>
        <rFont val="Calibri"/>
        <family val="2"/>
        <scheme val="minor"/>
      </rPr>
      <t>BOX 2</t>
    </r>
    <r>
      <rPr>
        <sz val="11"/>
        <color theme="0"/>
        <rFont val="Calibri"/>
        <family val="2"/>
        <scheme val="minor"/>
      </rPr>
      <t xml:space="preserve">
Enter paired vancomycin levels.
Higher level or "peak"
     -enter date, time, concentration
     -enter most RECENT administration time BEFORE peak
Lower level or "trough"
    -enter date, time, concentration
    -  -enter most RECENT administration time BEFORE trough
</t>
    </r>
    <r>
      <rPr>
        <u/>
        <sz val="11"/>
        <color theme="0"/>
        <rFont val="Calibri"/>
        <family val="2"/>
        <scheme val="minor"/>
      </rPr>
      <t>RESULTS BOX</t>
    </r>
    <r>
      <rPr>
        <sz val="11"/>
        <color theme="0"/>
        <rFont val="Calibri"/>
        <family val="2"/>
        <scheme val="minor"/>
      </rPr>
      <t xml:space="preserve">
Enter the target 24-hour AUC (ref range 400-600 mg*h/L)
Displays vancomycin regimens based on target AUC at steady-state 
and revised patient's vancomycin kinetics     
-Options include Q6, Q8, Q12, and Q24 hour dosing   intervals
     -For each dosing interval, dose is rounded up and down to nearest 
       250mg
     -Infusion times are automatically updated (see Reference page)
     -Est. AUC(mg*h/L): 400-600 ref range
     -Est. Trough(mg/L): 10-20 ref range</t>
    </r>
  </si>
  <si>
    <t>AUC REVISION DOSING</t>
  </si>
  <si>
    <r>
      <t xml:space="preserve">Hover over comments for more information
</t>
    </r>
    <r>
      <rPr>
        <u/>
        <sz val="11"/>
        <color theme="0"/>
        <rFont val="Calibri"/>
        <family val="2"/>
        <scheme val="minor"/>
      </rPr>
      <t xml:space="preserve">SPECIAL CONSIDERATIONS
</t>
    </r>
    <r>
      <rPr>
        <sz val="11"/>
        <color theme="0"/>
        <rFont val="Calibri"/>
        <family val="2"/>
        <scheme val="minor"/>
      </rPr>
      <t>Before using this calculator, consider:
-potential drug interactions
-special populations: elderly, malnourished, amputees, pregnancy
-Do not use for: meningitis, AKI, fluctuating renal function, any renal replacement therapy</t>
    </r>
    <r>
      <rPr>
        <u/>
        <sz val="11"/>
        <color theme="0"/>
        <rFont val="Calibri"/>
        <family val="2"/>
        <scheme val="minor"/>
      </rPr>
      <t xml:space="preserve">
COLOR SCHEME</t>
    </r>
    <r>
      <rPr>
        <sz val="11"/>
        <color theme="0"/>
        <rFont val="Calibri"/>
        <family val="2"/>
        <scheme val="minor"/>
      </rPr>
      <t xml:space="preserve">
     YELLOW: user input
     PURPLE: important calculations eg. Half-life
     GREEN: in reference range
     RED: out of reference range
</t>
    </r>
    <r>
      <rPr>
        <u/>
        <sz val="11"/>
        <color theme="0"/>
        <rFont val="Calibri"/>
        <family val="2"/>
        <scheme val="minor"/>
      </rPr>
      <t>REFERENCES</t>
    </r>
    <r>
      <rPr>
        <sz val="11"/>
        <color theme="0"/>
        <rFont val="Calibri"/>
        <family val="2"/>
        <scheme val="minor"/>
      </rPr>
      <t xml:space="preserve">
1) Vancomycin AUC Reference Sheet, VA Palo Alto Pharmacy
2)  SHC Vancomycin Dosing Guide, Stanford Health Care</t>
    </r>
  </si>
  <si>
    <t>Created by: Michael Luo, PharmD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</si>
</sst>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;;;"/>
    <numFmt numFmtId="166" formatCode="mm/dd\ hh:mm"/>
  </numFmts>
  <fonts count="2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A0FE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4" tint="0.499984740745262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theme="4" tint="0.499984740745262"/>
      </bottom>
      <diagonal/>
    </border>
    <border>
      <left/>
      <right/>
      <top style="thick">
        <color rgb="FFFF0000"/>
      </top>
      <bottom style="thick">
        <color theme="4" tint="0.499984740745262"/>
      </bottom>
      <diagonal/>
    </border>
    <border>
      <left/>
      <right style="thick">
        <color rgb="FFFF0000"/>
      </right>
      <top style="thick">
        <color rgb="FFFF0000"/>
      </top>
      <bottom style="thick">
        <color theme="4" tint="0.499984740745262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/>
      <bottom style="thin">
        <color theme="3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33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/>
      <bottom style="thick">
        <color rgb="FFFF0000"/>
      </bottom>
      <diagonal/>
    </border>
    <border>
      <left/>
      <right/>
      <top/>
      <bottom style="double">
        <color theme="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double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0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3" borderId="0" xfId="0" applyFill="1"/>
    <xf numFmtId="0" fontId="0" fillId="0" borderId="6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4" xfId="0" applyBorder="1"/>
    <xf numFmtId="0" fontId="3" fillId="0" borderId="15" xfId="0" applyFont="1" applyBorder="1"/>
    <xf numFmtId="0" fontId="0" fillId="5" borderId="3" xfId="0" applyFill="1" applyBorder="1"/>
    <xf numFmtId="0" fontId="0" fillId="6" borderId="0" xfId="0" applyFill="1"/>
    <xf numFmtId="0" fontId="0" fillId="0" borderId="16" xfId="0" applyBorder="1"/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/>
    <xf numFmtId="0" fontId="0" fillId="5" borderId="11" xfId="0" applyFill="1" applyBorder="1"/>
    <xf numFmtId="2" fontId="0" fillId="7" borderId="3" xfId="0" applyNumberFormat="1" applyFill="1" applyBorder="1"/>
    <xf numFmtId="165" fontId="0" fillId="0" borderId="0" xfId="0" applyNumberFormat="1"/>
    <xf numFmtId="165" fontId="0" fillId="5" borderId="9" xfId="0" applyNumberFormat="1" applyFill="1" applyBorder="1"/>
    <xf numFmtId="0" fontId="3" fillId="8" borderId="16" xfId="0" applyFont="1" applyFill="1" applyBorder="1"/>
    <xf numFmtId="1" fontId="0" fillId="4" borderId="12" xfId="0" applyNumberFormat="1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1" fontId="0" fillId="3" borderId="0" xfId="0" applyNumberFormat="1" applyFill="1"/>
    <xf numFmtId="0" fontId="0" fillId="5" borderId="14" xfId="0" applyFill="1" applyBorder="1"/>
    <xf numFmtId="0" fontId="0" fillId="0" borderId="0" xfId="0" applyAlignment="1">
      <alignment horizontal="center"/>
    </xf>
    <xf numFmtId="166" fontId="0" fillId="5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3" fillId="8" borderId="15" xfId="0" applyFont="1" applyFill="1" applyBorder="1"/>
    <xf numFmtId="0" fontId="0" fillId="8" borderId="15" xfId="0" applyFill="1" applyBorder="1"/>
    <xf numFmtId="1" fontId="0" fillId="5" borderId="3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24" xfId="0" applyFont="1" applyFill="1" applyBorder="1"/>
    <xf numFmtId="0" fontId="0" fillId="4" borderId="30" xfId="0" applyFill="1" applyBorder="1" applyAlignment="1">
      <alignment horizontal="center" vertical="top"/>
    </xf>
    <xf numFmtId="1" fontId="0" fillId="4" borderId="30" xfId="0" applyNumberFormat="1" applyFill="1" applyBorder="1" applyAlignment="1">
      <alignment horizontal="center" vertical="top"/>
    </xf>
    <xf numFmtId="0" fontId="0" fillId="0" borderId="34" xfId="0" applyBorder="1"/>
    <xf numFmtId="0" fontId="0" fillId="0" borderId="27" xfId="0" applyBorder="1"/>
    <xf numFmtId="0" fontId="0" fillId="0" borderId="22" xfId="0" applyBorder="1"/>
    <xf numFmtId="0" fontId="0" fillId="0" borderId="23" xfId="0" applyBorder="1"/>
    <xf numFmtId="0" fontId="3" fillId="4" borderId="24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5" borderId="14" xfId="0" applyFill="1" applyBorder="1" applyAlignment="1">
      <alignment horizontal="right"/>
    </xf>
    <xf numFmtId="165" fontId="0" fillId="5" borderId="3" xfId="0" applyNumberFormat="1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8" borderId="15" xfId="0" applyFill="1" applyBorder="1" applyAlignment="1">
      <alignment horizontal="center"/>
    </xf>
    <xf numFmtId="0" fontId="0" fillId="6" borderId="35" xfId="0" applyFill="1" applyBorder="1"/>
    <xf numFmtId="0" fontId="0" fillId="6" borderId="22" xfId="0" applyFill="1" applyBorder="1"/>
    <xf numFmtId="1" fontId="14" fillId="5" borderId="36" xfId="0" applyNumberFormat="1" applyFont="1" applyFill="1" applyBorder="1" applyAlignment="1">
      <alignment horizontal="right" vertical="center"/>
    </xf>
    <xf numFmtId="2" fontId="0" fillId="5" borderId="3" xfId="0" applyNumberForma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15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0" fontId="0" fillId="2" borderId="40" xfId="0" applyFill="1" applyBorder="1"/>
    <xf numFmtId="0" fontId="0" fillId="2" borderId="0" xfId="0" applyFill="1"/>
    <xf numFmtId="0" fontId="0" fillId="2" borderId="41" xfId="0" applyFill="1" applyBorder="1"/>
    <xf numFmtId="0" fontId="0" fillId="6" borderId="40" xfId="0" applyFill="1" applyBorder="1"/>
    <xf numFmtId="0" fontId="0" fillId="6" borderId="41" xfId="0" applyFill="1" applyBorder="1"/>
    <xf numFmtId="0" fontId="0" fillId="0" borderId="40" xfId="0" applyBorder="1"/>
    <xf numFmtId="0" fontId="0" fillId="0" borderId="45" xfId="0" applyBorder="1"/>
    <xf numFmtId="0" fontId="3" fillId="8" borderId="44" xfId="0" applyFont="1" applyFill="1" applyBorder="1"/>
    <xf numFmtId="1" fontId="5" fillId="0" borderId="18" xfId="0" applyNumberFormat="1" applyFont="1" applyBorder="1" applyAlignment="1">
      <alignment horizontal="center" vertical="center"/>
    </xf>
    <xf numFmtId="0" fontId="11" fillId="0" borderId="0" xfId="0" applyFont="1"/>
    <xf numFmtId="0" fontId="0" fillId="0" borderId="41" xfId="0" applyBorder="1"/>
    <xf numFmtId="0" fontId="3" fillId="4" borderId="3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0" fillId="4" borderId="16" xfId="0" applyFill="1" applyBorder="1" applyAlignment="1">
      <alignment horizontal="center" vertical="top"/>
    </xf>
    <xf numFmtId="1" fontId="0" fillId="4" borderId="50" xfId="0" applyNumberForma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/>
    </xf>
    <xf numFmtId="1" fontId="0" fillId="4" borderId="3" xfId="0" applyNumberFormat="1" applyFill="1" applyBorder="1" applyAlignment="1">
      <alignment horizontal="center" vertical="top"/>
    </xf>
    <xf numFmtId="0" fontId="3" fillId="4" borderId="52" xfId="0" applyFont="1" applyFill="1" applyBorder="1" applyAlignment="1">
      <alignment horizontal="center"/>
    </xf>
    <xf numFmtId="2" fontId="0" fillId="4" borderId="52" xfId="0" applyNumberFormat="1" applyFill="1" applyBorder="1" applyAlignment="1">
      <alignment horizontal="center"/>
    </xf>
    <xf numFmtId="2" fontId="0" fillId="4" borderId="53" xfId="0" applyNumberFormat="1" applyFill="1" applyBorder="1" applyAlignment="1">
      <alignment horizontal="center"/>
    </xf>
    <xf numFmtId="2" fontId="0" fillId="4" borderId="51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12" xfId="0" applyBorder="1"/>
    <xf numFmtId="0" fontId="8" fillId="0" borderId="0" xfId="2" applyFont="1" applyFill="1" applyBorder="1" applyAlignment="1"/>
    <xf numFmtId="165" fontId="18" fillId="0" borderId="0" xfId="2" applyNumberFormat="1" applyFont="1" applyFill="1" applyBorder="1" applyAlignment="1"/>
    <xf numFmtId="0" fontId="0" fillId="0" borderId="13" xfId="0" applyBorder="1" applyAlignment="1">
      <alignment horizontal="center"/>
    </xf>
    <xf numFmtId="0" fontId="16" fillId="0" borderId="22" xfId="0" applyFont="1" applyBorder="1"/>
    <xf numFmtId="1" fontId="0" fillId="4" borderId="12" xfId="0" applyNumberFormat="1" applyFill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1" fontId="0" fillId="4" borderId="30" xfId="0" applyNumberFormat="1" applyFill="1" applyBorder="1" applyAlignment="1">
      <alignment horizontal="center" vertical="center"/>
    </xf>
    <xf numFmtId="2" fontId="0" fillId="4" borderId="49" xfId="0" applyNumberFormat="1" applyFill="1" applyBorder="1" applyAlignment="1">
      <alignment horizontal="center" vertical="center"/>
    </xf>
    <xf numFmtId="0" fontId="9" fillId="2" borderId="46" xfId="1" applyFont="1" applyFill="1" applyBorder="1" applyAlignment="1"/>
    <xf numFmtId="0" fontId="9" fillId="2" borderId="47" xfId="1" applyFont="1" applyFill="1" applyBorder="1" applyAlignment="1"/>
    <xf numFmtId="0" fontId="9" fillId="2" borderId="48" xfId="1" applyFont="1" applyFill="1" applyBorder="1" applyAlignment="1"/>
    <xf numFmtId="0" fontId="7" fillId="0" borderId="0" xfId="0" applyFont="1"/>
    <xf numFmtId="0" fontId="9" fillId="0" borderId="0" xfId="1" applyFont="1" applyFill="1" applyBorder="1" applyAlignment="1"/>
    <xf numFmtId="165" fontId="0" fillId="0" borderId="41" xfId="0" applyNumberFormat="1" applyBorder="1"/>
    <xf numFmtId="165" fontId="3" fillId="0" borderId="41" xfId="0" applyNumberFormat="1" applyFon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3" fillId="0" borderId="4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" fillId="8" borderId="17" xfId="0" applyFont="1" applyFill="1" applyBorder="1"/>
    <xf numFmtId="2" fontId="0" fillId="5" borderId="3" xfId="0" applyNumberFormat="1" applyFill="1" applyBorder="1"/>
    <xf numFmtId="0" fontId="0" fillId="0" borderId="3" xfId="0" applyBorder="1" applyAlignment="1">
      <alignment horizontal="right"/>
    </xf>
    <xf numFmtId="2" fontId="0" fillId="0" borderId="0" xfId="0" applyNumberFormat="1" applyAlignment="1">
      <alignment horizontal="center"/>
    </xf>
    <xf numFmtId="0" fontId="8" fillId="0" borderId="0" xfId="2" applyNumberFormat="1" applyFont="1" applyFill="1" applyBorder="1" applyAlignment="1"/>
    <xf numFmtId="0" fontId="5" fillId="0" borderId="0" xfId="0" applyFont="1" applyAlignment="1">
      <alignment horizontal="center" vertical="center"/>
    </xf>
    <xf numFmtId="0" fontId="2" fillId="0" borderId="0" xfId="2" applyNumberFormat="1" applyFill="1" applyBorder="1" applyAlignment="1"/>
    <xf numFmtId="0" fontId="0" fillId="0" borderId="0" xfId="0" applyAlignment="1">
      <alignment horizontal="center" vertical="top"/>
    </xf>
    <xf numFmtId="164" fontId="0" fillId="0" borderId="3" xfId="0" applyNumberFormat="1" applyBorder="1"/>
    <xf numFmtId="2" fontId="0" fillId="0" borderId="3" xfId="0" applyNumberFormat="1" applyBorder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vertical="top"/>
    </xf>
    <xf numFmtId="0" fontId="1" fillId="0" borderId="0" xfId="1" applyFill="1" applyBorder="1" applyAlignment="1"/>
    <xf numFmtId="0" fontId="6" fillId="0" borderId="0" xfId="0" applyFont="1"/>
    <xf numFmtId="0" fontId="11" fillId="2" borderId="0" xfId="0" applyFont="1" applyFill="1"/>
    <xf numFmtId="165" fontId="8" fillId="0" borderId="41" xfId="2" applyNumberFormat="1" applyFont="1" applyFill="1" applyBorder="1" applyAlignment="1"/>
    <xf numFmtId="165" fontId="0" fillId="0" borderId="41" xfId="0" applyNumberFormat="1" applyBorder="1" applyAlignment="1">
      <alignment vertical="center"/>
    </xf>
    <xf numFmtId="165" fontId="18" fillId="0" borderId="41" xfId="2" applyNumberFormat="1" applyFont="1" applyFill="1" applyBorder="1" applyAlignment="1"/>
    <xf numFmtId="0" fontId="0" fillId="0" borderId="59" xfId="0" applyBorder="1"/>
    <xf numFmtId="165" fontId="0" fillId="0" borderId="41" xfId="0" applyNumberFormat="1" applyBorder="1" applyAlignment="1">
      <alignment horizontal="right" vertical="top"/>
    </xf>
    <xf numFmtId="0" fontId="0" fillId="0" borderId="41" xfId="0" applyBorder="1" applyAlignment="1">
      <alignment horizontal="center" vertical="top"/>
    </xf>
    <xf numFmtId="0" fontId="15" fillId="0" borderId="22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16" fillId="0" borderId="29" xfId="0" applyFont="1" applyBorder="1" applyAlignment="1">
      <alignment vertical="center"/>
    </xf>
    <xf numFmtId="0" fontId="16" fillId="0" borderId="29" xfId="0" applyFont="1" applyBorder="1"/>
    <xf numFmtId="2" fontId="0" fillId="5" borderId="3" xfId="0" applyNumberFormat="1" applyFill="1" applyBorder="1" applyAlignment="1">
      <alignment horizontal="right"/>
    </xf>
    <xf numFmtId="0" fontId="0" fillId="5" borderId="1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6" fillId="7" borderId="16" xfId="0" applyFont="1" applyFill="1" applyBorder="1" applyAlignment="1">
      <alignment horizontal="left" vertical="center"/>
    </xf>
    <xf numFmtId="0" fontId="16" fillId="7" borderId="53" xfId="0" applyFont="1" applyFill="1" applyBorder="1" applyAlignment="1">
      <alignment horizontal="left" vertical="center"/>
    </xf>
    <xf numFmtId="2" fontId="16" fillId="7" borderId="16" xfId="0" applyNumberFormat="1" applyFont="1" applyFill="1" applyBorder="1" applyAlignment="1">
      <alignment horizontal="left" vertical="center"/>
    </xf>
    <xf numFmtId="2" fontId="16" fillId="7" borderId="53" xfId="0" applyNumberFormat="1" applyFont="1" applyFill="1" applyBorder="1" applyAlignment="1">
      <alignment horizontal="left" vertical="center"/>
    </xf>
    <xf numFmtId="2" fontId="16" fillId="0" borderId="50" xfId="0" applyNumberFormat="1" applyFont="1" applyBorder="1" applyAlignment="1">
      <alignment horizontal="left" vertical="center"/>
    </xf>
    <xf numFmtId="2" fontId="16" fillId="0" borderId="51" xfId="0" applyNumberFormat="1" applyFont="1" applyBorder="1" applyAlignment="1">
      <alignment horizontal="left" vertical="center"/>
    </xf>
    <xf numFmtId="0" fontId="16" fillId="7" borderId="16" xfId="0" applyFont="1" applyFill="1" applyBorder="1" applyAlignment="1">
      <alignment horizontal="left"/>
    </xf>
    <xf numFmtId="0" fontId="16" fillId="7" borderId="53" xfId="0" applyFont="1" applyFill="1" applyBorder="1" applyAlignment="1">
      <alignment horizontal="left"/>
    </xf>
    <xf numFmtId="2" fontId="16" fillId="0" borderId="16" xfId="0" applyNumberFormat="1" applyFont="1" applyBorder="1" applyAlignment="1">
      <alignment horizontal="left"/>
    </xf>
    <xf numFmtId="2" fontId="16" fillId="0" borderId="53" xfId="0" applyNumberFormat="1" applyFont="1" applyBorder="1" applyAlignment="1">
      <alignment horizontal="left"/>
    </xf>
    <xf numFmtId="2" fontId="16" fillId="0" borderId="50" xfId="0" applyNumberFormat="1" applyFont="1" applyBorder="1" applyAlignment="1">
      <alignment horizontal="left"/>
    </xf>
    <xf numFmtId="2" fontId="16" fillId="0" borderId="51" xfId="0" applyNumberFormat="1" applyFont="1" applyBorder="1" applyAlignment="1">
      <alignment horizontal="left"/>
    </xf>
    <xf numFmtId="0" fontId="0" fillId="5" borderId="15" xfId="0" applyFill="1" applyBorder="1" applyAlignment="1">
      <alignment horizontal="right"/>
    </xf>
    <xf numFmtId="2" fontId="0" fillId="5" borderId="9" xfId="0" applyNumberFormat="1" applyFill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3" xfId="0" applyNumberFormat="1" applyBorder="1"/>
    <xf numFmtId="0" fontId="11" fillId="2" borderId="61" xfId="0" applyFont="1" applyFill="1" applyBorder="1" applyAlignment="1">
      <alignment horizontal="center"/>
    </xf>
    <xf numFmtId="0" fontId="11" fillId="2" borderId="63" xfId="0" applyFont="1" applyFill="1" applyBorder="1" applyAlignment="1">
      <alignment horizontal="center"/>
    </xf>
    <xf numFmtId="0" fontId="0" fillId="2" borderId="62" xfId="0" applyFill="1" applyBorder="1"/>
    <xf numFmtId="0" fontId="24" fillId="2" borderId="0" xfId="0" applyFont="1" applyFill="1" applyAlignment="1">
      <alignment vertic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8" borderId="44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10" fontId="0" fillId="7" borderId="12" xfId="0" applyNumberFormat="1" applyFill="1" applyBorder="1" applyAlignment="1">
      <alignment horizontal="center" vertical="center"/>
    </xf>
    <xf numFmtId="10" fontId="0" fillId="7" borderId="14" xfId="0" applyNumberForma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left" vertical="center"/>
    </xf>
    <xf numFmtId="0" fontId="3" fillId="8" borderId="15" xfId="0" applyFont="1" applyFill="1" applyBorder="1" applyAlignment="1">
      <alignment horizontal="left" vertical="center"/>
    </xf>
    <xf numFmtId="0" fontId="20" fillId="2" borderId="37" xfId="0" applyFont="1" applyFill="1" applyBorder="1" applyAlignment="1">
      <alignment horizontal="center"/>
    </xf>
    <xf numFmtId="0" fontId="20" fillId="2" borderId="38" xfId="0" applyFont="1" applyFill="1" applyBorder="1" applyAlignment="1">
      <alignment horizontal="center"/>
    </xf>
    <xf numFmtId="0" fontId="20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7" fillId="2" borderId="42" xfId="1" applyFont="1" applyFill="1" applyBorder="1" applyAlignment="1">
      <alignment horizontal="center"/>
    </xf>
    <xf numFmtId="0" fontId="7" fillId="2" borderId="1" xfId="1" applyFont="1" applyFill="1" applyAlignment="1">
      <alignment horizontal="center"/>
    </xf>
    <xf numFmtId="0" fontId="7" fillId="2" borderId="43" xfId="1" applyFont="1" applyFill="1" applyBorder="1" applyAlignment="1">
      <alignment horizontal="center"/>
    </xf>
    <xf numFmtId="0" fontId="21" fillId="2" borderId="31" xfId="0" applyFont="1" applyFill="1" applyBorder="1" applyAlignment="1">
      <alignment horizontal="center"/>
    </xf>
    <xf numFmtId="0" fontId="21" fillId="2" borderId="32" xfId="0" applyFont="1" applyFill="1" applyBorder="1" applyAlignment="1">
      <alignment horizontal="center"/>
    </xf>
    <xf numFmtId="0" fontId="21" fillId="2" borderId="33" xfId="0" applyFont="1" applyFill="1" applyBorder="1" applyAlignment="1">
      <alignment horizontal="center"/>
    </xf>
    <xf numFmtId="165" fontId="0" fillId="5" borderId="12" xfId="0" applyNumberFormat="1" applyFill="1" applyBorder="1" applyAlignment="1">
      <alignment horizontal="right"/>
    </xf>
    <xf numFmtId="165" fontId="0" fillId="5" borderId="14" xfId="0" applyNumberFormat="1" applyFill="1" applyBorder="1" applyAlignment="1">
      <alignment horizontal="right"/>
    </xf>
    <xf numFmtId="0" fontId="0" fillId="0" borderId="57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0" fillId="2" borderId="62" xfId="0" applyFont="1" applyFill="1" applyBorder="1" applyAlignment="1">
      <alignment horizontal="center"/>
    </xf>
    <xf numFmtId="0" fontId="11" fillId="2" borderId="62" xfId="0" applyFont="1" applyFill="1" applyBorder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11" fillId="2" borderId="62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2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8" borderId="44" xfId="0" applyFont="1" applyFill="1" applyBorder="1" applyAlignment="1">
      <alignment horizontal="left"/>
    </xf>
    <xf numFmtId="0" fontId="3" fillId="8" borderId="15" xfId="0" applyFont="1" applyFill="1" applyBorder="1" applyAlignment="1">
      <alignment horizontal="left"/>
    </xf>
    <xf numFmtId="0" fontId="7" fillId="2" borderId="19" xfId="2" applyFont="1" applyFill="1" applyBorder="1" applyAlignment="1">
      <alignment horizontal="center"/>
    </xf>
    <xf numFmtId="0" fontId="7" fillId="2" borderId="20" xfId="2" applyFont="1" applyFill="1" applyBorder="1" applyAlignment="1">
      <alignment horizontal="center"/>
    </xf>
    <xf numFmtId="0" fontId="7" fillId="2" borderId="21" xfId="2" applyFont="1" applyFill="1" applyBorder="1" applyAlignment="1">
      <alignment horizontal="center"/>
    </xf>
    <xf numFmtId="0" fontId="0" fillId="4" borderId="26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0" fillId="4" borderId="60" xfId="0" applyFill="1" applyBorder="1" applyAlignment="1">
      <alignment horizontal="left" vertical="center"/>
    </xf>
    <xf numFmtId="0" fontId="9" fillId="2" borderId="42" xfId="1" applyFont="1" applyFill="1" applyBorder="1" applyAlignment="1">
      <alignment horizontal="center"/>
    </xf>
    <xf numFmtId="0" fontId="9" fillId="2" borderId="1" xfId="1" applyFont="1" applyFill="1" applyAlignment="1">
      <alignment horizontal="center"/>
    </xf>
    <xf numFmtId="0" fontId="9" fillId="2" borderId="43" xfId="1" applyFont="1" applyFill="1" applyBorder="1" applyAlignment="1">
      <alignment horizontal="center"/>
    </xf>
    <xf numFmtId="0" fontId="7" fillId="2" borderId="54" xfId="2" applyFont="1" applyFill="1" applyBorder="1" applyAlignment="1">
      <alignment horizontal="center"/>
    </xf>
    <xf numFmtId="0" fontId="7" fillId="2" borderId="55" xfId="2" applyFont="1" applyFill="1" applyBorder="1" applyAlignment="1">
      <alignment horizontal="center"/>
    </xf>
    <xf numFmtId="0" fontId="7" fillId="2" borderId="56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8" xfId="0" applyFill="1" applyBorder="1" applyAlignment="1">
      <alignment horizontal="center" vertical="center"/>
    </xf>
  </cellXfs>
  <cellStyles count="3">
    <cellStyle name="Heading 1" xfId="1" builtinId="16"/>
    <cellStyle name="Heading 2" xfId="2" builtinId="17"/>
    <cellStyle name="Normal" xfId="0" builtinId="0"/>
  </cellStyles>
  <dxfs count="28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C00000"/>
      </font>
      <fill>
        <patternFill>
          <bgColor rgb="FFFFCCCC"/>
        </patternFill>
      </fill>
    </dxf>
    <dxf>
      <font>
        <b val="0"/>
        <i val="0"/>
        <color rgb="FFA50021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50021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50021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50021"/>
      </font>
      <fill>
        <patternFill>
          <bgColor rgb="FFFF7C8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C8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CFA0FE"/>
      <color rgb="FFFF7C80"/>
      <color rgb="FFA50021"/>
      <color rgb="FFFF9999"/>
      <color rgb="FFFF5050"/>
      <color rgb="FFCC0000"/>
      <color rgb="FFFFCCCC"/>
      <color rgb="FFFF33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B$15" lockText="1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checked="Checked" firstButton="1" fmlaLink="$B$20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firstButton="1" fmlaLink="$B$20" lockText="1" noThreeD="1"/>
</file>

<file path=xl/ctrlProps/ctrlProp15.xml><?xml version="1.0" encoding="utf-8"?>
<formControlPr xmlns="http://schemas.microsoft.com/office/spreadsheetml/2009/9/main" objectType="Radio" checked="Checked" lockText="1" noThreeD="1"/>
</file>

<file path=xl/ctrlProps/ctrlProp16.xml><?xml version="1.0" encoding="utf-8"?>
<formControlPr xmlns="http://schemas.microsoft.com/office/spreadsheetml/2009/9/main" objectType="Radio" checked="Checked" firstButton="1" fmlaLink="$B$16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Radio" checked="Checked" firstButton="1" fmlaLink="$G$17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firstButton="1" fmlaLink="$B$1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$G$12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9525</xdr:rowOff>
        </xdr:from>
        <xdr:to>
          <xdr:col>1</xdr:col>
          <xdr:colOff>1047750</xdr:colOff>
          <xdr:row>14</xdr:row>
          <xdr:rowOff>219075</xdr:rowOff>
        </xdr:to>
        <xdr:sp macro="" textlink="">
          <xdr:nvSpPr>
            <xdr:cNvPr id="9217" name="Option 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228600</xdr:rowOff>
        </xdr:from>
        <xdr:to>
          <xdr:col>1</xdr:col>
          <xdr:colOff>1047750</xdr:colOff>
          <xdr:row>15</xdr:row>
          <xdr:rowOff>0</xdr:rowOff>
        </xdr:to>
        <xdr:sp macro="" textlink="">
          <xdr:nvSpPr>
            <xdr:cNvPr id="9218" name="Option 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19050</xdr:rowOff>
        </xdr:from>
        <xdr:to>
          <xdr:col>1</xdr:col>
          <xdr:colOff>1104900</xdr:colOff>
          <xdr:row>10</xdr:row>
          <xdr:rowOff>238125</xdr:rowOff>
        </xdr:to>
        <xdr:sp macro="" textlink="">
          <xdr:nvSpPr>
            <xdr:cNvPr id="9219" name="Option 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247650</xdr:rowOff>
        </xdr:from>
        <xdr:to>
          <xdr:col>1</xdr:col>
          <xdr:colOff>1095375</xdr:colOff>
          <xdr:row>10</xdr:row>
          <xdr:rowOff>457200</xdr:rowOff>
        </xdr:to>
        <xdr:sp macro="" textlink="">
          <xdr:nvSpPr>
            <xdr:cNvPr id="9220" name="Option 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9221" name="Group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9222" name="Group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933450</xdr:colOff>
          <xdr:row>10</xdr:row>
          <xdr:rowOff>361950</xdr:rowOff>
        </xdr:from>
        <xdr:to>
          <xdr:col>4</xdr:col>
          <xdr:colOff>1171575</xdr:colOff>
          <xdr:row>11</xdr:row>
          <xdr:rowOff>95250</xdr:rowOff>
        </xdr:to>
        <xdr:sp macro="" textlink="">
          <xdr:nvSpPr>
            <xdr:cNvPr id="9223" name="Option Butto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1133475</xdr:colOff>
          <xdr:row>10</xdr:row>
          <xdr:rowOff>352425</xdr:rowOff>
        </xdr:from>
        <xdr:to>
          <xdr:col>5</xdr:col>
          <xdr:colOff>1381125</xdr:colOff>
          <xdr:row>11</xdr:row>
          <xdr:rowOff>85725</xdr:rowOff>
        </xdr:to>
        <xdr:sp macro="" textlink="">
          <xdr:nvSpPr>
            <xdr:cNvPr id="9224" name="Option 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10</xdr:row>
          <xdr:rowOff>342900</xdr:rowOff>
        </xdr:from>
        <xdr:to>
          <xdr:col>6</xdr:col>
          <xdr:colOff>609600</xdr:colOff>
          <xdr:row>11</xdr:row>
          <xdr:rowOff>85725</xdr:rowOff>
        </xdr:to>
        <xdr:sp macro="" textlink="">
          <xdr:nvSpPr>
            <xdr:cNvPr id="9232" name="Option Button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9525</xdr:colOff>
          <xdr:row>21</xdr:row>
          <xdr:rowOff>0</xdr:rowOff>
        </xdr:to>
        <xdr:sp macro="" textlink="">
          <xdr:nvSpPr>
            <xdr:cNvPr id="9245" name="Group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19</xdr:row>
          <xdr:rowOff>28575</xdr:rowOff>
        </xdr:from>
        <xdr:to>
          <xdr:col>1</xdr:col>
          <xdr:colOff>1076325</xdr:colOff>
          <xdr:row>19</xdr:row>
          <xdr:rowOff>247650</xdr:rowOff>
        </xdr:to>
        <xdr:sp macro="" textlink="">
          <xdr:nvSpPr>
            <xdr:cNvPr id="9246" name="Option Button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Ambrose Method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19</xdr:row>
          <xdr:rowOff>276225</xdr:rowOff>
        </xdr:from>
        <xdr:to>
          <xdr:col>1</xdr:col>
          <xdr:colOff>1076325</xdr:colOff>
          <xdr:row>20</xdr:row>
          <xdr:rowOff>161925</xdr:rowOff>
        </xdr:to>
        <xdr:sp macro="" textlink="">
          <xdr:nvSpPr>
            <xdr:cNvPr id="9247" name="Option Button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Bauer Method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20</xdr:row>
          <xdr:rowOff>200025</xdr:rowOff>
        </xdr:from>
        <xdr:to>
          <xdr:col>1</xdr:col>
          <xdr:colOff>1076325</xdr:colOff>
          <xdr:row>20</xdr:row>
          <xdr:rowOff>409575</xdr:rowOff>
        </xdr:to>
        <xdr:sp macro="" textlink="">
          <xdr:nvSpPr>
            <xdr:cNvPr id="9248" name="Option Button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Matzke Method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9525</xdr:rowOff>
        </xdr:from>
        <xdr:to>
          <xdr:col>1</xdr:col>
          <xdr:colOff>1047750</xdr:colOff>
          <xdr:row>20</xdr:row>
          <xdr:rowOff>19050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228600</xdr:rowOff>
        </xdr:from>
        <xdr:to>
          <xdr:col>1</xdr:col>
          <xdr:colOff>1047750</xdr:colOff>
          <xdr:row>21</xdr:row>
          <xdr:rowOff>28575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1</xdr:col>
          <xdr:colOff>1104900</xdr:colOff>
          <xdr:row>16</xdr:row>
          <xdr:rowOff>47625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247650</xdr:rowOff>
        </xdr:from>
        <xdr:to>
          <xdr:col>1</xdr:col>
          <xdr:colOff>1114425</xdr:colOff>
          <xdr:row>17</xdr:row>
          <xdr:rowOff>28575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0</xdr:colOff>
          <xdr:row>17</xdr:row>
          <xdr:rowOff>114300</xdr:rowOff>
        </xdr:to>
        <xdr:sp macro="" textlink="">
          <xdr:nvSpPr>
            <xdr:cNvPr id="4118" name="Group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0</xdr:colOff>
          <xdr:row>21</xdr:row>
          <xdr:rowOff>57150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933450</xdr:colOff>
          <xdr:row>15</xdr:row>
          <xdr:rowOff>342900</xdr:rowOff>
        </xdr:from>
        <xdr:to>
          <xdr:col>4</xdr:col>
          <xdr:colOff>1152525</xdr:colOff>
          <xdr:row>17</xdr:row>
          <xdr:rowOff>95250</xdr:rowOff>
        </xdr:to>
        <xdr:sp macro="" textlink=""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15</xdr:row>
          <xdr:rowOff>361950</xdr:rowOff>
        </xdr:from>
        <xdr:to>
          <xdr:col>5</xdr:col>
          <xdr:colOff>485775</xdr:colOff>
          <xdr:row>17</xdr:row>
          <xdr:rowOff>28575</xdr:rowOff>
        </xdr:to>
        <xdr:sp macro="" textlink="">
          <xdr:nvSpPr>
            <xdr:cNvPr id="4133" name="Option Butto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15</xdr:row>
          <xdr:rowOff>361950</xdr:rowOff>
        </xdr:from>
        <xdr:to>
          <xdr:col>6</xdr:col>
          <xdr:colOff>609600</xdr:colOff>
          <xdr:row>17</xdr:row>
          <xdr:rowOff>28575</xdr:rowOff>
        </xdr:to>
        <xdr:sp macro="" textlink=""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5B5-0A49-4607-A154-FA25056E9CAC}">
  <dimension ref="A1:O74"/>
  <sheetViews>
    <sheetView zoomScale="85" zoomScaleNormal="85" workbookViewId="0">
      <selection activeCell="H20" sqref="H20"/>
    </sheetView>
  </sheetViews>
  <sheetFormatPr defaultRowHeight="15" x14ac:dyDescent="0.25"/>
  <cols>
    <col min="1" max="1" width="26.85546875" bestFit="1" customWidth="1"/>
    <col min="2" max="2" width="21.5703125" customWidth="1"/>
    <col min="3" max="3" width="12" bestFit="1" customWidth="1"/>
    <col min="4" max="4" width="39.28515625" bestFit="1" customWidth="1"/>
    <col min="5" max="5" width="30" customWidth="1"/>
    <col min="6" max="6" width="36.42578125" bestFit="1" customWidth="1"/>
    <col min="7" max="7" width="14.85546875" bestFit="1" customWidth="1"/>
    <col min="8" max="8" width="17.85546875" bestFit="1" customWidth="1"/>
    <col min="9" max="9" width="15.42578125" customWidth="1"/>
    <col min="10" max="10" width="20" customWidth="1"/>
    <col min="11" max="11" width="12.7109375" customWidth="1"/>
  </cols>
  <sheetData>
    <row r="1" spans="1:15" ht="26.25" x14ac:dyDescent="0.4">
      <c r="A1" s="162" t="s">
        <v>58</v>
      </c>
      <c r="B1" s="163"/>
      <c r="C1" s="163"/>
      <c r="D1" s="163"/>
      <c r="E1" s="163"/>
      <c r="F1" s="163"/>
      <c r="G1" s="163"/>
      <c r="H1" s="163"/>
      <c r="I1" s="164"/>
      <c r="J1" s="115"/>
      <c r="K1" s="115"/>
      <c r="L1" s="115"/>
      <c r="M1" s="115"/>
    </row>
    <row r="2" spans="1:15" x14ac:dyDescent="0.25">
      <c r="A2" s="165" t="s">
        <v>110</v>
      </c>
      <c r="B2" s="166"/>
      <c r="C2" s="166"/>
      <c r="D2" s="166"/>
      <c r="E2" s="166"/>
      <c r="F2" s="166"/>
      <c r="G2" s="166"/>
      <c r="H2" s="166"/>
      <c r="I2" s="167"/>
      <c r="J2" s="70"/>
      <c r="K2" s="70"/>
      <c r="L2" s="70"/>
      <c r="M2" s="70"/>
      <c r="N2" s="70"/>
    </row>
    <row r="3" spans="1:15" x14ac:dyDescent="0.25">
      <c r="A3" s="61"/>
      <c r="B3" s="116"/>
      <c r="C3" s="62"/>
      <c r="D3" s="62"/>
      <c r="E3" s="62"/>
      <c r="F3" s="62"/>
      <c r="G3" s="62"/>
      <c r="H3" s="62"/>
      <c r="I3" s="63"/>
    </row>
    <row r="4" spans="1:15" x14ac:dyDescent="0.25">
      <c r="A4" s="61"/>
      <c r="B4" s="62"/>
      <c r="C4" s="62"/>
      <c r="D4" s="62"/>
      <c r="E4" s="62"/>
      <c r="F4" s="62"/>
      <c r="G4" s="62"/>
      <c r="H4" s="62"/>
      <c r="I4" s="63"/>
    </row>
    <row r="5" spans="1:15" x14ac:dyDescent="0.25">
      <c r="A5" s="66"/>
      <c r="I5" s="71"/>
    </row>
    <row r="6" spans="1:15" ht="24" thickBot="1" x14ac:dyDescent="0.4">
      <c r="A6" s="168" t="s">
        <v>0</v>
      </c>
      <c r="B6" s="169"/>
      <c r="C6" s="169"/>
      <c r="D6" s="169"/>
      <c r="E6" s="169"/>
      <c r="F6" s="169"/>
      <c r="G6" s="169"/>
      <c r="H6" s="169"/>
      <c r="I6" s="170"/>
      <c r="J6" s="114"/>
      <c r="K6" s="114"/>
      <c r="L6" s="114"/>
      <c r="M6" s="114"/>
      <c r="N6" s="114"/>
    </row>
    <row r="7" spans="1:15" ht="15.75" thickTop="1" x14ac:dyDescent="0.25">
      <c r="A7" s="66"/>
      <c r="H7" s="22" t="s">
        <v>8</v>
      </c>
      <c r="I7" s="97"/>
    </row>
    <row r="8" spans="1:15" x14ac:dyDescent="0.25">
      <c r="A8" s="66"/>
      <c r="H8" s="22"/>
      <c r="I8" s="97"/>
    </row>
    <row r="9" spans="1:15" x14ac:dyDescent="0.25">
      <c r="A9" s="154" t="s">
        <v>62</v>
      </c>
      <c r="B9" s="155"/>
      <c r="C9" s="46"/>
      <c r="D9" s="156" t="s">
        <v>63</v>
      </c>
      <c r="E9" s="157"/>
      <c r="F9" s="157"/>
      <c r="G9" s="155"/>
      <c r="H9" s="22" t="s">
        <v>29</v>
      </c>
      <c r="I9" s="97">
        <f>IF($B$15=1,(140-$B$10)*E11/72,(140-$B$10)*E11/(72*$B$14))</f>
        <v>51.25</v>
      </c>
    </row>
    <row r="10" spans="1:15" x14ac:dyDescent="0.25">
      <c r="A10" s="66" t="s">
        <v>1</v>
      </c>
      <c r="B10" s="48">
        <v>80</v>
      </c>
      <c r="D10" s="86" t="s">
        <v>75</v>
      </c>
      <c r="E10" s="36" t="s">
        <v>35</v>
      </c>
      <c r="F10" s="30" t="s">
        <v>36</v>
      </c>
      <c r="G10" s="37" t="s">
        <v>37</v>
      </c>
      <c r="H10" s="22" t="s">
        <v>30</v>
      </c>
      <c r="I10" s="97">
        <f>IF($B$15=1,(140-$B$10)*F11/72,(140-$B$10)*F11/(72*$B$14))</f>
        <v>58.333333333333336</v>
      </c>
    </row>
    <row r="11" spans="1:15" ht="38.25" customHeight="1" x14ac:dyDescent="0.25">
      <c r="A11" s="66" t="s">
        <v>2</v>
      </c>
      <c r="B11" s="49">
        <v>1</v>
      </c>
      <c r="D11" s="158">
        <f>F11/E11</f>
        <v>1.1382113821138211</v>
      </c>
      <c r="E11" s="16">
        <f>IF(B12&gt;=60,IF(B11=1,50+2.3*(B12-60),45.5+2.3*(B12-60)),"Under 5 ft")</f>
        <v>61.5</v>
      </c>
      <c r="F11" s="17">
        <f>B13</f>
        <v>70</v>
      </c>
      <c r="G11" s="18" t="str">
        <f>IF(F11/E11&gt;=1.2,E11+0.4*(F11-E11),"N/A")</f>
        <v>N/A</v>
      </c>
      <c r="H11" s="22" t="s">
        <v>31</v>
      </c>
      <c r="I11" s="97" t="str">
        <f>IFERROR(IF($B$15=1,(140-$B$10)*G11/72,(140-$B$10)*G11/(72*$B$14)), "N/A")</f>
        <v>N/A</v>
      </c>
    </row>
    <row r="12" spans="1:15" x14ac:dyDescent="0.25">
      <c r="A12" s="66" t="s">
        <v>3</v>
      </c>
      <c r="B12" s="50">
        <v>65</v>
      </c>
      <c r="D12" s="159"/>
      <c r="E12" s="205"/>
      <c r="F12" s="20"/>
      <c r="G12" s="23">
        <v>1</v>
      </c>
      <c r="H12" s="22"/>
      <c r="I12" s="97"/>
    </row>
    <row r="13" spans="1:15" x14ac:dyDescent="0.25">
      <c r="A13" s="66" t="s">
        <v>4</v>
      </c>
      <c r="B13" s="50">
        <v>70</v>
      </c>
      <c r="H13" s="22" t="s">
        <v>71</v>
      </c>
      <c r="I13" s="97"/>
    </row>
    <row r="14" spans="1:15" ht="17.25" x14ac:dyDescent="0.3">
      <c r="A14" s="66" t="s">
        <v>5</v>
      </c>
      <c r="B14" s="50">
        <v>0.3</v>
      </c>
      <c r="H14" s="22"/>
      <c r="I14" s="117"/>
      <c r="K14" s="106"/>
      <c r="L14" s="106"/>
      <c r="M14" s="106"/>
      <c r="N14" s="106"/>
      <c r="O14" s="84"/>
    </row>
    <row r="15" spans="1:15" ht="35.25" customHeight="1" x14ac:dyDescent="0.25">
      <c r="A15" s="67" t="s">
        <v>6</v>
      </c>
      <c r="B15" s="49">
        <v>1</v>
      </c>
      <c r="D15" s="178" t="s">
        <v>90</v>
      </c>
      <c r="E15" s="179"/>
      <c r="H15" s="22" t="s">
        <v>72</v>
      </c>
      <c r="I15" s="118">
        <f>FLOOR((E17*(B23)*(1-EXP(-B24*E16))/EXP(-B24*E16)),250)</f>
        <v>250</v>
      </c>
      <c r="K15" s="107"/>
      <c r="L15" s="107"/>
      <c r="M15" s="107"/>
      <c r="N15" s="107"/>
    </row>
    <row r="16" spans="1:15" x14ac:dyDescent="0.25">
      <c r="A16" s="66"/>
      <c r="B16" s="1"/>
      <c r="D16" s="83" t="s">
        <v>67</v>
      </c>
      <c r="E16" s="142">
        <v>8</v>
      </c>
      <c r="H16" s="22" t="s">
        <v>72</v>
      </c>
      <c r="I16" s="97">
        <f>CEILING((E17*(B23)*(1-EXP(-B24*E16))/EXP(-B24*E16)),250)</f>
        <v>500</v>
      </c>
    </row>
    <row r="17" spans="1:15" ht="17.25" x14ac:dyDescent="0.3">
      <c r="A17" s="154" t="s">
        <v>101</v>
      </c>
      <c r="B17" s="155"/>
      <c r="D17" s="11" t="s">
        <v>66</v>
      </c>
      <c r="E17" s="143">
        <v>15</v>
      </c>
      <c r="G17" s="84"/>
      <c r="H17" s="85" t="s">
        <v>73</v>
      </c>
      <c r="I17" s="119">
        <f>IF(E17&gt;=15,15,10)</f>
        <v>15</v>
      </c>
      <c r="K17" s="108"/>
      <c r="L17" s="108"/>
      <c r="M17" s="82"/>
      <c r="N17" s="82"/>
      <c r="O17" s="82"/>
    </row>
    <row r="18" spans="1:15" ht="15.75" thickBot="1" x14ac:dyDescent="0.3">
      <c r="A18" s="66" t="s">
        <v>7</v>
      </c>
      <c r="B18" s="58">
        <f>IF($G$12=1,$I$9,IF($G$12=2,$I$10,$I$11))</f>
        <v>51.25</v>
      </c>
      <c r="H18" s="22"/>
      <c r="I18" s="97"/>
      <c r="M18" s="109"/>
      <c r="N18" s="109"/>
    </row>
    <row r="19" spans="1:15" ht="24" thickTop="1" x14ac:dyDescent="0.35">
      <c r="A19" s="154" t="s">
        <v>89</v>
      </c>
      <c r="B19" s="155"/>
      <c r="D19" s="171" t="s">
        <v>12</v>
      </c>
      <c r="E19" s="172"/>
      <c r="F19" s="173"/>
      <c r="H19" s="112" t="s">
        <v>95</v>
      </c>
      <c r="I19" s="97">
        <f>(0.17*$B$10) + (0.22*B13)+15</f>
        <v>44</v>
      </c>
      <c r="M19" s="109"/>
      <c r="N19" s="109"/>
    </row>
    <row r="20" spans="1:15" ht="25.9" customHeight="1" x14ac:dyDescent="0.25">
      <c r="A20" s="176" t="s">
        <v>94</v>
      </c>
      <c r="B20" s="174">
        <v>1</v>
      </c>
      <c r="D20" s="123" t="s">
        <v>69</v>
      </c>
      <c r="E20" s="130" t="str">
        <f>IF(MROUND(B13*25,250)&gt;2000, 2000, MROUND(B13*25,250))&amp;"mg"</f>
        <v>1750mg</v>
      </c>
      <c r="F20" s="124"/>
      <c r="H20" s="112" t="s">
        <v>96</v>
      </c>
      <c r="I20" s="97">
        <f>$B$18*0.06</f>
        <v>3.0749999999999997</v>
      </c>
      <c r="M20" s="109"/>
      <c r="N20" s="109"/>
    </row>
    <row r="21" spans="1:15" ht="38.450000000000003" customHeight="1" x14ac:dyDescent="0.25">
      <c r="A21" s="177"/>
      <c r="B21" s="175"/>
      <c r="D21" s="123" t="s">
        <v>68</v>
      </c>
      <c r="E21" s="130" t="str">
        <f>I15&amp;"mg every " &amp;E16&amp; " hours"</f>
        <v>250mg every 8 hours</v>
      </c>
      <c r="F21" s="131" t="str">
        <f>I16&amp;"mg every " &amp;E16&amp; " hours"</f>
        <v>500mg every 8 hours</v>
      </c>
      <c r="H21" s="112" t="s">
        <v>97</v>
      </c>
      <c r="I21" s="97">
        <f>0.7*$B$13</f>
        <v>49</v>
      </c>
      <c r="M21" s="109"/>
      <c r="N21" s="109"/>
    </row>
    <row r="22" spans="1:15" ht="21" x14ac:dyDescent="0.25">
      <c r="A22" s="120" t="s">
        <v>9</v>
      </c>
      <c r="B22" s="58">
        <f>IF(B20=1,$I$20,IF(B20=2,$I$22,I24))</f>
        <v>3.0749999999999997</v>
      </c>
      <c r="D22" s="123" t="s">
        <v>80</v>
      </c>
      <c r="E22" s="132">
        <f>I15*EXP(-B24*E16)/B23/(1-EXP(-B24*E16))</f>
        <v>7.5850446737062196</v>
      </c>
      <c r="F22" s="133">
        <f>I16*EXP(-B24*E16)/B23/(1-EXP(-B24*E16))</f>
        <v>15.170089347412439</v>
      </c>
      <c r="G22" s="46"/>
      <c r="H22" s="112" t="s">
        <v>98</v>
      </c>
      <c r="I22" s="97">
        <f>0.75*$B$18*0.06</f>
        <v>2.3062499999999999</v>
      </c>
      <c r="K22" s="46"/>
      <c r="L22" s="46"/>
      <c r="M22" s="109"/>
      <c r="N22" s="109"/>
    </row>
    <row r="23" spans="1:15" ht="24.75" thickBot="1" x14ac:dyDescent="0.4">
      <c r="A23" s="66" t="s">
        <v>38</v>
      </c>
      <c r="B23" s="58">
        <f>IF(B20=1,$I$19,IF(B20=2,$I$21,I23))</f>
        <v>44</v>
      </c>
      <c r="C23" s="152"/>
      <c r="D23" s="125" t="s">
        <v>102</v>
      </c>
      <c r="E23" s="134">
        <f>I15*(24/E16)/B22</f>
        <v>243.90243902439028</v>
      </c>
      <c r="F23" s="135">
        <f>I16*(24/E16)/B22</f>
        <v>487.80487804878055</v>
      </c>
      <c r="H23" s="113" t="s">
        <v>99</v>
      </c>
      <c r="I23" s="121">
        <f>IF(B18&lt;60,0.9*$B$13,0.72*$B$13)</f>
        <v>63</v>
      </c>
      <c r="K23" s="109"/>
      <c r="M23" s="109"/>
      <c r="N23" s="109"/>
    </row>
    <row r="24" spans="1:15" ht="18.75" thickTop="1" x14ac:dyDescent="0.35">
      <c r="A24" s="66" t="s">
        <v>21</v>
      </c>
      <c r="B24" s="59">
        <f>B22/B23</f>
        <v>6.9886363636363635E-2</v>
      </c>
      <c r="C24" s="153"/>
      <c r="H24" s="113" t="s">
        <v>100</v>
      </c>
      <c r="I24" s="121">
        <f>(B18*0.678 +3.66)*0.06</f>
        <v>2.3044499999999997</v>
      </c>
      <c r="K24" s="109"/>
      <c r="M24" s="109"/>
      <c r="N24" s="109"/>
    </row>
    <row r="25" spans="1:15" ht="18" x14ac:dyDescent="0.35">
      <c r="A25" s="67" t="s">
        <v>22</v>
      </c>
      <c r="B25" s="32">
        <f>-LN(0.5)/B24</f>
        <v>9.9182035592317384</v>
      </c>
      <c r="H25" s="109"/>
      <c r="I25" s="122"/>
      <c r="J25" s="109"/>
      <c r="K25" s="109"/>
      <c r="M25" s="109"/>
      <c r="N25" s="109"/>
    </row>
    <row r="26" spans="1:15" x14ac:dyDescent="0.25">
      <c r="A26" s="66"/>
      <c r="H26" s="109"/>
      <c r="I26" s="122"/>
      <c r="J26" s="109"/>
      <c r="K26" s="109"/>
      <c r="M26" s="109"/>
      <c r="N26" s="109"/>
    </row>
    <row r="27" spans="1:15" ht="24" thickBot="1" x14ac:dyDescent="0.4">
      <c r="A27" s="168" t="s">
        <v>70</v>
      </c>
      <c r="B27" s="169"/>
      <c r="C27" s="169"/>
      <c r="D27" s="169"/>
      <c r="E27" s="169"/>
      <c r="F27" s="169"/>
      <c r="G27" s="169"/>
      <c r="H27" s="169"/>
      <c r="I27" s="170"/>
      <c r="J27" s="96"/>
      <c r="K27" s="96"/>
      <c r="L27" s="96"/>
      <c r="M27" s="96"/>
      <c r="N27" s="96"/>
    </row>
    <row r="28" spans="1:15" ht="15.75" thickTop="1" x14ac:dyDescent="0.25">
      <c r="A28" s="66"/>
      <c r="I28" s="71"/>
    </row>
    <row r="29" spans="1:15" x14ac:dyDescent="0.25">
      <c r="A29" s="68" t="s">
        <v>64</v>
      </c>
      <c r="B29" s="33"/>
      <c r="C29" s="46"/>
      <c r="D29" s="24" t="s">
        <v>20</v>
      </c>
      <c r="E29" s="33"/>
      <c r="F29" s="46"/>
      <c r="I29" s="71"/>
    </row>
    <row r="30" spans="1:15" ht="18" x14ac:dyDescent="0.35">
      <c r="A30" s="66" t="s">
        <v>23</v>
      </c>
      <c r="B30" s="29">
        <v>500</v>
      </c>
      <c r="D30" s="4" t="s">
        <v>87</v>
      </c>
      <c r="E30" s="58">
        <f>B34+B30/B37</f>
        <v>34.963636363636368</v>
      </c>
      <c r="I30" s="71"/>
    </row>
    <row r="31" spans="1:15" x14ac:dyDescent="0.25">
      <c r="A31" s="67" t="s">
        <v>24</v>
      </c>
      <c r="B31" s="13">
        <v>8</v>
      </c>
      <c r="D31" s="5" t="s">
        <v>83</v>
      </c>
      <c r="E31" s="58">
        <f>B30*(24/B31)/B39</f>
        <v>693.8533309443651</v>
      </c>
      <c r="I31" s="71"/>
    </row>
    <row r="32" spans="1:15" x14ac:dyDescent="0.25">
      <c r="A32" s="66"/>
      <c r="E32" s="30"/>
      <c r="I32" s="71"/>
    </row>
    <row r="33" spans="1:11" x14ac:dyDescent="0.25">
      <c r="A33" s="68" t="s">
        <v>88</v>
      </c>
      <c r="B33" s="33"/>
      <c r="D33" s="160" t="s">
        <v>93</v>
      </c>
      <c r="E33" s="161"/>
      <c r="I33" s="71"/>
    </row>
    <row r="34" spans="1:11" ht="18" x14ac:dyDescent="0.35">
      <c r="A34" s="67" t="s">
        <v>78</v>
      </c>
      <c r="B34" s="127">
        <v>23.6</v>
      </c>
      <c r="C34" s="46"/>
      <c r="D34" s="83" t="s">
        <v>91</v>
      </c>
      <c r="E34" s="128">
        <v>12</v>
      </c>
      <c r="I34" s="71"/>
    </row>
    <row r="35" spans="1:11" x14ac:dyDescent="0.25">
      <c r="A35" s="66"/>
      <c r="D35" s="11" t="s">
        <v>66</v>
      </c>
      <c r="E35" s="129">
        <v>15</v>
      </c>
      <c r="I35" s="71"/>
    </row>
    <row r="36" spans="1:11" ht="15.75" thickBot="1" x14ac:dyDescent="0.3">
      <c r="A36" s="68" t="s">
        <v>89</v>
      </c>
      <c r="B36" s="34"/>
      <c r="E36" s="105"/>
      <c r="I36" s="71"/>
    </row>
    <row r="37" spans="1:11" ht="24" thickTop="1" x14ac:dyDescent="0.35">
      <c r="A37" s="66" t="s">
        <v>79</v>
      </c>
      <c r="B37" s="103">
        <v>44</v>
      </c>
      <c r="D37" s="171" t="s">
        <v>12</v>
      </c>
      <c r="E37" s="172"/>
      <c r="F37" s="173"/>
      <c r="G37" s="22" t="s">
        <v>72</v>
      </c>
      <c r="H37" s="22">
        <f>FLOOR(E35*B37*(1-EXP(-B38*E34))/EXP(-B38*E34),250)</f>
        <v>500</v>
      </c>
      <c r="I37" s="71"/>
    </row>
    <row r="38" spans="1:11" ht="21" x14ac:dyDescent="0.35">
      <c r="A38" s="66" t="s">
        <v>82</v>
      </c>
      <c r="B38" s="110">
        <f>LN(E30/B34)/B31</f>
        <v>4.9132731040593056E-2</v>
      </c>
      <c r="D38" s="87" t="s">
        <v>92</v>
      </c>
      <c r="E38" s="136" t="str">
        <f>H37&amp;"mg every " &amp;E34&amp; " hours"</f>
        <v>500mg every 12 hours</v>
      </c>
      <c r="F38" s="137" t="str">
        <f>H38&amp;"mg every " &amp;E34&amp; " hours"</f>
        <v>750mg every 12 hours</v>
      </c>
      <c r="G38" s="22" t="s">
        <v>72</v>
      </c>
      <c r="H38" s="22">
        <f>CEILING(E35*B37*(1-EXP(-B38*E34))/EXP(-B38*E34),250)</f>
        <v>750</v>
      </c>
      <c r="I38" s="71"/>
    </row>
    <row r="39" spans="1:11" ht="24" x14ac:dyDescent="0.45">
      <c r="A39" s="66" t="s">
        <v>44</v>
      </c>
      <c r="B39" s="111">
        <f>B37*B38</f>
        <v>2.1618401657860944</v>
      </c>
      <c r="D39" s="87" t="s">
        <v>77</v>
      </c>
      <c r="E39" s="138">
        <f>H37*EXP(-B38*E34)/B37/(1-EXP(-B38*E34))</f>
        <v>14.147003732737181</v>
      </c>
      <c r="F39" s="139">
        <f>H38*EXP(-B38*E34)/B37/(1-EXP(-B38*E34))</f>
        <v>21.220505599105771</v>
      </c>
      <c r="G39" s="22" t="s">
        <v>73</v>
      </c>
      <c r="H39" s="22">
        <f>IF(E35&gt;=15,15,10)</f>
        <v>15</v>
      </c>
      <c r="I39" s="71"/>
    </row>
    <row r="40" spans="1:11" ht="24.75" thickBot="1" x14ac:dyDescent="0.5">
      <c r="A40" s="67" t="s">
        <v>45</v>
      </c>
      <c r="B40" s="21">
        <f>-LN(0.5)/B38</f>
        <v>14.107646081942256</v>
      </c>
      <c r="D40" s="126" t="s">
        <v>102</v>
      </c>
      <c r="E40" s="140">
        <f>H37*(24/E34)/B39</f>
        <v>462.56888729624336</v>
      </c>
      <c r="F40" s="141">
        <f>H38*(24/E34)/B39</f>
        <v>693.8533309443651</v>
      </c>
      <c r="G40" t="s">
        <v>42</v>
      </c>
      <c r="I40" s="71"/>
    </row>
    <row r="41" spans="1:11" ht="15.75" thickTop="1" x14ac:dyDescent="0.25">
      <c r="A41" s="66"/>
      <c r="I41" s="71"/>
    </row>
    <row r="42" spans="1:11" x14ac:dyDescent="0.25">
      <c r="A42" s="66"/>
      <c r="I42" s="71"/>
    </row>
    <row r="43" spans="1:11" x14ac:dyDescent="0.25">
      <c r="A43" s="66"/>
      <c r="I43" s="71"/>
    </row>
    <row r="44" spans="1:11" ht="20.25" thickBot="1" x14ac:dyDescent="0.35">
      <c r="A44" s="92"/>
      <c r="B44" s="93"/>
      <c r="C44" s="93"/>
      <c r="D44" s="93"/>
      <c r="E44" s="93"/>
      <c r="F44" s="93"/>
      <c r="G44" s="93"/>
      <c r="H44" s="93"/>
      <c r="I44" s="94"/>
      <c r="J44" s="96"/>
      <c r="K44" s="96"/>
    </row>
    <row r="70" spans="7:9" x14ac:dyDescent="0.25">
      <c r="G70" s="150"/>
      <c r="H70" s="151"/>
      <c r="I70" s="12"/>
    </row>
    <row r="71" spans="7:9" x14ac:dyDescent="0.25">
      <c r="G71" s="4"/>
      <c r="H71" s="2"/>
      <c r="I71" s="6"/>
    </row>
    <row r="73" spans="7:9" x14ac:dyDescent="0.25">
      <c r="H73" s="1"/>
    </row>
    <row r="74" spans="7:9" x14ac:dyDescent="0.25">
      <c r="H74" s="2"/>
    </row>
  </sheetData>
  <mergeCells count="17">
    <mergeCell ref="A1:I1"/>
    <mergeCell ref="A2:I2"/>
    <mergeCell ref="A6:I6"/>
    <mergeCell ref="A27:I27"/>
    <mergeCell ref="D37:F37"/>
    <mergeCell ref="B20:B21"/>
    <mergeCell ref="A20:A21"/>
    <mergeCell ref="D15:E15"/>
    <mergeCell ref="D19:F19"/>
    <mergeCell ref="G70:H70"/>
    <mergeCell ref="C23:C24"/>
    <mergeCell ref="A9:B9"/>
    <mergeCell ref="D9:G9"/>
    <mergeCell ref="A19:B19"/>
    <mergeCell ref="D11:D12"/>
    <mergeCell ref="A17:B17"/>
    <mergeCell ref="D33:E33"/>
  </mergeCells>
  <conditionalFormatting sqref="B10">
    <cfRule type="cellIs" dxfId="27" priority="20" operator="lessThan">
      <formula>1</formula>
    </cfRule>
  </conditionalFormatting>
  <conditionalFormatting sqref="E22:F22">
    <cfRule type="cellIs" dxfId="26" priority="27" operator="greaterThan">
      <formula>$I$17+5</formula>
    </cfRule>
    <cfRule type="cellIs" dxfId="25" priority="28" operator="lessThan">
      <formula>$I$17</formula>
    </cfRule>
    <cfRule type="cellIs" dxfId="24" priority="29" operator="between">
      <formula>$I$17</formula>
      <formula>$I$17+5</formula>
    </cfRule>
  </conditionalFormatting>
  <conditionalFormatting sqref="E23:F23">
    <cfRule type="cellIs" dxfId="23" priority="3" operator="lessThan">
      <formula>400</formula>
    </cfRule>
    <cfRule type="cellIs" dxfId="22" priority="4" operator="greaterThan">
      <formula>400</formula>
    </cfRule>
  </conditionalFormatting>
  <conditionalFormatting sqref="E39:F39">
    <cfRule type="cellIs" dxfId="21" priority="30" operator="greaterThan">
      <formula>$H$39+5</formula>
    </cfRule>
    <cfRule type="cellIs" dxfId="20" priority="31" operator="lessThan">
      <formula>$H$39</formula>
    </cfRule>
    <cfRule type="cellIs" dxfId="19" priority="32" operator="between">
      <formula>$H$39</formula>
      <formula>$H$39+5</formula>
    </cfRule>
  </conditionalFormatting>
  <conditionalFormatting sqref="E40:F40">
    <cfRule type="cellIs" dxfId="18" priority="1" operator="lessThan">
      <formula>400</formula>
    </cfRule>
    <cfRule type="cellIs" dxfId="17" priority="2" operator="greaterThan">
      <formula>400</formula>
    </cfRule>
  </conditionalFormatting>
  <conditionalFormatting sqref="F22">
    <cfRule type="cellIs" dxfId="16" priority="15" operator="lessThan">
      <formula>$E$17</formula>
    </cfRule>
  </conditionalFormatting>
  <pageMargins left="0.7" right="0.7" top="0.75" bottom="0.75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Option Button 1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9525</xdr:rowOff>
                  </from>
                  <to>
                    <xdr:col>1</xdr:col>
                    <xdr:colOff>1047750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Option Button 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228600</xdr:rowOff>
                  </from>
                  <to>
                    <xdr:col>1</xdr:col>
                    <xdr:colOff>1047750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Option Button 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19050</xdr:rowOff>
                  </from>
                  <to>
                    <xdr:col>1</xdr:col>
                    <xdr:colOff>1104900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Option Button 4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247650</xdr:rowOff>
                  </from>
                  <to>
                    <xdr:col>1</xdr:col>
                    <xdr:colOff>1095375</xdr:colOff>
                    <xdr:row>10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Group Box 5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Group Box 6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Option Button 7">
              <controlPr defaultSize="0" autoFill="0" autoLine="0" autoPict="0">
                <anchor moveWithCells="1">
                  <from>
                    <xdr:col>4</xdr:col>
                    <xdr:colOff>933450</xdr:colOff>
                    <xdr:row>10</xdr:row>
                    <xdr:rowOff>361950</xdr:rowOff>
                  </from>
                  <to>
                    <xdr:col>4</xdr:col>
                    <xdr:colOff>1171575</xdr:colOff>
                    <xdr:row>11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Option Button 8">
              <controlPr defaultSize="0" autoFill="0" autoLine="0" autoPict="0">
                <anchor moveWithCells="1">
                  <from>
                    <xdr:col>5</xdr:col>
                    <xdr:colOff>1133475</xdr:colOff>
                    <xdr:row>10</xdr:row>
                    <xdr:rowOff>352425</xdr:rowOff>
                  </from>
                  <to>
                    <xdr:col>5</xdr:col>
                    <xdr:colOff>1381125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2" name="Option Button 16">
              <controlPr defaultSize="0" autoFill="0" autoLine="0" autoPict="0">
                <anchor moveWithCells="1">
                  <from>
                    <xdr:col>6</xdr:col>
                    <xdr:colOff>400050</xdr:colOff>
                    <xdr:row>10</xdr:row>
                    <xdr:rowOff>342900</xdr:rowOff>
                  </from>
                  <to>
                    <xdr:col>6</xdr:col>
                    <xdr:colOff>609600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3" name="Group Box 29">
              <controlPr defaultSize="0" autoFill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9525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4" name="Option Button 30">
              <controlPr defaultSize="0" autoFill="0" autoLine="0" autoPict="0">
                <anchor moveWithCells="1">
                  <from>
                    <xdr:col>1</xdr:col>
                    <xdr:colOff>76200</xdr:colOff>
                    <xdr:row>19</xdr:row>
                    <xdr:rowOff>28575</xdr:rowOff>
                  </from>
                  <to>
                    <xdr:col>1</xdr:col>
                    <xdr:colOff>1076325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" name="Option Button 31">
              <controlPr defaultSize="0" autoFill="0" autoLine="0" autoPict="0">
                <anchor moveWithCells="1">
                  <from>
                    <xdr:col>1</xdr:col>
                    <xdr:colOff>76200</xdr:colOff>
                    <xdr:row>19</xdr:row>
                    <xdr:rowOff>276225</xdr:rowOff>
                  </from>
                  <to>
                    <xdr:col>1</xdr:col>
                    <xdr:colOff>1076325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6" name="Option Button 32">
              <controlPr defaultSize="0" autoFill="0" autoLine="0" autoPict="0">
                <anchor moveWithCells="1">
                  <from>
                    <xdr:col>1</xdr:col>
                    <xdr:colOff>76200</xdr:colOff>
                    <xdr:row>20</xdr:row>
                    <xdr:rowOff>200025</xdr:rowOff>
                  </from>
                  <to>
                    <xdr:col>1</xdr:col>
                    <xdr:colOff>1076325</xdr:colOff>
                    <xdr:row>20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3405-4529-4B8E-9AAF-2B090C71F83E}">
  <dimension ref="A1:N79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28.7109375" bestFit="1" customWidth="1"/>
    <col min="2" max="2" width="21.5703125" customWidth="1"/>
    <col min="3" max="3" width="12" bestFit="1" customWidth="1"/>
    <col min="4" max="4" width="27" bestFit="1" customWidth="1"/>
    <col min="5" max="5" width="29.28515625" bestFit="1" customWidth="1"/>
    <col min="6" max="6" width="10.42578125" bestFit="1" customWidth="1"/>
    <col min="7" max="7" width="13.28515625" bestFit="1" customWidth="1"/>
    <col min="8" max="8" width="17.85546875" bestFit="1" customWidth="1"/>
    <col min="9" max="9" width="17.42578125" customWidth="1"/>
    <col min="10" max="10" width="20" customWidth="1"/>
    <col min="11" max="11" width="12.7109375" customWidth="1"/>
  </cols>
  <sheetData>
    <row r="1" spans="1:14" ht="26.25" x14ac:dyDescent="0.4">
      <c r="A1" s="180" t="s">
        <v>59</v>
      </c>
      <c r="B1" s="180"/>
      <c r="C1" s="180"/>
      <c r="D1" s="180"/>
      <c r="E1" s="180"/>
      <c r="F1" s="180"/>
      <c r="G1" s="180"/>
      <c r="H1" s="180"/>
      <c r="I1" s="180"/>
      <c r="J1" s="181"/>
      <c r="K1" s="95"/>
      <c r="L1" s="95"/>
      <c r="M1" s="95"/>
      <c r="N1" s="95"/>
    </row>
    <row r="2" spans="1:14" x14ac:dyDescent="0.25">
      <c r="A2" s="166" t="s">
        <v>110</v>
      </c>
      <c r="B2" s="166"/>
      <c r="C2" s="166"/>
      <c r="D2" s="166"/>
      <c r="E2" s="166"/>
      <c r="F2" s="166"/>
      <c r="G2" s="166"/>
      <c r="H2" s="166"/>
      <c r="I2" s="166"/>
      <c r="J2" s="182"/>
      <c r="K2" s="70"/>
      <c r="L2" s="70"/>
      <c r="M2" s="70"/>
      <c r="N2" s="70"/>
    </row>
    <row r="3" spans="1:14" ht="15.75" thickBot="1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7"/>
      <c r="K3" s="70"/>
      <c r="L3" s="70"/>
      <c r="M3" s="70"/>
      <c r="N3" s="70"/>
    </row>
    <row r="4" spans="1:14" ht="15.75" thickTop="1" x14ac:dyDescent="0.25">
      <c r="A4" s="62"/>
      <c r="B4" s="62"/>
      <c r="C4" s="62"/>
      <c r="D4" s="62"/>
      <c r="E4" s="62"/>
      <c r="F4" s="62"/>
      <c r="G4" s="62"/>
      <c r="H4" s="62"/>
      <c r="I4" s="62"/>
      <c r="J4" s="148"/>
    </row>
    <row r="5" spans="1:14" ht="21" x14ac:dyDescent="0.25">
      <c r="A5" s="149" t="s">
        <v>49</v>
      </c>
      <c r="B5" s="62"/>
      <c r="C5" s="62"/>
      <c r="D5" s="183" t="s">
        <v>0</v>
      </c>
      <c r="E5" s="184"/>
      <c r="F5" s="116"/>
      <c r="G5" s="183" t="s">
        <v>108</v>
      </c>
      <c r="H5" s="184"/>
      <c r="I5" s="184"/>
      <c r="J5" s="148"/>
    </row>
    <row r="6" spans="1:14" ht="102.6" customHeight="1" x14ac:dyDescent="0.25">
      <c r="A6" s="187" t="s">
        <v>109</v>
      </c>
      <c r="B6" s="187"/>
      <c r="C6" s="62"/>
      <c r="D6" s="185" t="s">
        <v>104</v>
      </c>
      <c r="E6" s="185"/>
      <c r="F6" s="116"/>
      <c r="G6" s="185" t="s">
        <v>107</v>
      </c>
      <c r="H6" s="185"/>
      <c r="I6" s="185"/>
      <c r="J6" s="186"/>
    </row>
    <row r="7" spans="1:14" ht="68.45" customHeight="1" x14ac:dyDescent="0.25">
      <c r="A7" s="187"/>
      <c r="B7" s="187"/>
      <c r="C7" s="62"/>
      <c r="D7" s="185" t="s">
        <v>105</v>
      </c>
      <c r="E7" s="185"/>
      <c r="F7" s="116"/>
      <c r="G7" s="185"/>
      <c r="H7" s="185"/>
      <c r="I7" s="185"/>
      <c r="J7" s="186"/>
    </row>
    <row r="8" spans="1:14" x14ac:dyDescent="0.25">
      <c r="A8" s="187"/>
      <c r="B8" s="187"/>
      <c r="C8" s="62"/>
      <c r="D8" s="188" t="s">
        <v>103</v>
      </c>
      <c r="E8" s="188"/>
      <c r="F8" s="116"/>
      <c r="G8" s="185"/>
      <c r="H8" s="185"/>
      <c r="I8" s="185"/>
      <c r="J8" s="186"/>
    </row>
    <row r="9" spans="1:14" ht="234" customHeight="1" x14ac:dyDescent="0.25">
      <c r="A9" s="187"/>
      <c r="B9" s="187"/>
      <c r="C9" s="62"/>
      <c r="D9" s="185" t="s">
        <v>106</v>
      </c>
      <c r="E9" s="185"/>
      <c r="F9" s="116"/>
      <c r="G9" s="185"/>
      <c r="H9" s="185"/>
      <c r="I9" s="185"/>
      <c r="J9" s="186"/>
    </row>
    <row r="10" spans="1:14" x14ac:dyDescent="0.25">
      <c r="A10" s="64"/>
      <c r="B10" s="14"/>
      <c r="C10" s="14"/>
      <c r="D10" s="14"/>
      <c r="E10" s="14"/>
      <c r="F10" s="14"/>
      <c r="G10" s="14"/>
      <c r="H10" s="14"/>
      <c r="I10" s="14"/>
      <c r="J10" s="65"/>
    </row>
    <row r="11" spans="1:14" ht="24" thickBot="1" x14ac:dyDescent="0.4">
      <c r="A11" s="168" t="s">
        <v>0</v>
      </c>
      <c r="B11" s="169"/>
      <c r="C11" s="169"/>
      <c r="D11" s="169"/>
      <c r="E11" s="169"/>
      <c r="F11" s="169"/>
      <c r="G11" s="169"/>
      <c r="H11" s="169"/>
      <c r="I11" s="169"/>
      <c r="J11" s="170"/>
    </row>
    <row r="12" spans="1:14" ht="15.75" thickTop="1" x14ac:dyDescent="0.25">
      <c r="A12" s="66"/>
      <c r="J12" s="97" t="s">
        <v>8</v>
      </c>
    </row>
    <row r="13" spans="1:14" x14ac:dyDescent="0.25">
      <c r="A13" s="66"/>
      <c r="J13" s="97"/>
    </row>
    <row r="14" spans="1:14" x14ac:dyDescent="0.25">
      <c r="A14" s="190" t="s">
        <v>62</v>
      </c>
      <c r="B14" s="191"/>
      <c r="C14" s="46"/>
      <c r="D14" s="156" t="s">
        <v>63</v>
      </c>
      <c r="E14" s="157"/>
      <c r="F14" s="157"/>
      <c r="G14" s="155"/>
      <c r="I14" s="70"/>
      <c r="J14" s="97" t="s">
        <v>29</v>
      </c>
    </row>
    <row r="15" spans="1:14" x14ac:dyDescent="0.25">
      <c r="A15" s="66" t="s">
        <v>1</v>
      </c>
      <c r="B15" s="48">
        <v>66</v>
      </c>
      <c r="D15" s="36" t="s">
        <v>74</v>
      </c>
      <c r="E15" s="36" t="s">
        <v>35</v>
      </c>
      <c r="F15" s="30" t="s">
        <v>36</v>
      </c>
      <c r="G15" s="37" t="s">
        <v>37</v>
      </c>
      <c r="I15" s="70"/>
      <c r="J15" s="97" t="s">
        <v>30</v>
      </c>
    </row>
    <row r="16" spans="1:14" x14ac:dyDescent="0.25">
      <c r="A16" s="66" t="s">
        <v>2</v>
      </c>
      <c r="B16" s="49">
        <v>1</v>
      </c>
      <c r="D16" s="158">
        <f>F16/E16</f>
        <v>1.3012729844413011</v>
      </c>
      <c r="E16" s="16">
        <f>IF(B17&gt;=60,IF(B16=1,50+2.3*(B17-60),45.5+2.3*(B17-60)),"Under 5 ft")</f>
        <v>70.7</v>
      </c>
      <c r="F16" s="17">
        <f>B18</f>
        <v>92</v>
      </c>
      <c r="G16" s="18">
        <f>IF(F16/E16&gt;=1.2,E16+0.4*(F16-E16),"N/A")</f>
        <v>79.22</v>
      </c>
      <c r="I16" s="70"/>
      <c r="J16" s="97" t="s">
        <v>31</v>
      </c>
    </row>
    <row r="17" spans="1:14" x14ac:dyDescent="0.25">
      <c r="A17" s="66" t="s">
        <v>3</v>
      </c>
      <c r="B17" s="50">
        <v>69</v>
      </c>
      <c r="D17" s="159"/>
      <c r="E17" s="19"/>
      <c r="F17" s="20"/>
      <c r="G17" s="23">
        <v>1</v>
      </c>
      <c r="I17" s="70"/>
      <c r="J17" s="97"/>
    </row>
    <row r="18" spans="1:14" ht="15.75" thickBot="1" x14ac:dyDescent="0.3">
      <c r="A18" s="66" t="s">
        <v>4</v>
      </c>
      <c r="B18" s="50">
        <v>92</v>
      </c>
      <c r="J18" s="97"/>
    </row>
    <row r="19" spans="1:14" ht="24.75" thickTop="1" thickBot="1" x14ac:dyDescent="0.4">
      <c r="A19" s="66" t="s">
        <v>5</v>
      </c>
      <c r="B19" s="127">
        <v>2.1</v>
      </c>
      <c r="D19" s="192" t="s">
        <v>12</v>
      </c>
      <c r="E19" s="193"/>
      <c r="F19" s="193"/>
      <c r="G19" s="193"/>
      <c r="H19" s="193"/>
      <c r="I19" s="194"/>
      <c r="J19" s="97"/>
    </row>
    <row r="20" spans="1:14" ht="18.75" thickTop="1" x14ac:dyDescent="0.35">
      <c r="A20" s="67" t="s">
        <v>6</v>
      </c>
      <c r="B20" s="49">
        <v>2</v>
      </c>
      <c r="D20" s="52" t="s">
        <v>32</v>
      </c>
      <c r="E20" s="54">
        <v>600</v>
      </c>
      <c r="F20" s="69"/>
      <c r="G20" s="69"/>
      <c r="H20" s="69"/>
      <c r="I20" s="44"/>
      <c r="J20" s="71"/>
    </row>
    <row r="21" spans="1:14" x14ac:dyDescent="0.25">
      <c r="A21" s="66"/>
      <c r="B21" s="1"/>
      <c r="D21" s="53" t="s">
        <v>56</v>
      </c>
      <c r="E21" s="144">
        <f>E20*B27</f>
        <v>1245.6666666666663</v>
      </c>
      <c r="I21" s="44"/>
      <c r="J21" s="71"/>
    </row>
    <row r="22" spans="1:14" x14ac:dyDescent="0.25">
      <c r="A22" s="66"/>
      <c r="D22" s="45" t="s">
        <v>13</v>
      </c>
      <c r="E22" s="72" t="s">
        <v>11</v>
      </c>
      <c r="F22" s="72" t="s">
        <v>18</v>
      </c>
      <c r="G22" s="72" t="s">
        <v>33</v>
      </c>
      <c r="H22" s="76" t="s">
        <v>19</v>
      </c>
      <c r="I22" s="78" t="s">
        <v>76</v>
      </c>
      <c r="J22" s="98" t="s">
        <v>61</v>
      </c>
    </row>
    <row r="23" spans="1:14" x14ac:dyDescent="0.25">
      <c r="A23" s="190" t="s">
        <v>101</v>
      </c>
      <c r="B23" s="191"/>
      <c r="C23" s="46"/>
      <c r="D23" s="195" t="s">
        <v>14</v>
      </c>
      <c r="E23" s="26">
        <f>FLOOR($E$21/4,250)</f>
        <v>250</v>
      </c>
      <c r="F23" s="27">
        <f>E23*4</f>
        <v>1000</v>
      </c>
      <c r="G23" s="74">
        <f>VLOOKUP(E23,Reference!$A$2:$B$14,2,FALSE)</f>
        <v>60</v>
      </c>
      <c r="H23" s="25">
        <f>F23/$B$27</f>
        <v>481.66978860048181</v>
      </c>
      <c r="I23" s="79">
        <f>J23*EXP(-$B$29*(6-G23/60))</f>
        <v>17.875018323208618</v>
      </c>
      <c r="J23" s="99">
        <f>IFERROR(E23/($B$27*G23/60)*(1-EXP(-$B$29*G23/60))/(1-EXP(-$B$29*6)), "N/A")</f>
        <v>22.400165895034228</v>
      </c>
    </row>
    <row r="24" spans="1:14" ht="19.5" x14ac:dyDescent="0.3">
      <c r="A24" s="66" t="s">
        <v>48</v>
      </c>
      <c r="B24" s="58">
        <f>IF($G$17=1,$K$27,IF($G$17=2,$K$28,$K$29))</f>
        <v>34.601851851851848</v>
      </c>
      <c r="C24" s="47"/>
      <c r="D24" s="196"/>
      <c r="E24" s="26">
        <f>CEILING($E$21/4,250)</f>
        <v>500</v>
      </c>
      <c r="F24" s="27">
        <f>E24*4</f>
        <v>2000</v>
      </c>
      <c r="G24" s="74">
        <f>VLOOKUP(E24,Reference!$A$2:$B$14,2,FALSE)</f>
        <v>60</v>
      </c>
      <c r="H24" s="77">
        <f>F24/$B$27</f>
        <v>963.33957720096362</v>
      </c>
      <c r="I24" s="80">
        <f t="shared" ref="I24" si="0">J24*EXP(-$B$29*(6-G24/60))</f>
        <v>35.750036646417236</v>
      </c>
      <c r="J24" s="99">
        <f>IFERROR(E24/($B$27*G24/60)*(1-EXP(-$B$29*G24/60))/(1-EXP(-$B$29*6)), "N/A")</f>
        <v>44.800331790068455</v>
      </c>
      <c r="K24" s="96"/>
      <c r="L24" s="96"/>
      <c r="M24" s="96"/>
      <c r="N24" s="96"/>
    </row>
    <row r="25" spans="1:14" x14ac:dyDescent="0.25">
      <c r="A25" s="66" t="s">
        <v>28</v>
      </c>
      <c r="B25" s="58">
        <f>B18/(B17*0.0254)^2</f>
        <v>29.951750724757488</v>
      </c>
      <c r="D25" s="195" t="s">
        <v>15</v>
      </c>
      <c r="E25" s="26">
        <f>FLOOR($E$21/3,250)</f>
        <v>250</v>
      </c>
      <c r="F25" s="27">
        <f>E25*3</f>
        <v>750</v>
      </c>
      <c r="G25" s="74">
        <f>VLOOKUP(E25,Reference!$A$2:$B$14,2,FALSE)</f>
        <v>60</v>
      </c>
      <c r="H25" s="77">
        <f>F25/$B$27</f>
        <v>361.25234145036137</v>
      </c>
      <c r="I25" s="80">
        <f>J25*EXP(-$B$29*(8-G25/60))</f>
        <v>12.784285803143396</v>
      </c>
      <c r="J25" s="99">
        <f>IFERROR(E25/($B$27*G25/60)*(1-EXP(-$B$29*G25/60))/(1-EXP(-$B$29*8)), "N/A")</f>
        <v>17.534084928140924</v>
      </c>
      <c r="K25" s="22"/>
      <c r="L25" s="22"/>
    </row>
    <row r="26" spans="1:14" x14ac:dyDescent="0.25">
      <c r="A26" s="68" t="s">
        <v>81</v>
      </c>
      <c r="B26" s="51"/>
      <c r="C26" s="46"/>
      <c r="D26" s="196"/>
      <c r="E26" s="26">
        <f>CEILING($E$21/3,250)</f>
        <v>500</v>
      </c>
      <c r="F26" s="27">
        <f>E26*3</f>
        <v>1500</v>
      </c>
      <c r="G26" s="74">
        <f>VLOOKUP(E26,Reference!$A$2:$B$14,2,FALSE)</f>
        <v>60</v>
      </c>
      <c r="H26" s="77">
        <f>F26/$B$27</f>
        <v>722.50468290072274</v>
      </c>
      <c r="I26" s="80">
        <f>J26*EXP(-$B$29*(8-G26/60))</f>
        <v>25.568571606286792</v>
      </c>
      <c r="J26" s="99">
        <f>IFERROR(E26/($B$27*G26/60)*(1-EXP(-$B$29*G26/60))/(1-EXP(-$B$29*8)),"N/A")</f>
        <v>35.068169856281848</v>
      </c>
      <c r="K26" s="22"/>
      <c r="L26" s="22"/>
    </row>
    <row r="27" spans="1:14" x14ac:dyDescent="0.25">
      <c r="A27" s="66" t="s">
        <v>9</v>
      </c>
      <c r="B27" s="58">
        <f>B24*0.06</f>
        <v>2.0761111111111106</v>
      </c>
      <c r="D27" s="195" t="s">
        <v>16</v>
      </c>
      <c r="E27" s="26">
        <f>FLOOR($E$21/2,250)</f>
        <v>500</v>
      </c>
      <c r="F27" s="27">
        <f>E27*2</f>
        <v>1000</v>
      </c>
      <c r="G27" s="74">
        <f>VLOOKUP(E27,Reference!$A$2:$B$14,2,FALSE)</f>
        <v>60</v>
      </c>
      <c r="H27" s="77">
        <f t="shared" ref="H27:H30" si="1">F27/$B$27</f>
        <v>481.66978860048181</v>
      </c>
      <c r="I27" s="80">
        <f>J27*EXP(-$B$29*(12-G27/60))</f>
        <v>15.46944906033144</v>
      </c>
      <c r="J27" s="99">
        <f>IFERROR(E27/($B$27*G27/60)*(1-EXP(-$B$29*G27/60))/(1-EXP(-$B$29*12)),"N/A")</f>
        <v>25.414716682402123</v>
      </c>
      <c r="K27" s="22">
        <f>IF($B$20=1,(140-$B$15)*E16/72,(140-$B$15)*E16/(72*$B$19))</f>
        <v>34.601851851851848</v>
      </c>
      <c r="L27" s="22"/>
    </row>
    <row r="28" spans="1:14" ht="18" x14ac:dyDescent="0.35">
      <c r="A28" s="66" t="s">
        <v>38</v>
      </c>
      <c r="B28" s="58">
        <f>IF($A$25&gt;=40, 0.5*$B$18,0.7*$B$18)</f>
        <v>46</v>
      </c>
      <c r="C28" s="47"/>
      <c r="D28" s="196"/>
      <c r="E28" s="26">
        <f>CEILING($E$21/2,250)</f>
        <v>750</v>
      </c>
      <c r="F28" s="27">
        <f>E28*2</f>
        <v>1500</v>
      </c>
      <c r="G28" s="74">
        <f>VLOOKUP(E28,Reference!$A$2:$B$14,2,FALSE)</f>
        <v>90</v>
      </c>
      <c r="H28" s="77">
        <f t="shared" si="1"/>
        <v>722.50468290072274</v>
      </c>
      <c r="I28" s="80">
        <f>J28*EXP(-$B$29*(12-G28/60))</f>
        <v>23.469963571883962</v>
      </c>
      <c r="J28" s="99">
        <f>IFERROR(E28/($B$27*G28/60)*(1-EXP(-$B$29*G28/60))/(1-EXP(-$B$29*12)),"N/A")</f>
        <v>37.698352200302288</v>
      </c>
      <c r="K28" s="22">
        <f>IF($B$20=1,(140-$B$15)*F16/72,(140-$B$15)*F16/(72*$B$19))</f>
        <v>45.026455026455018</v>
      </c>
      <c r="L28" s="22"/>
    </row>
    <row r="29" spans="1:14" ht="38.25" customHeight="1" x14ac:dyDescent="0.35">
      <c r="A29" s="66" t="s">
        <v>21</v>
      </c>
      <c r="B29" s="59">
        <f>B27/B28</f>
        <v>4.5132850241545883E-2</v>
      </c>
      <c r="D29" s="195" t="s">
        <v>17</v>
      </c>
      <c r="E29" s="26">
        <f>FLOOR($E$21,250)</f>
        <v>1000</v>
      </c>
      <c r="F29" s="27">
        <f>E29</f>
        <v>1000</v>
      </c>
      <c r="G29" s="74">
        <f>VLOOKUP(E29,Reference!$A$2:$B$14,2,FALSE)</f>
        <v>90</v>
      </c>
      <c r="H29" s="77">
        <f t="shared" si="1"/>
        <v>481.66978860048181</v>
      </c>
      <c r="I29" s="80">
        <f>J29*EXP(-$B$29*(24-G29/60))</f>
        <v>11.510196114134695</v>
      </c>
      <c r="J29" s="99">
        <f>IFERROR(E29/($B$27*G29/60)*(1-EXP(-$B$29*G29/60))/(1-EXP(-$B$29*24)), "N/A")</f>
        <v>31.776352834639798</v>
      </c>
      <c r="K29" s="22">
        <f>IFERROR(IF($B$20=1,(140-$B$15)*G16/72,(140-$B$15)*G16/(72*$B$19)), "N/A")</f>
        <v>38.771693121693119</v>
      </c>
      <c r="L29" s="22"/>
    </row>
    <row r="30" spans="1:14" ht="18.75" thickBot="1" x14ac:dyDescent="0.4">
      <c r="A30" s="67" t="s">
        <v>22</v>
      </c>
      <c r="B30" s="32">
        <f>-LN(0.5)/B29</f>
        <v>15.357930572749126</v>
      </c>
      <c r="D30" s="197"/>
      <c r="E30" s="39">
        <f>CEILING($E$21,250)</f>
        <v>1250</v>
      </c>
      <c r="F30" s="39">
        <f>E30</f>
        <v>1250</v>
      </c>
      <c r="G30" s="75">
        <f>VLOOKUP(E30,Reference!$A$2:$B$14,2,FALSE)</f>
        <v>120</v>
      </c>
      <c r="H30" s="40">
        <f t="shared" si="1"/>
        <v>602.08723575060219</v>
      </c>
      <c r="I30" s="81">
        <f>J30*EXP(-$B$29*(24-G30/60))</f>
        <v>14.553165624708182</v>
      </c>
      <c r="J30" s="99">
        <f>IFERROR(E30/($B$27*G30/60)*(1-EXP(-$B$29*G30/60))/(1-EXP(-$B$29*24)), "N/A")</f>
        <v>39.280619076889245</v>
      </c>
      <c r="K30" s="22"/>
      <c r="L30" s="22"/>
    </row>
    <row r="31" spans="1:14" ht="15.75" thickTop="1" x14ac:dyDescent="0.25">
      <c r="A31" s="66"/>
      <c r="J31" s="71"/>
      <c r="K31" s="22"/>
      <c r="L31" s="22"/>
    </row>
    <row r="32" spans="1:14" ht="20.25" thickBot="1" x14ac:dyDescent="0.35">
      <c r="A32" s="198" t="s">
        <v>47</v>
      </c>
      <c r="B32" s="199"/>
      <c r="C32" s="199"/>
      <c r="D32" s="199"/>
      <c r="E32" s="199"/>
      <c r="F32" s="199"/>
      <c r="G32" s="199"/>
      <c r="H32" s="199"/>
      <c r="I32" s="199"/>
      <c r="J32" s="200"/>
      <c r="K32" s="22"/>
      <c r="L32" s="22"/>
    </row>
    <row r="33" spans="1:14" ht="35.25" customHeight="1" thickTop="1" x14ac:dyDescent="0.25">
      <c r="A33" s="66"/>
      <c r="J33" s="71"/>
    </row>
    <row r="34" spans="1:14" x14ac:dyDescent="0.25">
      <c r="A34" s="68" t="s">
        <v>64</v>
      </c>
      <c r="B34" s="102"/>
      <c r="C34" s="33"/>
      <c r="D34" s="46"/>
      <c r="E34" s="24" t="s">
        <v>20</v>
      </c>
      <c r="F34" s="33"/>
      <c r="G34" s="46"/>
      <c r="J34" s="71"/>
    </row>
    <row r="35" spans="1:14" ht="30" x14ac:dyDescent="0.25">
      <c r="A35" s="66" t="s">
        <v>23</v>
      </c>
      <c r="B35" s="48">
        <v>750</v>
      </c>
      <c r="C35" s="7"/>
      <c r="E35" s="56" t="s">
        <v>54</v>
      </c>
      <c r="F35" s="60">
        <f>((B43-B44)-(B41-B42))*24</f>
        <v>5.0333333333255723</v>
      </c>
      <c r="J35" s="71"/>
    </row>
    <row r="36" spans="1:14" ht="30" x14ac:dyDescent="0.25">
      <c r="A36" s="66" t="s">
        <v>24</v>
      </c>
      <c r="B36" s="50">
        <v>8</v>
      </c>
      <c r="C36" s="7"/>
      <c r="E36" s="56" t="s">
        <v>55</v>
      </c>
      <c r="F36" s="60">
        <f>24*(B41-B42)-B37</f>
        <v>1.2499999998835847</v>
      </c>
      <c r="J36" s="71"/>
    </row>
    <row r="37" spans="1:14" x14ac:dyDescent="0.25">
      <c r="A37" s="66" t="s">
        <v>25</v>
      </c>
      <c r="B37" s="104">
        <f>VLOOKUP(B35,Reference!A2:B14,2,FALSE)/60</f>
        <v>1.5</v>
      </c>
      <c r="C37" s="7"/>
      <c r="E37" s="15"/>
      <c r="F37" s="57"/>
      <c r="J37" s="71"/>
    </row>
    <row r="38" spans="1:14" x14ac:dyDescent="0.25">
      <c r="A38" s="66"/>
      <c r="C38" s="7"/>
      <c r="E38" s="4" t="s">
        <v>40</v>
      </c>
      <c r="F38" s="60">
        <f>C41/EXP(-$B$48*F36)</f>
        <v>19.54997302292557</v>
      </c>
      <c r="J38" s="71"/>
    </row>
    <row r="39" spans="1:14" x14ac:dyDescent="0.25">
      <c r="A39" s="68" t="s">
        <v>65</v>
      </c>
      <c r="B39" s="102"/>
      <c r="C39" s="33"/>
      <c r="D39" s="46"/>
      <c r="E39" s="4" t="s">
        <v>41</v>
      </c>
      <c r="F39" s="60">
        <f>F38*EXP(-$B$48*(B36-B37))</f>
        <v>7.3563806488989414</v>
      </c>
      <c r="J39" s="71"/>
    </row>
    <row r="40" spans="1:14" ht="18" x14ac:dyDescent="0.35">
      <c r="A40" s="66"/>
      <c r="B40" t="s">
        <v>26</v>
      </c>
      <c r="C40" s="7" t="s">
        <v>39</v>
      </c>
      <c r="D40" s="46"/>
      <c r="E40" s="15"/>
      <c r="F40" s="57"/>
      <c r="J40" s="71"/>
    </row>
    <row r="41" spans="1:14" ht="18" x14ac:dyDescent="0.35">
      <c r="A41" s="66" t="s">
        <v>50</v>
      </c>
      <c r="B41" s="31">
        <v>44082.331944444442</v>
      </c>
      <c r="C41" s="55">
        <v>16.2</v>
      </c>
      <c r="E41" s="4" t="s">
        <v>84</v>
      </c>
      <c r="F41" s="60">
        <f>B37*(F38+F39)/2</f>
        <v>20.179765253868382</v>
      </c>
      <c r="J41" s="71"/>
    </row>
    <row r="42" spans="1:14" ht="18" x14ac:dyDescent="0.35">
      <c r="A42" s="66" t="s">
        <v>52</v>
      </c>
      <c r="B42" s="31">
        <v>44082.217361111114</v>
      </c>
      <c r="C42" s="37"/>
      <c r="E42" s="4" t="s">
        <v>85</v>
      </c>
      <c r="F42" s="60">
        <f>(F38-F39)/B48</f>
        <v>81.090521480109246</v>
      </c>
      <c r="J42" s="71"/>
    </row>
    <row r="43" spans="1:14" ht="18" x14ac:dyDescent="0.35">
      <c r="A43" s="66" t="s">
        <v>51</v>
      </c>
      <c r="B43" s="31">
        <v>44082.541666666664</v>
      </c>
      <c r="C43" s="55">
        <v>7.6</v>
      </c>
      <c r="E43" s="5" t="s">
        <v>86</v>
      </c>
      <c r="F43" s="60">
        <f>(F41+F42) * (24/$B$36)</f>
        <v>303.81086020193288</v>
      </c>
      <c r="J43" s="71"/>
    </row>
    <row r="44" spans="1:14" x14ac:dyDescent="0.25">
      <c r="A44" s="67" t="s">
        <v>53</v>
      </c>
      <c r="B44" s="31">
        <v>44082.217361111114</v>
      </c>
      <c r="C44" s="8"/>
      <c r="G44" t="s">
        <v>42</v>
      </c>
      <c r="J44" s="71"/>
    </row>
    <row r="45" spans="1:14" ht="19.5" x14ac:dyDescent="0.3">
      <c r="A45" s="66"/>
      <c r="B45" s="101"/>
      <c r="J45" s="71"/>
      <c r="K45" s="96"/>
      <c r="L45" s="96"/>
      <c r="M45" s="96"/>
      <c r="N45" s="96"/>
    </row>
    <row r="46" spans="1:14" ht="15.75" thickBot="1" x14ac:dyDescent="0.3">
      <c r="A46" s="66"/>
      <c r="D46" s="46"/>
      <c r="J46" s="71"/>
    </row>
    <row r="47" spans="1:14" ht="24" thickTop="1" x14ac:dyDescent="0.35">
      <c r="A47" s="24" t="s">
        <v>27</v>
      </c>
      <c r="B47" s="33"/>
      <c r="D47" s="201" t="s">
        <v>12</v>
      </c>
      <c r="E47" s="202"/>
      <c r="F47" s="202"/>
      <c r="G47" s="202"/>
      <c r="H47" s="202"/>
      <c r="I47" s="203"/>
      <c r="J47" s="71"/>
    </row>
    <row r="48" spans="1:14" ht="18" x14ac:dyDescent="0.35">
      <c r="A48" s="10" t="s">
        <v>43</v>
      </c>
      <c r="B48" s="59">
        <f>LN(C41/C43)/F35</f>
        <v>0.15037013144646758</v>
      </c>
      <c r="D48" s="41" t="s">
        <v>32</v>
      </c>
      <c r="E48" s="35">
        <v>600</v>
      </c>
      <c r="F48" s="9"/>
      <c r="G48" s="9"/>
      <c r="H48" s="9"/>
      <c r="I48" s="42"/>
      <c r="J48" s="71"/>
    </row>
    <row r="49" spans="1:10" ht="18" x14ac:dyDescent="0.35">
      <c r="A49" s="4" t="s">
        <v>44</v>
      </c>
      <c r="B49" s="58">
        <f>B35*(24/B36)/F43</f>
        <v>7.4059235357962532</v>
      </c>
      <c r="D49" s="43" t="s">
        <v>57</v>
      </c>
      <c r="E49" s="145">
        <f>E48*B49</f>
        <v>4443.5541214777522</v>
      </c>
      <c r="I49" s="44"/>
      <c r="J49" s="71"/>
    </row>
    <row r="50" spans="1:10" ht="18" x14ac:dyDescent="0.35">
      <c r="A50" s="4" t="s">
        <v>46</v>
      </c>
      <c r="B50" s="58">
        <f>B49/B48</f>
        <v>49.251293887661426</v>
      </c>
      <c r="D50" s="38" t="s">
        <v>13</v>
      </c>
      <c r="E50" s="72" t="s">
        <v>11</v>
      </c>
      <c r="F50" s="72" t="s">
        <v>18</v>
      </c>
      <c r="G50" s="72" t="s">
        <v>33</v>
      </c>
      <c r="H50" s="72" t="s">
        <v>19</v>
      </c>
      <c r="I50" s="73" t="s">
        <v>76</v>
      </c>
      <c r="J50" s="100" t="s">
        <v>60</v>
      </c>
    </row>
    <row r="51" spans="1:10" ht="18" x14ac:dyDescent="0.35">
      <c r="A51" s="5" t="s">
        <v>45</v>
      </c>
      <c r="B51" s="32">
        <f>-LN(0.5)/B48</f>
        <v>4.609606800847339</v>
      </c>
      <c r="D51" s="195" t="s">
        <v>14</v>
      </c>
      <c r="E51" s="26">
        <f>FLOOR($E$49/4,250)</f>
        <v>1000</v>
      </c>
      <c r="F51" s="27">
        <f>E51*4</f>
        <v>4000</v>
      </c>
      <c r="G51" s="27">
        <f>VLOOKUP(E51,Reference!$A$2:$B$14,2,FALSE)</f>
        <v>90</v>
      </c>
      <c r="H51" s="88">
        <f>F51/$B$49</f>
        <v>540.10819591454731</v>
      </c>
      <c r="I51" s="89">
        <f>J51*EXP(-$B$48*(6-G51/60))</f>
        <v>15.546136213297689</v>
      </c>
      <c r="J51" s="99">
        <f>IFERROR(E51/($B$49*G51/60)*(1-EXP(-$B$48*G51/60))/(1-EXP(-$B$48*6)), "N/A")</f>
        <v>30.584022260147794</v>
      </c>
    </row>
    <row r="52" spans="1:10" x14ac:dyDescent="0.25">
      <c r="D52" s="196"/>
      <c r="E52" s="26">
        <f>CEILING($E$49/4,250)</f>
        <v>1250</v>
      </c>
      <c r="F52" s="27">
        <f>E52*4</f>
        <v>5000</v>
      </c>
      <c r="G52" s="27">
        <f>VLOOKUP(E52,Reference!$A$2:$B$14,2,FALSE)</f>
        <v>120</v>
      </c>
      <c r="H52" s="88">
        <f>F52/$B$49</f>
        <v>675.13524489318422</v>
      </c>
      <c r="I52" s="89">
        <f>J52*EXP(-$B$48*(6-G52/60))</f>
        <v>20.210353249386785</v>
      </c>
      <c r="J52" s="99">
        <f>IFERROR(E52/($B$49*G52/60)*(1-EXP(-$B$48*G52/60))/(1-EXP(-$B$48*6)), "N/A")</f>
        <v>36.88022634434499</v>
      </c>
    </row>
    <row r="53" spans="1:10" x14ac:dyDescent="0.25">
      <c r="A53" s="66"/>
      <c r="D53" s="195" t="s">
        <v>15</v>
      </c>
      <c r="E53" s="26">
        <f>FLOOR($E$49/3,250)</f>
        <v>1250</v>
      </c>
      <c r="F53" s="27">
        <f>E53*3</f>
        <v>3750</v>
      </c>
      <c r="G53" s="27">
        <f>VLOOKUP(E53,Reference!$A$2:$B$14,2,FALSE)</f>
        <v>120</v>
      </c>
      <c r="H53" s="88">
        <f t="shared" ref="H53:H58" si="2">F53/$B$49</f>
        <v>506.35143366988814</v>
      </c>
      <c r="I53" s="89">
        <f>J53*EXP(-$B$48*(8-G53/60))</f>
        <v>12.708192064978514</v>
      </c>
      <c r="J53" s="99">
        <f>IFERROR(E53/($B$49*G53/60)*(1-EXP(-$B$48*G53/60))/(1-EXP(-$B$48*8)), "N/A")</f>
        <v>31.326601309017807</v>
      </c>
    </row>
    <row r="54" spans="1:10" x14ac:dyDescent="0.25">
      <c r="A54" s="66"/>
      <c r="D54" s="196"/>
      <c r="E54" s="26">
        <f>CEILING($E$49/3,250)</f>
        <v>1500</v>
      </c>
      <c r="F54" s="27">
        <f>E54*3</f>
        <v>4500</v>
      </c>
      <c r="G54" s="27">
        <f>VLOOKUP(E54,Reference!$A$2:$B$14,2,FALSE)</f>
        <v>150</v>
      </c>
      <c r="H54" s="88">
        <f t="shared" si="2"/>
        <v>607.62172040386577</v>
      </c>
      <c r="I54" s="89">
        <f>J54*EXP(-$B$48*(8-G54/60))</f>
        <v>15.867557798639421</v>
      </c>
      <c r="J54" s="99">
        <f>IFERROR(E54/($B$49*G54/60)*(1-EXP(-$B$48*G54/60))/(1-EXP(-$B$48*8)), "N/A")</f>
        <v>36.281659212334731</v>
      </c>
    </row>
    <row r="55" spans="1:10" x14ac:dyDescent="0.25">
      <c r="A55" s="66"/>
      <c r="D55" s="195" t="s">
        <v>16</v>
      </c>
      <c r="E55" s="26">
        <f>FLOOR($E$49/2,250)</f>
        <v>2000</v>
      </c>
      <c r="F55" s="27">
        <f>E55*2</f>
        <v>4000</v>
      </c>
      <c r="G55" s="27">
        <f>VLOOKUP(E55,Reference!$A$2:$B$14,2,FALSE)</f>
        <v>180</v>
      </c>
      <c r="H55" s="88">
        <f t="shared" si="2"/>
        <v>540.10819591454731</v>
      </c>
      <c r="I55" s="89">
        <f>J55*EXP(-$B$48*(12-G55/60))</f>
        <v>10.108226732010204</v>
      </c>
      <c r="J55" s="99">
        <f>IFERROR(E55/($B$49*G55/60)*(1-EXP(-$B$48*G55/60))/(1-EXP(-$B$48*12)), "N/A")</f>
        <v>39.121837042938203</v>
      </c>
    </row>
    <row r="56" spans="1:10" x14ac:dyDescent="0.25">
      <c r="A56" s="66"/>
      <c r="D56" s="196"/>
      <c r="E56" s="26">
        <f>CEILING($E$49/2,250)</f>
        <v>2250</v>
      </c>
      <c r="F56" s="27">
        <f>E56*2</f>
        <v>4500</v>
      </c>
      <c r="G56" s="27">
        <f>VLOOKUP(E56,Reference!$A$2:$B$14,2,FALSE)</f>
        <v>210</v>
      </c>
      <c r="H56" s="88">
        <f t="shared" si="2"/>
        <v>607.62172040386577</v>
      </c>
      <c r="I56" s="89">
        <f>J56*EXP(-$B$48*(12-G56/60))</f>
        <v>11.843449488626874</v>
      </c>
      <c r="J56" s="99">
        <f>IFERROR(E56/($B$49*G56/60)*(1-EXP(-$B$48*G56/60))/(1-EXP(-$B$48*12)), "N/A")</f>
        <v>42.517724934301846</v>
      </c>
    </row>
    <row r="57" spans="1:10" x14ac:dyDescent="0.25">
      <c r="A57" s="66"/>
      <c r="D57" s="195" t="s">
        <v>17</v>
      </c>
      <c r="E57" s="26">
        <f>FLOOR($E$49,250)</f>
        <v>4250</v>
      </c>
      <c r="F57" s="27">
        <f>E57</f>
        <v>4250</v>
      </c>
      <c r="G57" s="27" t="e">
        <f>VLOOKUP(E57,Reference!$A$2:$B$14,2,FALSE)</f>
        <v>#N/A</v>
      </c>
      <c r="H57" s="88">
        <f t="shared" si="2"/>
        <v>573.86495815920659</v>
      </c>
      <c r="I57" s="89" t="e">
        <f>J57*EXP(-$B$48*(24-G57/60))</f>
        <v>#VALUE!</v>
      </c>
      <c r="J57" s="99" t="str">
        <f>IFERROR(E57/($B$49*G57/60)*(1-EXP(-$B$48*G57/60))/(1-EXP(-$B$48*24)), "N/A")</f>
        <v>N/A</v>
      </c>
    </row>
    <row r="58" spans="1:10" ht="15.75" thickBot="1" x14ac:dyDescent="0.3">
      <c r="A58" s="66"/>
      <c r="D58" s="197"/>
      <c r="E58" s="39">
        <f>CEILING($E$49,250)</f>
        <v>4500</v>
      </c>
      <c r="F58" s="39">
        <f>E58</f>
        <v>4500</v>
      </c>
      <c r="G58" s="40" t="e">
        <f>VLOOKUP(E58,Reference!$A$2:$B$14,2,FALSE)</f>
        <v>#N/A</v>
      </c>
      <c r="H58" s="90">
        <f t="shared" si="2"/>
        <v>607.62172040386577</v>
      </c>
      <c r="I58" s="91" t="e">
        <f>J58*EXP(-$B$48*(24-G58/60))</f>
        <v>#VALUE!</v>
      </c>
      <c r="J58" s="99" t="str">
        <f>IFERROR(E58/($B$49*G58/60)*(1-EXP(-$B$48*G58/60))/(1-EXP(-$B$48*24)), "N/A")</f>
        <v>N/A</v>
      </c>
    </row>
    <row r="59" spans="1:10" ht="15.75" thickTop="1" x14ac:dyDescent="0.25">
      <c r="A59" s="66"/>
      <c r="J59" s="71"/>
    </row>
    <row r="60" spans="1:10" x14ac:dyDescent="0.25">
      <c r="A60" s="66"/>
      <c r="J60" s="71"/>
    </row>
    <row r="61" spans="1:10" x14ac:dyDescent="0.25">
      <c r="A61" s="66"/>
      <c r="J61" s="71"/>
    </row>
    <row r="62" spans="1:10" ht="20.25" thickBot="1" x14ac:dyDescent="0.35">
      <c r="A62" s="92"/>
      <c r="B62" s="93"/>
      <c r="C62" s="93"/>
      <c r="D62" s="93"/>
      <c r="E62" s="93"/>
      <c r="F62" s="93"/>
      <c r="G62" s="93"/>
      <c r="H62" s="93"/>
      <c r="I62" s="93"/>
      <c r="J62" s="94"/>
    </row>
    <row r="75" spans="7:14" ht="19.5" x14ac:dyDescent="0.3">
      <c r="G75" s="189"/>
      <c r="H75" s="189"/>
      <c r="I75" s="46"/>
      <c r="K75" s="96"/>
      <c r="L75" s="96"/>
      <c r="M75" s="96"/>
      <c r="N75" s="96"/>
    </row>
    <row r="76" spans="7:14" x14ac:dyDescent="0.25">
      <c r="H76" s="2"/>
      <c r="I76" s="47"/>
    </row>
    <row r="78" spans="7:14" x14ac:dyDescent="0.25">
      <c r="H78" s="1"/>
    </row>
    <row r="79" spans="7:14" x14ac:dyDescent="0.25">
      <c r="H79" s="2"/>
    </row>
  </sheetData>
  <mergeCells count="27">
    <mergeCell ref="G75:H75"/>
    <mergeCell ref="A23:B23"/>
    <mergeCell ref="D14:G14"/>
    <mergeCell ref="D16:D17"/>
    <mergeCell ref="A14:B14"/>
    <mergeCell ref="D19:I19"/>
    <mergeCell ref="D53:D54"/>
    <mergeCell ref="D55:D56"/>
    <mergeCell ref="D57:D58"/>
    <mergeCell ref="D23:D24"/>
    <mergeCell ref="D25:D26"/>
    <mergeCell ref="D27:D28"/>
    <mergeCell ref="D29:D30"/>
    <mergeCell ref="D51:D52"/>
    <mergeCell ref="A32:J32"/>
    <mergeCell ref="D47:I47"/>
    <mergeCell ref="A1:J1"/>
    <mergeCell ref="A2:J2"/>
    <mergeCell ref="A11:J11"/>
    <mergeCell ref="G5:I5"/>
    <mergeCell ref="D6:E6"/>
    <mergeCell ref="D7:E7"/>
    <mergeCell ref="G6:J9"/>
    <mergeCell ref="A6:B9"/>
    <mergeCell ref="D9:E9"/>
    <mergeCell ref="D5:E5"/>
    <mergeCell ref="D8:E8"/>
  </mergeCells>
  <conditionalFormatting sqref="B15">
    <cfRule type="cellIs" dxfId="15" priority="26" operator="lessThan">
      <formula>1</formula>
    </cfRule>
  </conditionalFormatting>
  <conditionalFormatting sqref="F43">
    <cfRule type="cellIs" dxfId="14" priority="1" operator="greaterThan">
      <formula>600</formula>
    </cfRule>
    <cfRule type="cellIs" dxfId="13" priority="2" operator="lessThan">
      <formula>400</formula>
    </cfRule>
    <cfRule type="cellIs" dxfId="12" priority="3" operator="between">
      <formula>400</formula>
      <formula>600</formula>
    </cfRule>
  </conditionalFormatting>
  <conditionalFormatting sqref="H23:H30">
    <cfRule type="cellIs" dxfId="11" priority="10" operator="greaterThan">
      <formula>600</formula>
    </cfRule>
    <cfRule type="cellIs" dxfId="10" priority="11" operator="lessThan">
      <formula>400</formula>
    </cfRule>
    <cfRule type="cellIs" dxfId="9" priority="12" operator="between">
      <formula>400</formula>
      <formula>600</formula>
    </cfRule>
  </conditionalFormatting>
  <conditionalFormatting sqref="H51:H58">
    <cfRule type="cellIs" dxfId="8" priority="6" operator="greaterThan">
      <formula>600</formula>
    </cfRule>
    <cfRule type="cellIs" dxfId="7" priority="7" operator="lessThan">
      <formula>400</formula>
    </cfRule>
    <cfRule type="cellIs" dxfId="6" priority="9" operator="between">
      <formula>400</formula>
      <formula>600</formula>
    </cfRule>
  </conditionalFormatting>
  <conditionalFormatting sqref="I23:I30">
    <cfRule type="cellIs" dxfId="5" priority="13" operator="greaterThan">
      <formula>20</formula>
    </cfRule>
    <cfRule type="cellIs" dxfId="4" priority="14" operator="lessThan">
      <formula>10</formula>
    </cfRule>
    <cfRule type="cellIs" dxfId="3" priority="15" operator="between">
      <formula>10</formula>
      <formula>20</formula>
    </cfRule>
  </conditionalFormatting>
  <conditionalFormatting sqref="I51:I58">
    <cfRule type="cellIs" dxfId="2" priority="4" operator="greaterThan">
      <formula>20</formula>
    </cfRule>
    <cfRule type="cellIs" dxfId="1" priority="5" operator="lessThan">
      <formula>10</formula>
    </cfRule>
    <cfRule type="cellIs" dxfId="0" priority="8" operator="between">
      <formula>10</formula>
      <formula>20</formula>
    </cfRule>
  </conditionalFormatting>
  <pageMargins left="0.7" right="0.7" top="0.75" bottom="0.75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Option Button 9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9525</xdr:rowOff>
                  </from>
                  <to>
                    <xdr:col>1</xdr:col>
                    <xdr:colOff>1047750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5" name="Option Button 11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228600</xdr:rowOff>
                  </from>
                  <to>
                    <xdr:col>1</xdr:col>
                    <xdr:colOff>1047750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6" name="Option Button 20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7" name="Option Button 21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247650</xdr:rowOff>
                  </from>
                  <to>
                    <xdr:col>1</xdr:col>
                    <xdr:colOff>1114425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8" name="Group Box 2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9" name="Group Box 23">
              <controlPr defaultSize="0" autoFill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0" name="Option Button 32">
              <controlPr defaultSize="0" autoFill="0" autoLine="0" autoPict="0">
                <anchor moveWithCells="1">
                  <from>
                    <xdr:col>4</xdr:col>
                    <xdr:colOff>933450</xdr:colOff>
                    <xdr:row>15</xdr:row>
                    <xdr:rowOff>342900</xdr:rowOff>
                  </from>
                  <to>
                    <xdr:col>4</xdr:col>
                    <xdr:colOff>1152525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1" name="Option Button 37">
              <controlPr defaultSize="0" autoFill="0" autoLine="0" autoPict="0">
                <anchor moveWithCells="1">
                  <from>
                    <xdr:col>5</xdr:col>
                    <xdr:colOff>266700</xdr:colOff>
                    <xdr:row>15</xdr:row>
                    <xdr:rowOff>361950</xdr:rowOff>
                  </from>
                  <to>
                    <xdr:col>5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2" name="Option Button 38">
              <controlPr defaultSize="0" autoFill="0" autoLine="0" autoPict="0">
                <anchor moveWithCells="1">
                  <from>
                    <xdr:col>6</xdr:col>
                    <xdr:colOff>381000</xdr:colOff>
                    <xdr:row>15</xdr:row>
                    <xdr:rowOff>361950</xdr:rowOff>
                  </from>
                  <to>
                    <xdr:col>6</xdr:col>
                    <xdr:colOff>609600</xdr:colOff>
                    <xdr:row>17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E87F-8A9C-4960-BC38-1C901DAE0B07}">
  <dimension ref="A1:B14"/>
  <sheetViews>
    <sheetView workbookViewId="0">
      <selection activeCell="B12" sqref="B12"/>
    </sheetView>
  </sheetViews>
  <sheetFormatPr defaultRowHeight="15" x14ac:dyDescent="0.25"/>
  <cols>
    <col min="1" max="1" width="10" bestFit="1" customWidth="1"/>
    <col min="2" max="2" width="20.42578125" customWidth="1"/>
  </cols>
  <sheetData>
    <row r="1" spans="1:2" x14ac:dyDescent="0.25">
      <c r="A1" s="204" t="s">
        <v>10</v>
      </c>
      <c r="B1" s="204"/>
    </row>
    <row r="2" spans="1:2" x14ac:dyDescent="0.25">
      <c r="A2" s="3" t="s">
        <v>11</v>
      </c>
      <c r="B2" s="3" t="s">
        <v>34</v>
      </c>
    </row>
    <row r="3" spans="1:2" x14ac:dyDescent="0.25">
      <c r="A3" s="3">
        <v>250</v>
      </c>
      <c r="B3" s="3">
        <v>60</v>
      </c>
    </row>
    <row r="4" spans="1:2" x14ac:dyDescent="0.25">
      <c r="A4" s="3">
        <v>500</v>
      </c>
      <c r="B4" s="3">
        <v>60</v>
      </c>
    </row>
    <row r="5" spans="1:2" x14ac:dyDescent="0.25">
      <c r="A5" s="3">
        <v>750</v>
      </c>
      <c r="B5" s="3">
        <v>90</v>
      </c>
    </row>
    <row r="6" spans="1:2" x14ac:dyDescent="0.25">
      <c r="A6" s="3">
        <v>1000</v>
      </c>
      <c r="B6" s="3">
        <v>90</v>
      </c>
    </row>
    <row r="7" spans="1:2" x14ac:dyDescent="0.25">
      <c r="A7" s="3">
        <v>1250</v>
      </c>
      <c r="B7" s="3">
        <v>120</v>
      </c>
    </row>
    <row r="8" spans="1:2" x14ac:dyDescent="0.25">
      <c r="A8" s="3">
        <v>1500</v>
      </c>
      <c r="B8" s="3">
        <v>150</v>
      </c>
    </row>
    <row r="9" spans="1:2" x14ac:dyDescent="0.25">
      <c r="A9" s="3">
        <v>1750</v>
      </c>
      <c r="B9" s="3">
        <v>180</v>
      </c>
    </row>
    <row r="10" spans="1:2" x14ac:dyDescent="0.25">
      <c r="A10" s="3">
        <v>2000</v>
      </c>
      <c r="B10" s="3">
        <v>180</v>
      </c>
    </row>
    <row r="11" spans="1:2" x14ac:dyDescent="0.25">
      <c r="A11" s="3">
        <v>2250</v>
      </c>
      <c r="B11" s="3">
        <v>210</v>
      </c>
    </row>
    <row r="12" spans="1:2" x14ac:dyDescent="0.25">
      <c r="A12" s="3">
        <v>2500</v>
      </c>
      <c r="B12" s="28">
        <v>250</v>
      </c>
    </row>
    <row r="13" spans="1:2" x14ac:dyDescent="0.25">
      <c r="A13" s="3">
        <v>2750</v>
      </c>
      <c r="B13" s="3">
        <v>300</v>
      </c>
    </row>
    <row r="14" spans="1:2" x14ac:dyDescent="0.25">
      <c r="A14" s="3">
        <v>3000</v>
      </c>
      <c r="B14" s="3">
        <v>300</v>
      </c>
    </row>
  </sheetData>
  <mergeCells count="1">
    <mergeCell ref="A1:B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Trough Vancomycin Calculator</vt:lpstr>
      <vt:lpstr> AUC Vancomycin Calculator 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Luo</dc:creator>
  <cp:lastModifiedBy>Michael Luo</cp:lastModifiedBy>
  <dcterms:created xsi:type="dcterms:W3CDTF">2023-03-27T08:43:09Z</dcterms:created>
  <dcterms:modified xsi:type="dcterms:W3CDTF">2023-03-27T10:26:36Z</dcterms:modified>
</cp:coreProperties>
</file>