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ocuments\_mine_models\"/>
    </mc:Choice>
  </mc:AlternateContent>
  <xr:revisionPtr revIDLastSave="0" documentId="13_ncr:1_{153969E2-6A5E-4B22-AA1F-E06F8B9DE8FD}" xr6:coauthVersionLast="47" xr6:coauthVersionMax="47" xr10:uidLastSave="{00000000-0000-0000-0000-000000000000}"/>
  <bookViews>
    <workbookView xWindow="-105" yWindow="0" windowWidth="19410" windowHeight="20985" xr2:uid="{ABE4E937-AD49-4FDB-839C-B2EF8F19CE2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0" i="2" l="1"/>
  <c r="T10" i="2"/>
  <c r="T23" i="2" s="1"/>
  <c r="T9" i="2"/>
  <c r="T22" i="2" s="1"/>
  <c r="T8" i="2"/>
  <c r="T5" i="2"/>
  <c r="U5" i="2" s="1"/>
  <c r="U11" i="2" s="1"/>
  <c r="S9" i="2"/>
  <c r="S22" i="2" s="1"/>
  <c r="S8" i="2"/>
  <c r="S5" i="2"/>
  <c r="I7" i="1"/>
  <c r="V19" i="2"/>
  <c r="W19" i="2" s="1"/>
  <c r="X19" i="2" s="1"/>
  <c r="U14" i="2"/>
  <c r="V14" i="2" s="1"/>
  <c r="W14" i="2" s="1"/>
  <c r="X14" i="2" s="1"/>
  <c r="U12" i="2"/>
  <c r="V12" i="2" s="1"/>
  <c r="W12" i="2" s="1"/>
  <c r="X12" i="2" s="1"/>
  <c r="V2" i="2"/>
  <c r="W2" i="2" s="1"/>
  <c r="X2" i="2" s="1"/>
  <c r="Y2" i="2" s="1"/>
  <c r="Z2" i="2" s="1"/>
  <c r="AA2" i="2" s="1"/>
  <c r="AB2" i="2" s="1"/>
  <c r="AC2" i="2" s="1"/>
  <c r="AD2" i="2" s="1"/>
  <c r="AE2" i="2" s="1"/>
  <c r="M12" i="2"/>
  <c r="M14" i="2"/>
  <c r="M11" i="2"/>
  <c r="M13" i="2" s="1"/>
  <c r="M15" i="2" s="1"/>
  <c r="M16" i="2" s="1"/>
  <c r="N14" i="2"/>
  <c r="M19" i="2"/>
  <c r="N19" i="2" s="1"/>
  <c r="N11" i="2"/>
  <c r="N24" i="2" s="1"/>
  <c r="F19" i="2"/>
  <c r="F16" i="2"/>
  <c r="F14" i="2"/>
  <c r="F7" i="2"/>
  <c r="F6" i="2"/>
  <c r="F8" i="2" s="1"/>
  <c r="F4" i="2"/>
  <c r="F10" i="2" s="1"/>
  <c r="F23" i="2" s="1"/>
  <c r="F3" i="2"/>
  <c r="F5" i="2" s="1"/>
  <c r="C12" i="2"/>
  <c r="C10" i="2"/>
  <c r="C23" i="2" s="1"/>
  <c r="C9" i="2"/>
  <c r="C22" i="2" s="1"/>
  <c r="C8" i="2"/>
  <c r="C5" i="2"/>
  <c r="D12" i="2"/>
  <c r="D9" i="2"/>
  <c r="D22" i="2" s="1"/>
  <c r="D10" i="2"/>
  <c r="D23" i="2" s="1"/>
  <c r="D8" i="2"/>
  <c r="D5" i="2"/>
  <c r="J19" i="2"/>
  <c r="J16" i="2"/>
  <c r="J14" i="2"/>
  <c r="J7" i="2"/>
  <c r="J6" i="2"/>
  <c r="J8" i="2" s="1"/>
  <c r="J4" i="2"/>
  <c r="J3" i="2"/>
  <c r="E12" i="2"/>
  <c r="E10" i="2"/>
  <c r="E23" i="2" s="1"/>
  <c r="E9" i="2"/>
  <c r="E22" i="2" s="1"/>
  <c r="E8" i="2"/>
  <c r="E5" i="2"/>
  <c r="I10" i="2"/>
  <c r="I23" i="2" s="1"/>
  <c r="I9" i="2"/>
  <c r="I22" i="2" s="1"/>
  <c r="I8" i="2"/>
  <c r="I5" i="2"/>
  <c r="I11" i="2" s="1"/>
  <c r="I13" i="2" s="1"/>
  <c r="I15" i="2" s="1"/>
  <c r="I17" i="2" s="1"/>
  <c r="I18" i="2" s="1"/>
  <c r="G12" i="2"/>
  <c r="G9" i="2"/>
  <c r="G22" i="2" s="1"/>
  <c r="G10" i="2"/>
  <c r="G23" i="2" s="1"/>
  <c r="G8" i="2"/>
  <c r="G5" i="2"/>
  <c r="K12" i="2"/>
  <c r="K10" i="2"/>
  <c r="K23" i="2" s="1"/>
  <c r="K9" i="2"/>
  <c r="K22" i="2" s="1"/>
  <c r="K8" i="2"/>
  <c r="K5" i="2"/>
  <c r="H12" i="2"/>
  <c r="H9" i="2"/>
  <c r="H22" i="2" s="1"/>
  <c r="H10" i="2"/>
  <c r="H23" i="2" s="1"/>
  <c r="H8" i="2"/>
  <c r="H5" i="2"/>
  <c r="H11" i="2" s="1"/>
  <c r="H24" i="2" s="1"/>
  <c r="L12" i="2"/>
  <c r="L10" i="2"/>
  <c r="L23" i="2" s="1"/>
  <c r="L9" i="2"/>
  <c r="L22" i="2" s="1"/>
  <c r="L8" i="2"/>
  <c r="L5" i="2"/>
  <c r="Q12" i="2"/>
  <c r="R12" i="2"/>
  <c r="S12" i="2"/>
  <c r="R10" i="2"/>
  <c r="R23" i="2" s="1"/>
  <c r="Q10" i="2"/>
  <c r="Q23" i="2" s="1"/>
  <c r="S10" i="2"/>
  <c r="S23" i="2" s="1"/>
  <c r="Q9" i="2"/>
  <c r="Q22" i="2" s="1"/>
  <c r="R9" i="2"/>
  <c r="R22" i="2" s="1"/>
  <c r="R8" i="2"/>
  <c r="Q8" i="2"/>
  <c r="R5" i="2"/>
  <c r="Q5" i="2"/>
  <c r="I4" i="1"/>
  <c r="G21" i="2" l="1"/>
  <c r="T11" i="2"/>
  <c r="M8" i="2"/>
  <c r="N8" i="2"/>
  <c r="F12" i="2"/>
  <c r="M21" i="2"/>
  <c r="M24" i="2"/>
  <c r="J9" i="2"/>
  <c r="J22" i="2" s="1"/>
  <c r="J10" i="2"/>
  <c r="J23" i="2" s="1"/>
  <c r="V5" i="2"/>
  <c r="U21" i="2"/>
  <c r="U13" i="2"/>
  <c r="U15" i="2" s="1"/>
  <c r="T21" i="2"/>
  <c r="U16" i="2"/>
  <c r="U17" i="2" s="1"/>
  <c r="U8" i="2"/>
  <c r="M17" i="2"/>
  <c r="M18" i="2" s="1"/>
  <c r="F11" i="2"/>
  <c r="F9" i="2"/>
  <c r="F22" i="2" s="1"/>
  <c r="I21" i="2"/>
  <c r="H21" i="2"/>
  <c r="C11" i="2"/>
  <c r="C24" i="2" s="1"/>
  <c r="C13" i="2"/>
  <c r="C15" i="2" s="1"/>
  <c r="C17" i="2" s="1"/>
  <c r="C18" i="2" s="1"/>
  <c r="D11" i="2"/>
  <c r="J12" i="2"/>
  <c r="N12" i="2" s="1"/>
  <c r="N13" i="2" s="1"/>
  <c r="N15" i="2" s="1"/>
  <c r="K21" i="2"/>
  <c r="J5" i="2"/>
  <c r="N21" i="2" s="1"/>
  <c r="I24" i="2"/>
  <c r="E11" i="2"/>
  <c r="E24" i="2" s="1"/>
  <c r="L11" i="2"/>
  <c r="L24" i="2" s="1"/>
  <c r="L21" i="2"/>
  <c r="H13" i="2"/>
  <c r="H15" i="2" s="1"/>
  <c r="H17" i="2" s="1"/>
  <c r="H18" i="2" s="1"/>
  <c r="G11" i="2"/>
  <c r="K11" i="2"/>
  <c r="Q11" i="2"/>
  <c r="R11" i="2"/>
  <c r="R21" i="2"/>
  <c r="S21" i="2"/>
  <c r="S11" i="2"/>
  <c r="S13" i="2" s="1"/>
  <c r="N16" i="2" l="1"/>
  <c r="N17" i="2"/>
  <c r="N18" i="2" s="1"/>
  <c r="U18" i="2"/>
  <c r="L13" i="2"/>
  <c r="L15" i="2" s="1"/>
  <c r="L17" i="2" s="1"/>
  <c r="L18" i="2" s="1"/>
  <c r="T24" i="2"/>
  <c r="T13" i="2"/>
  <c r="T15" i="2" s="1"/>
  <c r="V21" i="2"/>
  <c r="W5" i="2"/>
  <c r="V11" i="2"/>
  <c r="V13" i="2" s="1"/>
  <c r="V15" i="2" s="1"/>
  <c r="V16" i="2" s="1"/>
  <c r="V17" i="2" s="1"/>
  <c r="V8" i="2"/>
  <c r="V18" i="2"/>
  <c r="D13" i="2"/>
  <c r="D15" i="2" s="1"/>
  <c r="D17" i="2" s="1"/>
  <c r="D18" i="2" s="1"/>
  <c r="D24" i="2"/>
  <c r="F13" i="2"/>
  <c r="F15" i="2" s="1"/>
  <c r="F17" i="2" s="1"/>
  <c r="F18" i="2" s="1"/>
  <c r="F24" i="2"/>
  <c r="J21" i="2"/>
  <c r="J11" i="2"/>
  <c r="E13" i="2"/>
  <c r="E15" i="2" s="1"/>
  <c r="E17" i="2" s="1"/>
  <c r="E18" i="2" s="1"/>
  <c r="K13" i="2"/>
  <c r="K15" i="2" s="1"/>
  <c r="K17" i="2" s="1"/>
  <c r="K18" i="2" s="1"/>
  <c r="K24" i="2"/>
  <c r="G13" i="2"/>
  <c r="G15" i="2" s="1"/>
  <c r="G17" i="2" s="1"/>
  <c r="G18" i="2" s="1"/>
  <c r="G24" i="2"/>
  <c r="S24" i="2"/>
  <c r="S15" i="2"/>
  <c r="S17" i="2" s="1"/>
  <c r="S18" i="2" s="1"/>
  <c r="R24" i="2"/>
  <c r="R13" i="2"/>
  <c r="R15" i="2" s="1"/>
  <c r="R17" i="2" s="1"/>
  <c r="R18" i="2" s="1"/>
  <c r="Q24" i="2"/>
  <c r="Q13" i="2"/>
  <c r="Q15" i="2" s="1"/>
  <c r="Q17" i="2" s="1"/>
  <c r="Q18" i="2" s="1"/>
  <c r="T17" i="2" l="1"/>
  <c r="T18" i="2" s="1"/>
  <c r="X5" i="2"/>
  <c r="W11" i="2"/>
  <c r="W21" i="2"/>
  <c r="J24" i="2"/>
  <c r="J13" i="2"/>
  <c r="J15" i="2" s="1"/>
  <c r="J17" i="2" s="1"/>
  <c r="J18" i="2" s="1"/>
  <c r="W13" i="2" l="1"/>
  <c r="W15" i="2" s="1"/>
  <c r="W16" i="2" s="1"/>
  <c r="W17" i="2" s="1"/>
  <c r="W8" i="2"/>
  <c r="X11" i="2"/>
  <c r="X21" i="2"/>
  <c r="W18" i="2" l="1"/>
  <c r="X13" i="2"/>
  <c r="X15" i="2" s="1"/>
  <c r="X16" i="2" s="1"/>
  <c r="X17" i="2" s="1"/>
  <c r="X8" i="2"/>
  <c r="Y17" i="2" l="1"/>
  <c r="X18" i="2"/>
  <c r="Z17" i="2" l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AA23" i="2" l="1"/>
</calcChain>
</file>

<file path=xl/sharedStrings.xml><?xml version="1.0" encoding="utf-8"?>
<sst xmlns="http://schemas.openxmlformats.org/spreadsheetml/2006/main" count="80" uniqueCount="75">
  <si>
    <t>Price</t>
  </si>
  <si>
    <t>Shares</t>
  </si>
  <si>
    <t>MC</t>
  </si>
  <si>
    <t>Cash</t>
  </si>
  <si>
    <t>Debt</t>
  </si>
  <si>
    <t>EV</t>
  </si>
  <si>
    <t>Q123</t>
  </si>
  <si>
    <t>Q423</t>
  </si>
  <si>
    <t>Main</t>
  </si>
  <si>
    <t>Revenue</t>
  </si>
  <si>
    <t>Revenue y/y</t>
  </si>
  <si>
    <t>Product</t>
  </si>
  <si>
    <t>Services</t>
  </si>
  <si>
    <t>CoP</t>
  </si>
  <si>
    <t>CoS</t>
  </si>
  <si>
    <t>COGS</t>
  </si>
  <si>
    <t>Product GM</t>
  </si>
  <si>
    <t>Services GM</t>
  </si>
  <si>
    <t>Gross Margin</t>
  </si>
  <si>
    <t>Gross Margin %</t>
  </si>
  <si>
    <t>SG&amp;A</t>
  </si>
  <si>
    <t>Operating Income</t>
  </si>
  <si>
    <t>Interest</t>
  </si>
  <si>
    <t>Pretax Income</t>
  </si>
  <si>
    <t>Taxes</t>
  </si>
  <si>
    <t>Net Income</t>
  </si>
  <si>
    <t>EPS</t>
  </si>
  <si>
    <t>Q223</t>
  </si>
  <si>
    <t>Q323</t>
  </si>
  <si>
    <t>Q124</t>
  </si>
  <si>
    <t>Q224</t>
  </si>
  <si>
    <t>Q324</t>
  </si>
  <si>
    <t>Q424</t>
  </si>
  <si>
    <t>Q422</t>
  </si>
  <si>
    <t>Q322</t>
  </si>
  <si>
    <t>Q222</t>
  </si>
  <si>
    <t>Q122</t>
  </si>
  <si>
    <t>Discount</t>
  </si>
  <si>
    <t>Maturity</t>
  </si>
  <si>
    <t>NPV</t>
  </si>
  <si>
    <t>Power</t>
  </si>
  <si>
    <t>Cooling/Airflow</t>
  </si>
  <si>
    <t>Q225</t>
  </si>
  <si>
    <t>CEO</t>
  </si>
  <si>
    <t>Giordano Albertazzi</t>
  </si>
  <si>
    <t>CFO</t>
  </si>
  <si>
    <t xml:space="preserve">David J. Fallon	</t>
  </si>
  <si>
    <t>Data Center-Networking-Energy</t>
  </si>
  <si>
    <t>Vertiv</t>
  </si>
  <si>
    <t>Liebert</t>
  </si>
  <si>
    <t>NetSure</t>
  </si>
  <si>
    <t>Geist</t>
  </si>
  <si>
    <t>Energy Labs</t>
  </si>
  <si>
    <t>ERS</t>
  </si>
  <si>
    <t>Albér</t>
  </si>
  <si>
    <t>Avocent</t>
  </si>
  <si>
    <t>Data Center</t>
  </si>
  <si>
    <t>hyperscale/cloud, colocation, and enterprise</t>
  </si>
  <si>
    <t>communication networks</t>
  </si>
  <si>
    <t>industrial applications</t>
  </si>
  <si>
    <t> transportation, manufacturing, and oil and gas.</t>
  </si>
  <si>
    <t>Competition</t>
  </si>
  <si>
    <t>Delta Electronics</t>
  </si>
  <si>
    <t>Stulz GmbH</t>
  </si>
  <si>
    <t>Socomec Holding SA</t>
  </si>
  <si>
    <t>Johnson Controls International PLC</t>
  </si>
  <si>
    <t>Schneider Electric</t>
  </si>
  <si>
    <t>S.E</t>
  </si>
  <si>
    <t>Eaton Corporation Plc</t>
  </si>
  <si>
    <t>Legrand SA</t>
  </si>
  <si>
    <t>Huawei Investment &amp; Holding Co.</t>
  </si>
  <si>
    <t>Employees</t>
  </si>
  <si>
    <t>Q125</t>
  </si>
  <si>
    <t>HQ</t>
  </si>
  <si>
    <t>Columbus 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</si>
</sst>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_);[Red]\(&quot;$&quot;#,##0.00\)"/>
    <numFmt numFmtId="165" formatCode="0.00000000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0" fontId="1" fillId="0" borderId="0" xfId="0" applyFont="1"/>
    <xf numFmtId="3" fontId="1" fillId="0" borderId="0" xfId="0" applyNumberFormat="1" applyFont="1"/>
    <xf numFmtId="9" fontId="1" fillId="0" borderId="0" xfId="0" applyNumberFormat="1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9" fontId="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CF31A06-8FAD-4EB4-87F1-8ABC88D345F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67160</xdr:colOff>
      <xdr:row>0</xdr:row>
      <xdr:rowOff>0</xdr:rowOff>
    </xdr:from>
    <xdr:to>
      <xdr:col>12</xdr:col>
      <xdr:colOff>67160</xdr:colOff>
      <xdr:row>28</xdr:row>
      <xdr:rowOff>21648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C30943E-0504-71E3-B02F-2DBFA8AC036F}"/>
            </a:ext>
          </a:extLst>
        </xdr:cNvPr>
        <xdr:cNvCxnSpPr/>
      </xdr:nvCxnSpPr>
      <xdr:spPr>
        <a:xfrm>
          <a:off x="7594233" y="0"/>
          <a:ext cx="0" cy="457506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18215</xdr:colOff>
      <xdr:row>0</xdr:row>
      <xdr:rowOff>3588</xdr:rowOff>
    </xdr:from>
    <xdr:to>
      <xdr:col>20</xdr:col>
      <xdr:colOff>18215</xdr:colOff>
      <xdr:row>28</xdr:row>
      <xdr:rowOff>25236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A6D96E7-1483-4356-9906-6D6E280218CB}"/>
            </a:ext>
          </a:extLst>
        </xdr:cNvPr>
        <xdr:cNvCxnSpPr/>
      </xdr:nvCxnSpPr>
      <xdr:spPr>
        <a:xfrm>
          <a:off x="12427929" y="3588"/>
          <a:ext cx="0" cy="459364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DA52C-F755-4436-B83F-418D13AF57A5}">
  <dimension ref="A1:J27"/>
  <sheetViews>
    <sheetView tabSelected="1" topLeftCell="G1" zoomScale="175" zoomScaleNormal="175" workbookViewId="0">
      <selection activeCell="L11" sqref="L11"/>
    </sheetView>
  </sheetViews>
  <sheetFormatPr defaultRowHeight="12.75" x14ac:dyDescent="0.2"/>
  <cols>
    <col min="1" max="1" width="11.140625" bestFit="1" customWidth="1"/>
    <col min="4" max="4" width="16.7109375" customWidth="1"/>
    <col min="6" max="6" width="22" customWidth="1"/>
    <col min="8" max="8" width="10.28515625" bestFit="1" customWidth="1"/>
  </cols>
  <sheetData>
    <row r="1" spans="1:10" x14ac:dyDescent="0.2">
      <c r="B1" t="s">
        <v>47</v>
      </c>
    </row>
    <row r="2" spans="1:10" x14ac:dyDescent="0.2">
      <c r="B2" t="s">
        <v>40</v>
      </c>
      <c r="H2" t="s">
        <v>0</v>
      </c>
      <c r="I2" s="1">
        <v>94.05</v>
      </c>
    </row>
    <row r="3" spans="1:10" x14ac:dyDescent="0.2">
      <c r="B3" t="s">
        <v>41</v>
      </c>
      <c r="H3" t="s">
        <v>1</v>
      </c>
      <c r="I3" s="2">
        <v>381</v>
      </c>
      <c r="J3" s="6" t="s">
        <v>42</v>
      </c>
    </row>
    <row r="4" spans="1:10" x14ac:dyDescent="0.2">
      <c r="F4" s="5"/>
      <c r="H4" t="s">
        <v>2</v>
      </c>
      <c r="I4" s="2">
        <f>+I2*I3</f>
        <v>35833.049999999996</v>
      </c>
      <c r="J4" s="6"/>
    </row>
    <row r="5" spans="1:10" x14ac:dyDescent="0.2">
      <c r="B5" t="s">
        <v>48</v>
      </c>
      <c r="H5" t="s">
        <v>3</v>
      </c>
      <c r="I5" s="2">
        <v>1467</v>
      </c>
      <c r="J5" s="6" t="s">
        <v>42</v>
      </c>
    </row>
    <row r="6" spans="1:10" x14ac:dyDescent="0.2">
      <c r="B6" t="s">
        <v>49</v>
      </c>
      <c r="H6" t="s">
        <v>4</v>
      </c>
      <c r="I6" s="2">
        <v>2904</v>
      </c>
      <c r="J6" s="6" t="s">
        <v>42</v>
      </c>
    </row>
    <row r="7" spans="1:10" x14ac:dyDescent="0.2">
      <c r="B7" t="s">
        <v>50</v>
      </c>
      <c r="D7" s="4"/>
      <c r="H7" t="s">
        <v>5</v>
      </c>
      <c r="I7" s="2">
        <f>+I4-I5+I6</f>
        <v>37270.049999999996</v>
      </c>
    </row>
    <row r="8" spans="1:10" x14ac:dyDescent="0.2">
      <c r="B8" t="s">
        <v>51</v>
      </c>
    </row>
    <row r="9" spans="1:10" x14ac:dyDescent="0.2">
      <c r="B9" t="s">
        <v>52</v>
      </c>
    </row>
    <row r="10" spans="1:10" x14ac:dyDescent="0.2">
      <c r="B10" t="s">
        <v>53</v>
      </c>
    </row>
    <row r="11" spans="1:10" x14ac:dyDescent="0.2">
      <c r="B11" t="s">
        <v>54</v>
      </c>
    </row>
    <row r="12" spans="1:10" x14ac:dyDescent="0.2">
      <c r="B12" t="s">
        <v>55</v>
      </c>
      <c r="H12" t="s">
        <v>43</v>
      </c>
      <c r="I12" t="s">
        <v>44</v>
      </c>
    </row>
    <row r="13" spans="1:10" x14ac:dyDescent="0.2">
      <c r="H13" t="s">
        <v>45</v>
      </c>
      <c r="I13" t="s">
        <v>46</v>
      </c>
    </row>
    <row r="14" spans="1:10" x14ac:dyDescent="0.2">
      <c r="A14" t="s">
        <v>56</v>
      </c>
      <c r="B14" t="s">
        <v>57</v>
      </c>
    </row>
    <row r="15" spans="1:10" x14ac:dyDescent="0.2">
      <c r="B15" t="s">
        <v>58</v>
      </c>
    </row>
    <row r="16" spans="1:10" x14ac:dyDescent="0.2">
      <c r="B16" t="s">
        <v>59</v>
      </c>
      <c r="D16" t="s">
        <v>60</v>
      </c>
      <c r="H16" t="s">
        <v>71</v>
      </c>
      <c r="I16">
        <v>31000</v>
      </c>
      <c r="J16" s="6" t="s">
        <v>72</v>
      </c>
    </row>
    <row r="17" spans="2:9" x14ac:dyDescent="0.2">
      <c r="H17" t="s">
        <v>73</v>
      </c>
      <c r="I17" t="s">
        <v>74</v>
      </c>
    </row>
    <row r="18" spans="2:9" x14ac:dyDescent="0.2">
      <c r="B18" s="8" t="s">
        <v>61</v>
      </c>
    </row>
    <row r="19" spans="2:9" x14ac:dyDescent="0.2">
      <c r="B19" t="s">
        <v>62</v>
      </c>
    </row>
    <row r="20" spans="2:9" x14ac:dyDescent="0.2">
      <c r="B20" t="s">
        <v>63</v>
      </c>
    </row>
    <row r="21" spans="2:9" x14ac:dyDescent="0.2">
      <c r="B21" t="s">
        <v>65</v>
      </c>
    </row>
    <row r="22" spans="2:9" x14ac:dyDescent="0.2">
      <c r="B22" t="s">
        <v>64</v>
      </c>
    </row>
    <row r="23" spans="2:9" x14ac:dyDescent="0.2">
      <c r="B23" t="s">
        <v>66</v>
      </c>
    </row>
    <row r="24" spans="2:9" x14ac:dyDescent="0.2">
      <c r="B24" t="s">
        <v>67</v>
      </c>
    </row>
    <row r="25" spans="2:9" x14ac:dyDescent="0.2">
      <c r="B25" t="s">
        <v>68</v>
      </c>
    </row>
    <row r="26" spans="2:9" x14ac:dyDescent="0.2">
      <c r="B26" t="s">
        <v>69</v>
      </c>
    </row>
    <row r="27" spans="2:9" x14ac:dyDescent="0.2">
      <c r="B27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694A-20C0-424F-9BB7-5AD086B4E12F}">
  <dimension ref="A1:EB30"/>
  <sheetViews>
    <sheetView zoomScale="175" zoomScaleNormal="175" workbookViewId="0">
      <pane xSplit="2" ySplit="2" topLeftCell="U3" activePane="bottomRight" state="frozen"/>
      <selection pane="topRight" activeCell="C1" sqref="C1"/>
      <selection pane="bottomLeft" activeCell="A4" sqref="A4"/>
      <selection pane="bottomRight" activeCell="AA22" sqref="AA22"/>
    </sheetView>
  </sheetViews>
  <sheetFormatPr defaultRowHeight="12.75" x14ac:dyDescent="0.2"/>
  <cols>
    <col min="1" max="1" width="5" bestFit="1" customWidth="1"/>
    <col min="2" max="2" width="16.5703125" customWidth="1"/>
    <col min="3" max="14" width="9.140625" style="6"/>
    <col min="27" max="27" width="11.140625" bestFit="1" customWidth="1"/>
  </cols>
  <sheetData>
    <row r="1" spans="1:31" x14ac:dyDescent="0.2">
      <c r="A1" s="7" t="s">
        <v>8</v>
      </c>
    </row>
    <row r="2" spans="1:31" x14ac:dyDescent="0.2">
      <c r="C2" s="6" t="s">
        <v>36</v>
      </c>
      <c r="D2" s="6" t="s">
        <v>35</v>
      </c>
      <c r="E2" s="6" t="s">
        <v>34</v>
      </c>
      <c r="F2" s="6" t="s">
        <v>33</v>
      </c>
      <c r="G2" s="6" t="s">
        <v>6</v>
      </c>
      <c r="H2" s="6" t="s">
        <v>27</v>
      </c>
      <c r="I2" s="6" t="s">
        <v>28</v>
      </c>
      <c r="J2" s="6" t="s">
        <v>7</v>
      </c>
      <c r="K2" s="6" t="s">
        <v>29</v>
      </c>
      <c r="L2" s="6" t="s">
        <v>30</v>
      </c>
      <c r="M2" s="6" t="s">
        <v>31</v>
      </c>
      <c r="N2" s="6" t="s">
        <v>32</v>
      </c>
      <c r="P2">
        <v>2020</v>
      </c>
      <c r="Q2">
        <v>2021</v>
      </c>
      <c r="R2">
        <v>2022</v>
      </c>
      <c r="S2">
        <v>2023</v>
      </c>
      <c r="T2">
        <v>2024</v>
      </c>
      <c r="U2">
        <v>2025</v>
      </c>
      <c r="V2">
        <f>+U2+1</f>
        <v>2026</v>
      </c>
      <c r="W2">
        <f t="shared" ref="W2:AE2" si="0">+V2+1</f>
        <v>2027</v>
      </c>
      <c r="X2">
        <f t="shared" si="0"/>
        <v>2028</v>
      </c>
      <c r="Y2">
        <f t="shared" si="0"/>
        <v>2029</v>
      </c>
      <c r="Z2">
        <f t="shared" si="0"/>
        <v>2030</v>
      </c>
      <c r="AA2">
        <f t="shared" si="0"/>
        <v>2031</v>
      </c>
      <c r="AB2">
        <f t="shared" si="0"/>
        <v>2032</v>
      </c>
      <c r="AC2">
        <f t="shared" si="0"/>
        <v>2033</v>
      </c>
      <c r="AD2">
        <f t="shared" si="0"/>
        <v>2034</v>
      </c>
      <c r="AE2">
        <f t="shared" si="0"/>
        <v>2035</v>
      </c>
    </row>
    <row r="3" spans="1:31" x14ac:dyDescent="0.2">
      <c r="B3" t="s">
        <v>11</v>
      </c>
      <c r="C3" s="11">
        <v>849.4</v>
      </c>
      <c r="D3" s="11">
        <v>1055</v>
      </c>
      <c r="E3" s="11">
        <v>1135.4000000000001</v>
      </c>
      <c r="F3" s="11">
        <f>R3-E3-D3-C3</f>
        <v>1295.5</v>
      </c>
      <c r="G3" s="11">
        <v>1186.5</v>
      </c>
      <c r="H3" s="11">
        <v>1360.4</v>
      </c>
      <c r="I3" s="11">
        <v>1381.3</v>
      </c>
      <c r="J3" s="11">
        <f>+S3-I3-H3-G3</f>
        <v>1477.9</v>
      </c>
      <c r="K3" s="11">
        <v>1270.3</v>
      </c>
      <c r="L3" s="11">
        <v>1555.2</v>
      </c>
      <c r="P3" s="2"/>
      <c r="Q3" s="2">
        <v>3694.6</v>
      </c>
      <c r="R3" s="2">
        <v>4335.3</v>
      </c>
      <c r="S3" s="2">
        <v>5406.1</v>
      </c>
      <c r="T3" s="2">
        <v>6393.5</v>
      </c>
    </row>
    <row r="4" spans="1:31" x14ac:dyDescent="0.2">
      <c r="B4" t="s">
        <v>12</v>
      </c>
      <c r="C4" s="11">
        <v>307</v>
      </c>
      <c r="D4" s="11">
        <v>344.4</v>
      </c>
      <c r="E4" s="11">
        <v>345.7</v>
      </c>
      <c r="F4" s="11">
        <f>R4-E4-D4-C4</f>
        <v>359.1</v>
      </c>
      <c r="G4" s="11">
        <v>334.6</v>
      </c>
      <c r="H4" s="11">
        <v>373.7</v>
      </c>
      <c r="I4" s="11">
        <v>361.3</v>
      </c>
      <c r="J4" s="11">
        <f>+S4-I4-H4-G4</f>
        <v>387.49999999999989</v>
      </c>
      <c r="K4" s="11">
        <v>368.8</v>
      </c>
      <c r="L4" s="11">
        <v>397.6</v>
      </c>
      <c r="P4" s="2"/>
      <c r="Q4" s="2">
        <v>1303.5</v>
      </c>
      <c r="R4" s="2">
        <v>1356.2</v>
      </c>
      <c r="S4" s="2">
        <v>1457.1</v>
      </c>
      <c r="T4" s="2">
        <v>1618</v>
      </c>
    </row>
    <row r="5" spans="1:31" s="8" customFormat="1" x14ac:dyDescent="0.2">
      <c r="B5" s="8" t="s">
        <v>9</v>
      </c>
      <c r="C5" s="12">
        <f t="shared" ref="C5:I5" si="1">+C3+C4</f>
        <v>1156.4000000000001</v>
      </c>
      <c r="D5" s="12">
        <f t="shared" si="1"/>
        <v>1399.4</v>
      </c>
      <c r="E5" s="12">
        <f t="shared" si="1"/>
        <v>1481.1000000000001</v>
      </c>
      <c r="F5" s="12">
        <f t="shared" si="1"/>
        <v>1654.6</v>
      </c>
      <c r="G5" s="12">
        <f t="shared" si="1"/>
        <v>1521.1</v>
      </c>
      <c r="H5" s="12">
        <f t="shared" si="1"/>
        <v>1734.1000000000001</v>
      </c>
      <c r="I5" s="12">
        <f t="shared" si="1"/>
        <v>1742.6</v>
      </c>
      <c r="J5" s="12">
        <f>+S5-I5-H5-G5</f>
        <v>1865.4</v>
      </c>
      <c r="K5" s="12">
        <f>+K3+K4</f>
        <v>1639.1</v>
      </c>
      <c r="L5" s="12">
        <f>+L3+L4</f>
        <v>1952.8000000000002</v>
      </c>
      <c r="M5" s="12">
        <v>1950</v>
      </c>
      <c r="N5" s="12">
        <v>2200</v>
      </c>
      <c r="P5" s="9"/>
      <c r="Q5" s="9">
        <f>+Q3+Q4</f>
        <v>4998.1000000000004</v>
      </c>
      <c r="R5" s="9">
        <f>+R3+R4</f>
        <v>5691.5</v>
      </c>
      <c r="S5" s="9">
        <f>+S3+S4</f>
        <v>6863.2000000000007</v>
      </c>
      <c r="T5" s="9">
        <f>+SUM(T3:T4)</f>
        <v>8011.5</v>
      </c>
      <c r="U5" s="9">
        <f>+T5*1.15</f>
        <v>9213.2249999999985</v>
      </c>
      <c r="V5" s="9">
        <f>+U5*1.15</f>
        <v>10595.208749999998</v>
      </c>
      <c r="W5" s="9">
        <f>+V5*1.15</f>
        <v>12184.490062499997</v>
      </c>
      <c r="X5" s="9">
        <f>+W5*1.15</f>
        <v>14012.163571874997</v>
      </c>
    </row>
    <row r="6" spans="1:31" x14ac:dyDescent="0.2">
      <c r="B6" t="s">
        <v>13</v>
      </c>
      <c r="C6" s="11">
        <v>655.8</v>
      </c>
      <c r="D6" s="11">
        <v>807.4</v>
      </c>
      <c r="E6" s="11">
        <v>838.5</v>
      </c>
      <c r="F6" s="11">
        <f t="shared" ref="F6:F7" si="2">R6-E6-D6-C6</f>
        <v>917.39999999999986</v>
      </c>
      <c r="G6" s="11">
        <v>819.5</v>
      </c>
      <c r="H6" s="11">
        <v>912.9</v>
      </c>
      <c r="I6" s="11">
        <v>894.2</v>
      </c>
      <c r="J6" s="11">
        <f>+S6-I6-H6-G6</f>
        <v>949.09999999999991</v>
      </c>
      <c r="K6" s="11">
        <v>846.3</v>
      </c>
      <c r="L6" s="11">
        <v>981</v>
      </c>
      <c r="P6" s="2"/>
      <c r="Q6" s="2">
        <v>2699.7</v>
      </c>
      <c r="R6" s="2">
        <v>3219.1</v>
      </c>
      <c r="S6" s="2">
        <v>3575.7</v>
      </c>
      <c r="T6" s="2">
        <v>4099.3999999999996</v>
      </c>
    </row>
    <row r="7" spans="1:31" x14ac:dyDescent="0.2">
      <c r="B7" t="s">
        <v>14</v>
      </c>
      <c r="C7" s="11">
        <v>197</v>
      </c>
      <c r="D7" s="11">
        <v>220.5</v>
      </c>
      <c r="E7" s="11">
        <v>213.3</v>
      </c>
      <c r="F7" s="11">
        <f t="shared" si="2"/>
        <v>225.5</v>
      </c>
      <c r="G7" s="11">
        <v>206.1</v>
      </c>
      <c r="H7" s="11">
        <v>227.2</v>
      </c>
      <c r="I7" s="11">
        <v>220.8</v>
      </c>
      <c r="J7" s="11">
        <f>+S7-I7-H7-G7</f>
        <v>232.90000000000006</v>
      </c>
      <c r="K7" s="11">
        <v>226.4</v>
      </c>
      <c r="L7" s="11">
        <v>230.6</v>
      </c>
      <c r="P7" s="2"/>
      <c r="Q7" s="2">
        <v>775.7</v>
      </c>
      <c r="R7" s="2">
        <v>856.3</v>
      </c>
      <c r="S7" s="2">
        <v>887</v>
      </c>
      <c r="T7" s="2">
        <v>978</v>
      </c>
    </row>
    <row r="8" spans="1:31" x14ac:dyDescent="0.2">
      <c r="B8" t="s">
        <v>15</v>
      </c>
      <c r="C8" s="11">
        <f>+C6+C7</f>
        <v>852.8</v>
      </c>
      <c r="D8" s="11">
        <f>+D6+D7</f>
        <v>1027.9000000000001</v>
      </c>
      <c r="E8" s="11">
        <f>+E6+E7</f>
        <v>1051.8</v>
      </c>
      <c r="F8" s="11">
        <f t="shared" ref="F8" si="3">+F6+F7</f>
        <v>1142.8999999999999</v>
      </c>
      <c r="G8" s="11">
        <f t="shared" ref="G8:L8" si="4">+G6+G7</f>
        <v>1025.5999999999999</v>
      </c>
      <c r="H8" s="11">
        <f t="shared" si="4"/>
        <v>1140.0999999999999</v>
      </c>
      <c r="I8" s="11">
        <f t="shared" si="4"/>
        <v>1115</v>
      </c>
      <c r="J8" s="11">
        <f t="shared" si="4"/>
        <v>1182</v>
      </c>
      <c r="K8" s="11">
        <f t="shared" si="4"/>
        <v>1072.7</v>
      </c>
      <c r="L8" s="11">
        <f t="shared" si="4"/>
        <v>1211.5999999999999</v>
      </c>
      <c r="M8" s="11">
        <f>+M5-M11</f>
        <v>1209</v>
      </c>
      <c r="N8" s="11">
        <f>+N5-N11</f>
        <v>1364</v>
      </c>
      <c r="P8" s="2"/>
      <c r="Q8" s="2">
        <f>+Q6+Q7</f>
        <v>3475.3999999999996</v>
      </c>
      <c r="R8" s="2">
        <f>+R6+R7</f>
        <v>4075.3999999999996</v>
      </c>
      <c r="S8" s="2">
        <f>+S6+S7</f>
        <v>4462.7</v>
      </c>
      <c r="T8" s="2">
        <f>+T6+T7</f>
        <v>5077.3999999999996</v>
      </c>
      <c r="U8" s="2">
        <f>+U5-U11</f>
        <v>5712.1994999999988</v>
      </c>
      <c r="V8" s="2">
        <f>+V5-V11</f>
        <v>6569.0294249999988</v>
      </c>
      <c r="W8" s="2">
        <f>+W5-W11</f>
        <v>7432.5389381249979</v>
      </c>
      <c r="X8" s="2">
        <f>+X5-X11</f>
        <v>8547.4197788437486</v>
      </c>
    </row>
    <row r="9" spans="1:31" x14ac:dyDescent="0.2">
      <c r="B9" t="s">
        <v>16</v>
      </c>
      <c r="C9" s="2">
        <f>+C3-C6</f>
        <v>193.60000000000002</v>
      </c>
      <c r="D9" s="2">
        <f>+D3-D6</f>
        <v>247.60000000000002</v>
      </c>
      <c r="E9" s="2">
        <f>+E3-E6</f>
        <v>296.90000000000009</v>
      </c>
      <c r="F9" s="2">
        <f t="shared" ref="F9" si="5">+F3-F6</f>
        <v>378.10000000000014</v>
      </c>
      <c r="G9" s="2">
        <f t="shared" ref="G9:L9" si="6">+G3-G6</f>
        <v>367</v>
      </c>
      <c r="H9" s="2">
        <f t="shared" si="6"/>
        <v>447.50000000000011</v>
      </c>
      <c r="I9" s="2">
        <f t="shared" si="6"/>
        <v>487.09999999999991</v>
      </c>
      <c r="J9" s="2">
        <f t="shared" si="6"/>
        <v>528.80000000000018</v>
      </c>
      <c r="K9" s="2">
        <f t="shared" si="6"/>
        <v>424</v>
      </c>
      <c r="L9" s="2">
        <f t="shared" si="6"/>
        <v>574.20000000000005</v>
      </c>
      <c r="P9" s="2"/>
      <c r="Q9" s="2">
        <f>+Q3-Q6</f>
        <v>994.90000000000009</v>
      </c>
      <c r="R9" s="2">
        <f>+R3-R6</f>
        <v>1116.2000000000003</v>
      </c>
      <c r="S9" s="2">
        <f>+S3-S6</f>
        <v>1830.4000000000005</v>
      </c>
      <c r="T9" s="2">
        <f>+T3-T6</f>
        <v>2294.1000000000004</v>
      </c>
    </row>
    <row r="10" spans="1:31" x14ac:dyDescent="0.2">
      <c r="B10" t="s">
        <v>17</v>
      </c>
      <c r="C10" s="2">
        <f t="shared" ref="C10:D10" si="7">+C4-C7</f>
        <v>110</v>
      </c>
      <c r="D10" s="2">
        <f t="shared" si="7"/>
        <v>123.89999999999998</v>
      </c>
      <c r="E10" s="2">
        <f t="shared" ref="E10:F10" si="8">+E4-E7</f>
        <v>132.39999999999998</v>
      </c>
      <c r="F10" s="2">
        <f t="shared" si="8"/>
        <v>133.60000000000002</v>
      </c>
      <c r="G10" s="2">
        <f t="shared" ref="G10:H10" si="9">+G4-G7</f>
        <v>128.50000000000003</v>
      </c>
      <c r="H10" s="2">
        <f t="shared" si="9"/>
        <v>146.5</v>
      </c>
      <c r="I10" s="2">
        <f t="shared" ref="I10:J10" si="10">+I4-I7</f>
        <v>140.5</v>
      </c>
      <c r="J10" s="2">
        <f t="shared" si="10"/>
        <v>154.59999999999982</v>
      </c>
      <c r="K10" s="2">
        <f t="shared" ref="K10:L10" si="11">+K4-K7</f>
        <v>142.4</v>
      </c>
      <c r="L10" s="2">
        <f t="shared" si="11"/>
        <v>167.00000000000003</v>
      </c>
      <c r="P10" s="2"/>
      <c r="Q10" s="2">
        <f t="shared" ref="Q10:R10" si="12">+Q4-Q7</f>
        <v>527.79999999999995</v>
      </c>
      <c r="R10" s="2">
        <f t="shared" si="12"/>
        <v>499.90000000000009</v>
      </c>
      <c r="S10" s="2">
        <f>+S4-S7</f>
        <v>570.09999999999991</v>
      </c>
      <c r="T10" s="2">
        <f>+T4-T7</f>
        <v>640</v>
      </c>
    </row>
    <row r="11" spans="1:31" x14ac:dyDescent="0.2">
      <c r="B11" t="s">
        <v>18</v>
      </c>
      <c r="C11" s="2">
        <f>+C5-C8</f>
        <v>303.60000000000014</v>
      </c>
      <c r="D11" s="2">
        <f>+D5-D8</f>
        <v>371.5</v>
      </c>
      <c r="E11" s="2">
        <f>+E5-E8</f>
        <v>429.30000000000018</v>
      </c>
      <c r="F11" s="2">
        <f t="shared" ref="F11" si="13">+F5-F8</f>
        <v>511.70000000000005</v>
      </c>
      <c r="G11" s="2">
        <f t="shared" ref="G11:L11" si="14">+G5-G8</f>
        <v>495.5</v>
      </c>
      <c r="H11" s="2">
        <f t="shared" si="14"/>
        <v>594.00000000000023</v>
      </c>
      <c r="I11" s="2">
        <f t="shared" si="14"/>
        <v>627.59999999999991</v>
      </c>
      <c r="J11" s="2">
        <f t="shared" si="14"/>
        <v>683.40000000000009</v>
      </c>
      <c r="K11" s="2">
        <f t="shared" si="14"/>
        <v>566.39999999999986</v>
      </c>
      <c r="L11" s="2">
        <f t="shared" si="14"/>
        <v>741.20000000000027</v>
      </c>
      <c r="M11" s="6">
        <f>+M5*0.38</f>
        <v>741</v>
      </c>
      <c r="N11" s="6">
        <f>+N5*0.38</f>
        <v>836</v>
      </c>
      <c r="P11" s="2"/>
      <c r="Q11" s="2">
        <f t="shared" ref="Q11:R11" si="15">+Q5-Q8</f>
        <v>1522.7000000000007</v>
      </c>
      <c r="R11" s="2">
        <f t="shared" si="15"/>
        <v>1616.1000000000004</v>
      </c>
      <c r="S11" s="2">
        <f>+S5-S8</f>
        <v>2400.5000000000009</v>
      </c>
      <c r="T11" s="2">
        <f>+T5-T8</f>
        <v>2934.1000000000004</v>
      </c>
      <c r="U11" s="2">
        <f>+U5*U24</f>
        <v>3501.0254999999993</v>
      </c>
      <c r="V11" s="2">
        <f>+V5*V24</f>
        <v>4026.1793249999992</v>
      </c>
      <c r="W11" s="2">
        <f>+W5*W24</f>
        <v>4751.9511243749994</v>
      </c>
      <c r="X11" s="2">
        <f>+X5*X24</f>
        <v>5464.743793031249</v>
      </c>
    </row>
    <row r="12" spans="1:31" x14ac:dyDescent="0.2">
      <c r="B12" t="s">
        <v>20</v>
      </c>
      <c r="C12" s="2">
        <f>292.2-0.6</f>
        <v>291.59999999999997</v>
      </c>
      <c r="D12" s="2">
        <f>287.6-1.8</f>
        <v>285.8</v>
      </c>
      <c r="E12" s="2">
        <f>295.2+1.2</f>
        <v>296.39999999999998</v>
      </c>
      <c r="F12" s="11">
        <f t="shared" ref="F12" si="16">R12-E12-D12-C12</f>
        <v>298.7</v>
      </c>
      <c r="G12" s="2">
        <f>308.7-4.9</f>
        <v>303.8</v>
      </c>
      <c r="H12" s="2">
        <f>327.6-1.4</f>
        <v>326.20000000000005</v>
      </c>
      <c r="I12" s="2">
        <v>327.2</v>
      </c>
      <c r="J12" s="11">
        <f>+S12-I12-H12-G12</f>
        <v>345.19999999999976</v>
      </c>
      <c r="K12" s="2">
        <f>314+0.03</f>
        <v>314.02999999999997</v>
      </c>
      <c r="L12" s="2">
        <f>363.8-2.1</f>
        <v>361.7</v>
      </c>
      <c r="M12" s="11">
        <f>+I12*1.05</f>
        <v>343.56</v>
      </c>
      <c r="N12" s="11">
        <f>+J12*1.05</f>
        <v>362.45999999999975</v>
      </c>
      <c r="P12" s="2"/>
      <c r="Q12" s="2">
        <f>1109-3.8</f>
        <v>1105.2</v>
      </c>
      <c r="R12" s="2">
        <f>1178.3-5.8</f>
        <v>1172.5</v>
      </c>
      <c r="S12" s="2">
        <f>1312.3-9.9</f>
        <v>1302.3999999999999</v>
      </c>
      <c r="T12" s="2">
        <v>1374</v>
      </c>
      <c r="U12" s="2">
        <f>+T12*1.05</f>
        <v>1442.7</v>
      </c>
      <c r="V12" s="2">
        <f>+U12*1.05</f>
        <v>1514.835</v>
      </c>
      <c r="W12" s="2">
        <f>+V12*1.05</f>
        <v>1590.5767500000002</v>
      </c>
      <c r="X12" s="2">
        <f>+W12*1.05</f>
        <v>1670.1055875000002</v>
      </c>
    </row>
    <row r="13" spans="1:31" x14ac:dyDescent="0.2">
      <c r="B13" t="s">
        <v>21</v>
      </c>
      <c r="C13" s="2">
        <f>C11-C12</f>
        <v>12.000000000000171</v>
      </c>
      <c r="D13" s="2">
        <f>D11-D12</f>
        <v>85.699999999999989</v>
      </c>
      <c r="E13" s="2">
        <f>E11-E12</f>
        <v>132.9000000000002</v>
      </c>
      <c r="F13" s="2">
        <f t="shared" ref="F13" si="17">F11-F12</f>
        <v>213.00000000000006</v>
      </c>
      <c r="G13" s="2">
        <f t="shared" ref="G13:N13" si="18">G11-G12</f>
        <v>191.7</v>
      </c>
      <c r="H13" s="2">
        <f t="shared" si="18"/>
        <v>267.80000000000018</v>
      </c>
      <c r="I13" s="2">
        <f t="shared" si="18"/>
        <v>300.39999999999992</v>
      </c>
      <c r="J13" s="2">
        <f t="shared" si="18"/>
        <v>338.20000000000033</v>
      </c>
      <c r="K13" s="2">
        <f t="shared" si="18"/>
        <v>252.36999999999989</v>
      </c>
      <c r="L13" s="2">
        <f t="shared" si="18"/>
        <v>379.50000000000028</v>
      </c>
      <c r="M13" s="2">
        <f t="shared" si="18"/>
        <v>397.44</v>
      </c>
      <c r="N13" s="2">
        <f t="shared" si="18"/>
        <v>473.54000000000025</v>
      </c>
      <c r="P13" s="2"/>
      <c r="Q13" s="2">
        <f t="shared" ref="Q13:X13" si="19">Q11-Q12</f>
        <v>417.50000000000068</v>
      </c>
      <c r="R13" s="2">
        <f t="shared" si="19"/>
        <v>443.60000000000036</v>
      </c>
      <c r="S13" s="2">
        <f>S11-S12</f>
        <v>1098.100000000001</v>
      </c>
      <c r="T13" s="2">
        <f t="shared" si="19"/>
        <v>1560.1000000000004</v>
      </c>
      <c r="U13" s="2">
        <f t="shared" si="19"/>
        <v>2058.325499999999</v>
      </c>
      <c r="V13" s="2">
        <f t="shared" si="19"/>
        <v>2511.3443249999991</v>
      </c>
      <c r="W13" s="2">
        <f t="shared" si="19"/>
        <v>3161.3743743749992</v>
      </c>
      <c r="X13" s="2">
        <f t="shared" si="19"/>
        <v>3794.6382055312488</v>
      </c>
    </row>
    <row r="14" spans="1:31" x14ac:dyDescent="0.2">
      <c r="B14" t="s">
        <v>22</v>
      </c>
      <c r="C14" s="2">
        <v>-29.3</v>
      </c>
      <c r="D14" s="2">
        <v>-33.4</v>
      </c>
      <c r="E14" s="2">
        <v>-38.799999999999997</v>
      </c>
      <c r="F14" s="11">
        <f t="shared" ref="F14" si="20">R14-E14-D14-C14</f>
        <v>-45.800000000000026</v>
      </c>
      <c r="G14" s="2">
        <v>-46.8</v>
      </c>
      <c r="H14" s="2">
        <v>-46.9</v>
      </c>
      <c r="I14" s="2">
        <v>-43.5</v>
      </c>
      <c r="J14" s="11">
        <f>+S14-I14-H14-G14</f>
        <v>46.6</v>
      </c>
      <c r="K14" s="2">
        <v>-39</v>
      </c>
      <c r="L14" s="2">
        <v>-44.8</v>
      </c>
      <c r="M14" s="11">
        <f>+L14+2</f>
        <v>-42.8</v>
      </c>
      <c r="N14" s="11">
        <f>+M14+2</f>
        <v>-40.799999999999997</v>
      </c>
      <c r="P14" s="2"/>
      <c r="Q14" s="2">
        <v>-180.1</v>
      </c>
      <c r="R14" s="2">
        <v>-147.30000000000001</v>
      </c>
      <c r="S14" s="2">
        <v>-90.6</v>
      </c>
      <c r="T14" s="2">
        <v>-150</v>
      </c>
      <c r="U14" s="2">
        <f>+T14+30</f>
        <v>-120</v>
      </c>
      <c r="V14" s="2">
        <f>+U14+30</f>
        <v>-90</v>
      </c>
      <c r="W14" s="2">
        <f>+V14+30</f>
        <v>-60</v>
      </c>
      <c r="X14" s="2">
        <f>+W14+30</f>
        <v>-30</v>
      </c>
    </row>
    <row r="15" spans="1:31" x14ac:dyDescent="0.2">
      <c r="B15" t="s">
        <v>23</v>
      </c>
      <c r="C15" s="2">
        <f>+C13+C14</f>
        <v>-17.29999999999983</v>
      </c>
      <c r="D15" s="2">
        <f>+D13+D14</f>
        <v>52.29999999999999</v>
      </c>
      <c r="E15" s="2">
        <f>+E13+E14</f>
        <v>94.100000000000207</v>
      </c>
      <c r="F15" s="2">
        <f t="shared" ref="F15" si="21">+F13+F14</f>
        <v>167.20000000000005</v>
      </c>
      <c r="G15" s="2">
        <f t="shared" ref="G15:N15" si="22">+G13+G14</f>
        <v>144.89999999999998</v>
      </c>
      <c r="H15" s="2">
        <f t="shared" si="22"/>
        <v>220.90000000000018</v>
      </c>
      <c r="I15" s="2">
        <f t="shared" si="22"/>
        <v>256.89999999999992</v>
      </c>
      <c r="J15" s="2">
        <f t="shared" si="22"/>
        <v>384.80000000000035</v>
      </c>
      <c r="K15" s="2">
        <f t="shared" si="22"/>
        <v>213.36999999999989</v>
      </c>
      <c r="L15" s="2">
        <f t="shared" si="22"/>
        <v>334.70000000000027</v>
      </c>
      <c r="M15" s="2">
        <f t="shared" si="22"/>
        <v>354.64</v>
      </c>
      <c r="N15" s="2">
        <f t="shared" si="22"/>
        <v>432.74000000000024</v>
      </c>
      <c r="P15" s="2"/>
      <c r="Q15" s="2">
        <f t="shared" ref="Q15:X15" si="23">+Q13+Q14</f>
        <v>237.40000000000069</v>
      </c>
      <c r="R15" s="2">
        <f t="shared" si="23"/>
        <v>296.30000000000035</v>
      </c>
      <c r="S15" s="2">
        <f t="shared" si="23"/>
        <v>1007.500000000001</v>
      </c>
      <c r="T15" s="2">
        <f t="shared" si="23"/>
        <v>1410.1000000000004</v>
      </c>
      <c r="U15" s="2">
        <f t="shared" si="23"/>
        <v>1938.325499999999</v>
      </c>
      <c r="V15" s="2">
        <f t="shared" si="23"/>
        <v>2421.3443249999991</v>
      </c>
      <c r="W15" s="2">
        <f t="shared" si="23"/>
        <v>3101.3743743749992</v>
      </c>
      <c r="X15" s="2">
        <f t="shared" si="23"/>
        <v>3764.6382055312488</v>
      </c>
    </row>
    <row r="16" spans="1:31" x14ac:dyDescent="0.2">
      <c r="B16" t="s">
        <v>24</v>
      </c>
      <c r="C16" s="2">
        <v>11.9</v>
      </c>
      <c r="D16" s="2">
        <v>11.4</v>
      </c>
      <c r="E16" s="2">
        <v>10.199999999999999</v>
      </c>
      <c r="F16" s="11">
        <f t="shared" ref="F16" si="24">R16-E16-D16-C16</f>
        <v>56.9</v>
      </c>
      <c r="G16" s="2">
        <v>37.4</v>
      </c>
      <c r="H16" s="2">
        <v>29.7</v>
      </c>
      <c r="I16" s="2">
        <v>51.7</v>
      </c>
      <c r="J16" s="11">
        <f>+S16-I16-H16-G16</f>
        <v>-45.3</v>
      </c>
      <c r="K16" s="2">
        <v>0</v>
      </c>
      <c r="L16" s="2">
        <v>86.6</v>
      </c>
      <c r="M16" s="11">
        <f>+M15*0.15</f>
        <v>53.195999999999998</v>
      </c>
      <c r="N16" s="11">
        <f>+N15*0.15</f>
        <v>64.91100000000003</v>
      </c>
      <c r="P16" s="2"/>
      <c r="Q16" s="2">
        <v>46.6</v>
      </c>
      <c r="R16" s="2">
        <v>90.4</v>
      </c>
      <c r="S16" s="2">
        <v>73.5</v>
      </c>
      <c r="T16" s="2">
        <v>269.60000000000002</v>
      </c>
      <c r="U16" s="2">
        <f>+U15*0.15</f>
        <v>290.74882499999984</v>
      </c>
      <c r="V16" s="2">
        <f>+V15*0.15</f>
        <v>363.20164874999983</v>
      </c>
      <c r="W16" s="2">
        <f>+W15*0.15</f>
        <v>465.20615615624985</v>
      </c>
      <c r="X16" s="2">
        <f>+X15*0.15</f>
        <v>564.69573082968725</v>
      </c>
    </row>
    <row r="17" spans="2:132" x14ac:dyDescent="0.2">
      <c r="B17" t="s">
        <v>25</v>
      </c>
      <c r="C17" s="2">
        <f>+C15-C16</f>
        <v>-29.199999999999832</v>
      </c>
      <c r="D17" s="2">
        <f>+D15-D16</f>
        <v>40.899999999999991</v>
      </c>
      <c r="E17" s="2">
        <f>+E15-E16</f>
        <v>83.900000000000205</v>
      </c>
      <c r="F17" s="2">
        <f t="shared" ref="F17" si="25">+F15-F16</f>
        <v>110.30000000000004</v>
      </c>
      <c r="G17" s="2">
        <f t="shared" ref="G17:N17" si="26">+G15-G16</f>
        <v>107.49999999999997</v>
      </c>
      <c r="H17" s="2">
        <f t="shared" si="26"/>
        <v>191.20000000000019</v>
      </c>
      <c r="I17" s="2">
        <f t="shared" si="26"/>
        <v>205.19999999999993</v>
      </c>
      <c r="J17" s="2">
        <f t="shared" si="26"/>
        <v>430.10000000000036</v>
      </c>
      <c r="K17" s="2">
        <f t="shared" si="26"/>
        <v>213.36999999999989</v>
      </c>
      <c r="L17" s="2">
        <f t="shared" si="26"/>
        <v>248.10000000000028</v>
      </c>
      <c r="M17" s="2">
        <f t="shared" si="26"/>
        <v>301.44399999999996</v>
      </c>
      <c r="N17" s="2">
        <f t="shared" si="26"/>
        <v>367.82900000000018</v>
      </c>
      <c r="P17" s="2"/>
      <c r="Q17" s="2">
        <f t="shared" ref="Q17:X17" si="27">+Q15-Q16</f>
        <v>190.80000000000069</v>
      </c>
      <c r="R17" s="2">
        <f t="shared" si="27"/>
        <v>205.90000000000035</v>
      </c>
      <c r="S17" s="2">
        <f t="shared" si="27"/>
        <v>934.00000000000102</v>
      </c>
      <c r="T17" s="2">
        <f>+T15-T16</f>
        <v>1140.5000000000005</v>
      </c>
      <c r="U17" s="2">
        <f t="shared" si="27"/>
        <v>1647.5766749999991</v>
      </c>
      <c r="V17" s="2">
        <f t="shared" si="27"/>
        <v>2058.1426762499991</v>
      </c>
      <c r="W17" s="2">
        <f t="shared" si="27"/>
        <v>2636.1682182187492</v>
      </c>
      <c r="X17" s="2">
        <f t="shared" si="27"/>
        <v>3199.9424747015614</v>
      </c>
      <c r="Y17" s="2">
        <f>X17*(1+$AA$22)</f>
        <v>3231.9418994485773</v>
      </c>
      <c r="Z17" s="2">
        <f t="shared" ref="Z17:CK17" si="28">Y17*(1+$AA$22)</f>
        <v>3264.2613184430629</v>
      </c>
      <c r="AA17" s="2">
        <f t="shared" si="28"/>
        <v>3296.9039316274934</v>
      </c>
      <c r="AB17" s="2">
        <f t="shared" si="28"/>
        <v>3329.8729709437685</v>
      </c>
      <c r="AC17" s="2">
        <f t="shared" si="28"/>
        <v>3363.1717006532062</v>
      </c>
      <c r="AD17" s="2">
        <f t="shared" si="28"/>
        <v>3396.8034176597384</v>
      </c>
      <c r="AE17" s="2">
        <f t="shared" si="28"/>
        <v>3430.7714518363359</v>
      </c>
      <c r="AF17" s="2">
        <f t="shared" si="28"/>
        <v>3465.0791663546993</v>
      </c>
      <c r="AG17" s="2">
        <f t="shared" si="28"/>
        <v>3499.7299580182462</v>
      </c>
      <c r="AH17" s="2">
        <f t="shared" si="28"/>
        <v>3534.7272575984289</v>
      </c>
      <c r="AI17" s="2">
        <f t="shared" si="28"/>
        <v>3570.0745301744132</v>
      </c>
      <c r="AJ17" s="2">
        <f t="shared" si="28"/>
        <v>3605.7752754761573</v>
      </c>
      <c r="AK17" s="2">
        <f t="shared" si="28"/>
        <v>3641.8330282309189</v>
      </c>
      <c r="AL17" s="2">
        <f t="shared" si="28"/>
        <v>3678.2513585132283</v>
      </c>
      <c r="AM17" s="2">
        <f t="shared" si="28"/>
        <v>3715.0338720983605</v>
      </c>
      <c r="AN17" s="2">
        <f t="shared" si="28"/>
        <v>3752.1842108193441</v>
      </c>
      <c r="AO17" s="2">
        <f t="shared" si="28"/>
        <v>3789.7060529275377</v>
      </c>
      <c r="AP17" s="2">
        <f t="shared" si="28"/>
        <v>3827.6031134568129</v>
      </c>
      <c r="AQ17" s="2">
        <f t="shared" si="28"/>
        <v>3865.8791445913812</v>
      </c>
      <c r="AR17" s="2">
        <f t="shared" si="28"/>
        <v>3904.5379360372949</v>
      </c>
      <c r="AS17" s="2">
        <f t="shared" si="28"/>
        <v>3943.5833153976678</v>
      </c>
      <c r="AT17" s="2">
        <f t="shared" si="28"/>
        <v>3983.0191485516443</v>
      </c>
      <c r="AU17" s="2">
        <f t="shared" si="28"/>
        <v>4022.8493400371608</v>
      </c>
      <c r="AV17" s="2">
        <f t="shared" si="28"/>
        <v>4063.0778334375323</v>
      </c>
      <c r="AW17" s="2">
        <f t="shared" si="28"/>
        <v>4103.7086117719073</v>
      </c>
      <c r="AX17" s="2">
        <f t="shared" si="28"/>
        <v>4144.7456978896262</v>
      </c>
      <c r="AY17" s="2">
        <f t="shared" si="28"/>
        <v>4186.1931548685225</v>
      </c>
      <c r="AZ17" s="2">
        <f t="shared" si="28"/>
        <v>4228.0550864172073</v>
      </c>
      <c r="BA17" s="2">
        <f t="shared" si="28"/>
        <v>4270.3356372813796</v>
      </c>
      <c r="BB17" s="2">
        <f t="shared" si="28"/>
        <v>4313.0389936541933</v>
      </c>
      <c r="BC17" s="2">
        <f t="shared" si="28"/>
        <v>4356.1693835907354</v>
      </c>
      <c r="BD17" s="2">
        <f t="shared" si="28"/>
        <v>4399.7310774266425</v>
      </c>
      <c r="BE17" s="2">
        <f t="shared" si="28"/>
        <v>4443.7283882009087</v>
      </c>
      <c r="BF17" s="2">
        <f t="shared" si="28"/>
        <v>4488.1656720829178</v>
      </c>
      <c r="BG17" s="2">
        <f t="shared" si="28"/>
        <v>4533.0473288037474</v>
      </c>
      <c r="BH17" s="2">
        <f t="shared" si="28"/>
        <v>4578.3778020917853</v>
      </c>
      <c r="BI17" s="2">
        <f t="shared" si="28"/>
        <v>4624.1615801127027</v>
      </c>
      <c r="BJ17" s="2">
        <f t="shared" si="28"/>
        <v>4670.4031959138301</v>
      </c>
      <c r="BK17" s="2">
        <f t="shared" si="28"/>
        <v>4717.1072278729689</v>
      </c>
      <c r="BL17" s="2">
        <f t="shared" si="28"/>
        <v>4764.2783001516982</v>
      </c>
      <c r="BM17" s="2">
        <f t="shared" si="28"/>
        <v>4811.9210831532155</v>
      </c>
      <c r="BN17" s="2">
        <f t="shared" si="28"/>
        <v>4860.0402939847472</v>
      </c>
      <c r="BO17" s="2">
        <f t="shared" si="28"/>
        <v>4908.6406969245945</v>
      </c>
      <c r="BP17" s="2">
        <f t="shared" si="28"/>
        <v>4957.7271038938406</v>
      </c>
      <c r="BQ17" s="2">
        <f t="shared" si="28"/>
        <v>5007.304374932779</v>
      </c>
      <c r="BR17" s="2">
        <f t="shared" si="28"/>
        <v>5057.3774186821065</v>
      </c>
      <c r="BS17" s="2">
        <f t="shared" si="28"/>
        <v>5107.951192868928</v>
      </c>
      <c r="BT17" s="2">
        <f t="shared" si="28"/>
        <v>5159.0307047976175</v>
      </c>
      <c r="BU17" s="2">
        <f t="shared" si="28"/>
        <v>5210.6210118455938</v>
      </c>
      <c r="BV17" s="2">
        <f t="shared" si="28"/>
        <v>5262.7272219640499</v>
      </c>
      <c r="BW17" s="2">
        <f t="shared" si="28"/>
        <v>5315.3544941836908</v>
      </c>
      <c r="BX17" s="2">
        <f t="shared" si="28"/>
        <v>5368.5080391255278</v>
      </c>
      <c r="BY17" s="2">
        <f t="shared" si="28"/>
        <v>5422.1931195167836</v>
      </c>
      <c r="BZ17" s="2">
        <f t="shared" si="28"/>
        <v>5476.4150507119512</v>
      </c>
      <c r="CA17" s="2">
        <f t="shared" si="28"/>
        <v>5531.1792012190708</v>
      </c>
      <c r="CB17" s="2">
        <f t="shared" si="28"/>
        <v>5586.4909932312612</v>
      </c>
      <c r="CC17" s="2">
        <f t="shared" si="28"/>
        <v>5642.3559031635741</v>
      </c>
      <c r="CD17" s="2">
        <f t="shared" si="28"/>
        <v>5698.7794621952098</v>
      </c>
      <c r="CE17" s="2">
        <f t="shared" si="28"/>
        <v>5755.767256817162</v>
      </c>
      <c r="CF17" s="2">
        <f t="shared" si="28"/>
        <v>5813.3249293853332</v>
      </c>
      <c r="CG17" s="2">
        <f t="shared" si="28"/>
        <v>5871.4581786791869</v>
      </c>
      <c r="CH17" s="2">
        <f t="shared" si="28"/>
        <v>5930.1727604659791</v>
      </c>
      <c r="CI17" s="2">
        <f t="shared" si="28"/>
        <v>5989.4744880706385</v>
      </c>
      <c r="CJ17" s="2">
        <f t="shared" si="28"/>
        <v>6049.3692329513451</v>
      </c>
      <c r="CK17" s="2">
        <f t="shared" si="28"/>
        <v>6109.8629252808587</v>
      </c>
      <c r="CL17" s="2">
        <f t="shared" ref="CL17:EB17" si="29">CK17*(1+$AA$22)</f>
        <v>6170.9615545336674</v>
      </c>
      <c r="CM17" s="2">
        <f t="shared" si="29"/>
        <v>6232.6711700790038</v>
      </c>
      <c r="CN17" s="2">
        <f t="shared" si="29"/>
        <v>6294.9978817797937</v>
      </c>
      <c r="CO17" s="2">
        <f t="shared" si="29"/>
        <v>6357.9478605975919</v>
      </c>
      <c r="CP17" s="2">
        <f t="shared" si="29"/>
        <v>6421.5273392035679</v>
      </c>
      <c r="CQ17" s="2">
        <f t="shared" si="29"/>
        <v>6485.7426125956035</v>
      </c>
      <c r="CR17" s="2">
        <f t="shared" si="29"/>
        <v>6550.6000387215599</v>
      </c>
      <c r="CS17" s="2">
        <f t="shared" si="29"/>
        <v>6616.1060391087758</v>
      </c>
      <c r="CT17" s="2">
        <f t="shared" si="29"/>
        <v>6682.2670994998634</v>
      </c>
      <c r="CU17" s="2">
        <f t="shared" si="29"/>
        <v>6749.089770494862</v>
      </c>
      <c r="CV17" s="2">
        <f t="shared" si="29"/>
        <v>6816.580668199811</v>
      </c>
      <c r="CW17" s="2">
        <f t="shared" si="29"/>
        <v>6884.7464748818093</v>
      </c>
      <c r="CX17" s="2">
        <f t="shared" si="29"/>
        <v>6953.5939396306276</v>
      </c>
      <c r="CY17" s="2">
        <f t="shared" si="29"/>
        <v>7023.1298790269338</v>
      </c>
      <c r="CZ17" s="2">
        <f t="shared" si="29"/>
        <v>7093.3611778172035</v>
      </c>
      <c r="DA17" s="2">
        <f t="shared" si="29"/>
        <v>7164.2947895953757</v>
      </c>
      <c r="DB17" s="2">
        <f t="shared" si="29"/>
        <v>7235.9377374913292</v>
      </c>
      <c r="DC17" s="2">
        <f t="shared" si="29"/>
        <v>7308.2971148662427</v>
      </c>
      <c r="DD17" s="2">
        <f t="shared" si="29"/>
        <v>7381.3800860149049</v>
      </c>
      <c r="DE17" s="2">
        <f t="shared" si="29"/>
        <v>7455.193886875054</v>
      </c>
      <c r="DF17" s="2">
        <f t="shared" si="29"/>
        <v>7529.7458257438047</v>
      </c>
      <c r="DG17" s="2">
        <f t="shared" si="29"/>
        <v>7605.0432840012427</v>
      </c>
      <c r="DH17" s="2">
        <f t="shared" si="29"/>
        <v>7681.0937168412556</v>
      </c>
      <c r="DI17" s="2">
        <f t="shared" si="29"/>
        <v>7757.9046540096679</v>
      </c>
      <c r="DJ17" s="2">
        <f t="shared" si="29"/>
        <v>7835.4837005497648</v>
      </c>
      <c r="DK17" s="2">
        <f t="shared" si="29"/>
        <v>7913.8385375552625</v>
      </c>
      <c r="DL17" s="2">
        <f t="shared" si="29"/>
        <v>7992.9769229308149</v>
      </c>
      <c r="DM17" s="2">
        <f t="shared" si="29"/>
        <v>8072.9066921601234</v>
      </c>
      <c r="DN17" s="2">
        <f t="shared" si="29"/>
        <v>8153.6357590817242</v>
      </c>
      <c r="DO17" s="2">
        <f t="shared" si="29"/>
        <v>8235.172116672542</v>
      </c>
      <c r="DP17" s="2">
        <f t="shared" si="29"/>
        <v>8317.5238378392678</v>
      </c>
      <c r="DQ17" s="2">
        <f t="shared" si="29"/>
        <v>8400.6990762176611</v>
      </c>
      <c r="DR17" s="2">
        <f t="shared" si="29"/>
        <v>8484.7060669798375</v>
      </c>
      <c r="DS17" s="2">
        <f t="shared" si="29"/>
        <v>8569.5531276496367</v>
      </c>
      <c r="DT17" s="2">
        <f t="shared" si="29"/>
        <v>8655.2486589261334</v>
      </c>
      <c r="DU17" s="2">
        <f t="shared" si="29"/>
        <v>8741.8011455153955</v>
      </c>
      <c r="DV17" s="2">
        <f t="shared" si="29"/>
        <v>8829.2191569705501</v>
      </c>
      <c r="DW17" s="2">
        <f t="shared" si="29"/>
        <v>8917.5113485402562</v>
      </c>
      <c r="DX17" s="2">
        <f t="shared" si="29"/>
        <v>9006.6864620256583</v>
      </c>
      <c r="DY17" s="2">
        <f t="shared" si="29"/>
        <v>9096.7533266459159</v>
      </c>
      <c r="DZ17" s="2">
        <f t="shared" si="29"/>
        <v>9187.7208599123751</v>
      </c>
      <c r="EA17" s="2">
        <f t="shared" si="29"/>
        <v>9279.5980685114992</v>
      </c>
      <c r="EB17" s="2">
        <f t="shared" si="29"/>
        <v>9372.394049196615</v>
      </c>
    </row>
    <row r="18" spans="2:132" x14ac:dyDescent="0.2">
      <c r="B18" t="s">
        <v>26</v>
      </c>
      <c r="C18" s="1">
        <f t="shared" ref="C18:N18" si="30">+C17/C19</f>
        <v>-7.6904438334228359E-2</v>
      </c>
      <c r="D18" s="1">
        <f t="shared" si="30"/>
        <v>0.10696971509518695</v>
      </c>
      <c r="E18" s="1">
        <f t="shared" si="30"/>
        <v>0.2222846291249323</v>
      </c>
      <c r="F18" s="1">
        <f t="shared" si="30"/>
        <v>0.29162612631668017</v>
      </c>
      <c r="G18" s="1">
        <f t="shared" si="30"/>
        <v>0.28164695854519106</v>
      </c>
      <c r="H18" s="1">
        <f t="shared" si="30"/>
        <v>0.50006407724839264</v>
      </c>
      <c r="I18" s="1">
        <f t="shared" si="30"/>
        <v>0.52853814406210664</v>
      </c>
      <c r="J18" s="1">
        <f t="shared" si="30"/>
        <v>1.1135967024488262</v>
      </c>
      <c r="K18" s="1">
        <f t="shared" si="30"/>
        <v>0.5627807943037012</v>
      </c>
      <c r="L18" s="1">
        <f t="shared" si="30"/>
        <v>0.64527371465429417</v>
      </c>
      <c r="M18" s="1">
        <f t="shared" si="30"/>
        <v>0.78401406545847974</v>
      </c>
      <c r="N18" s="1">
        <f t="shared" si="30"/>
        <v>0.95667224984915056</v>
      </c>
      <c r="P18" s="1"/>
      <c r="Q18" s="1">
        <f t="shared" ref="Q18:X18" si="31">+Q17/Q19</f>
        <v>0.52979396901205278</v>
      </c>
      <c r="R18" s="1">
        <f t="shared" si="31"/>
        <v>0.54438639536359501</v>
      </c>
      <c r="S18" s="1">
        <f t="shared" si="31"/>
        <v>2.4182732389844315</v>
      </c>
      <c r="T18" s="1">
        <f t="shared" si="31"/>
        <v>2.9934383202099748</v>
      </c>
      <c r="U18" s="1">
        <f t="shared" si="31"/>
        <v>4.3243482283464543</v>
      </c>
      <c r="V18" s="1">
        <f t="shared" si="31"/>
        <v>5.4019492814960604</v>
      </c>
      <c r="W18" s="1">
        <f t="shared" si="31"/>
        <v>6.9190766882381869</v>
      </c>
      <c r="X18" s="1">
        <f t="shared" si="31"/>
        <v>8.3987991461983231</v>
      </c>
    </row>
    <row r="19" spans="2:132" x14ac:dyDescent="0.2">
      <c r="B19" t="s">
        <v>1</v>
      </c>
      <c r="C19" s="2">
        <v>379.69200000000001</v>
      </c>
      <c r="D19" s="2">
        <v>382.35120999999998</v>
      </c>
      <c r="E19" s="2">
        <v>377.44400200000001</v>
      </c>
      <c r="F19" s="2">
        <f>+R19</f>
        <v>378.22399999999999</v>
      </c>
      <c r="G19" s="2">
        <v>381.68351100000001</v>
      </c>
      <c r="H19" s="2">
        <v>382.351</v>
      </c>
      <c r="I19" s="2">
        <v>388.24066399999998</v>
      </c>
      <c r="J19" s="11">
        <f>+S19</f>
        <v>386.226</v>
      </c>
      <c r="K19" s="2">
        <v>379.13518399999998</v>
      </c>
      <c r="L19" s="2">
        <v>384.488</v>
      </c>
      <c r="M19" s="11">
        <f>+L19</f>
        <v>384.488</v>
      </c>
      <c r="N19" s="11">
        <f>+M19</f>
        <v>384.488</v>
      </c>
      <c r="P19" s="2"/>
      <c r="Q19" s="2">
        <v>360.14</v>
      </c>
      <c r="R19" s="2">
        <v>378.22399999999999</v>
      </c>
      <c r="S19" s="2">
        <v>386.226</v>
      </c>
      <c r="T19" s="2">
        <v>381</v>
      </c>
      <c r="U19" s="2">
        <v>381</v>
      </c>
      <c r="V19" s="2">
        <f>+U19</f>
        <v>381</v>
      </c>
      <c r="W19" s="2">
        <f>+V19</f>
        <v>381</v>
      </c>
      <c r="X19" s="2">
        <f>+W19</f>
        <v>381</v>
      </c>
    </row>
    <row r="21" spans="2:132" x14ac:dyDescent="0.2">
      <c r="B21" t="s">
        <v>10</v>
      </c>
      <c r="G21" s="13">
        <f t="shared" ref="G21" si="32">+G5/C5-1</f>
        <v>0.31537530266343805</v>
      </c>
      <c r="H21" s="13">
        <f t="shared" ref="H21:N21" si="33">+H5/D5-1</f>
        <v>0.23917393168500789</v>
      </c>
      <c r="I21" s="13">
        <f t="shared" si="33"/>
        <v>0.17655796367564625</v>
      </c>
      <c r="J21" s="13">
        <f t="shared" si="33"/>
        <v>0.12740239332769265</v>
      </c>
      <c r="K21" s="13">
        <f t="shared" si="33"/>
        <v>7.7575438827164556E-2</v>
      </c>
      <c r="L21" s="13">
        <f t="shared" si="33"/>
        <v>0.12611729427368656</v>
      </c>
      <c r="M21" s="13">
        <f t="shared" si="33"/>
        <v>0.11901755996786423</v>
      </c>
      <c r="N21" s="13">
        <f t="shared" si="33"/>
        <v>0.17937171652192552</v>
      </c>
      <c r="R21" s="3">
        <f t="shared" ref="R21:X21" si="34">+R5/Q5-1</f>
        <v>0.1387327184330045</v>
      </c>
      <c r="S21" s="3">
        <f t="shared" si="34"/>
        <v>0.20586840024598096</v>
      </c>
      <c r="T21" s="3">
        <f t="shared" si="34"/>
        <v>0.16731262384893331</v>
      </c>
      <c r="U21" s="3">
        <f t="shared" si="34"/>
        <v>0.14999999999999991</v>
      </c>
      <c r="V21" s="3">
        <f t="shared" si="34"/>
        <v>0.14999999999999991</v>
      </c>
      <c r="W21" s="3">
        <f t="shared" si="34"/>
        <v>0.14999999999999991</v>
      </c>
      <c r="X21" s="3">
        <f t="shared" si="34"/>
        <v>0.14999999999999991</v>
      </c>
      <c r="Z21" t="s">
        <v>37</v>
      </c>
      <c r="AA21" s="3">
        <v>0.1</v>
      </c>
    </row>
    <row r="22" spans="2:132" x14ac:dyDescent="0.2">
      <c r="B22" t="s">
        <v>16</v>
      </c>
      <c r="C22" s="3">
        <f t="shared" ref="C22:E24" si="35">+C9/C3</f>
        <v>0.2279255945373205</v>
      </c>
      <c r="D22" s="3">
        <f t="shared" si="35"/>
        <v>0.2346919431279621</v>
      </c>
      <c r="E22" s="3">
        <f t="shared" si="35"/>
        <v>0.26149374669719927</v>
      </c>
      <c r="F22" s="3">
        <f t="shared" ref="F22:F24" si="36">+F9/F3</f>
        <v>0.2918564260903127</v>
      </c>
      <c r="G22" s="3">
        <f t="shared" ref="G22:L24" si="37">+G9/G3</f>
        <v>0.30931310577328275</v>
      </c>
      <c r="H22" s="3">
        <f t="shared" si="37"/>
        <v>0.32894736842105271</v>
      </c>
      <c r="I22" s="3">
        <f t="shared" si="37"/>
        <v>0.35263881850430751</v>
      </c>
      <c r="J22" s="3">
        <f t="shared" si="37"/>
        <v>0.35780499357196033</v>
      </c>
      <c r="K22" s="3">
        <f t="shared" si="37"/>
        <v>0.33377942218373613</v>
      </c>
      <c r="L22" s="3">
        <f t="shared" si="37"/>
        <v>0.36921296296296297</v>
      </c>
      <c r="P22" s="3"/>
      <c r="Q22" s="3">
        <f t="shared" ref="Q22:T24" si="38">+Q9/Q3</f>
        <v>0.26928490228982843</v>
      </c>
      <c r="R22" s="3">
        <f t="shared" si="38"/>
        <v>0.25746776462989879</v>
      </c>
      <c r="S22" s="3">
        <f t="shared" si="38"/>
        <v>0.33858049240672583</v>
      </c>
      <c r="T22" s="3">
        <f t="shared" si="38"/>
        <v>0.35881754907327762</v>
      </c>
      <c r="Z22" t="s">
        <v>38</v>
      </c>
      <c r="AA22" s="3">
        <v>0.01</v>
      </c>
    </row>
    <row r="23" spans="2:132" x14ac:dyDescent="0.2">
      <c r="B23" t="s">
        <v>17</v>
      </c>
      <c r="C23" s="3">
        <f t="shared" si="35"/>
        <v>0.35830618892508143</v>
      </c>
      <c r="D23" s="3">
        <f t="shared" si="35"/>
        <v>0.35975609756097554</v>
      </c>
      <c r="E23" s="3">
        <f t="shared" si="35"/>
        <v>0.38299103268730106</v>
      </c>
      <c r="F23" s="3">
        <f t="shared" si="36"/>
        <v>0.37204121414647734</v>
      </c>
      <c r="G23" s="3">
        <f t="shared" si="37"/>
        <v>0.38404064554692174</v>
      </c>
      <c r="H23" s="3">
        <f t="shared" si="37"/>
        <v>0.39202568905539203</v>
      </c>
      <c r="I23" s="3">
        <f t="shared" si="37"/>
        <v>0.38887351231663436</v>
      </c>
      <c r="J23" s="3">
        <f t="shared" si="37"/>
        <v>0.39896774193548351</v>
      </c>
      <c r="K23" s="3">
        <f t="shared" si="37"/>
        <v>0.38611713665943603</v>
      </c>
      <c r="L23" s="3">
        <f t="shared" si="37"/>
        <v>0.42002012072434614</v>
      </c>
      <c r="P23" s="3"/>
      <c r="Q23" s="3">
        <f t="shared" si="38"/>
        <v>0.40490985807441499</v>
      </c>
      <c r="R23" s="3">
        <f t="shared" si="38"/>
        <v>0.36860345081846341</v>
      </c>
      <c r="S23" s="3">
        <f t="shared" si="38"/>
        <v>0.39125660558643877</v>
      </c>
      <c r="T23" s="3">
        <f t="shared" si="38"/>
        <v>0.39555006180469715</v>
      </c>
      <c r="Z23" t="s">
        <v>39</v>
      </c>
      <c r="AA23" s="2">
        <f>NPV(AA21,U17:EB17)</f>
        <v>31889.836546584262</v>
      </c>
    </row>
    <row r="24" spans="2:132" s="8" customFormat="1" x14ac:dyDescent="0.2">
      <c r="B24" s="8" t="s">
        <v>19</v>
      </c>
      <c r="C24" s="10">
        <f t="shared" si="35"/>
        <v>0.26253891387063311</v>
      </c>
      <c r="D24" s="10">
        <f t="shared" si="35"/>
        <v>0.26547091610690293</v>
      </c>
      <c r="E24" s="10">
        <f t="shared" si="35"/>
        <v>0.28985213692525835</v>
      </c>
      <c r="F24" s="10">
        <f t="shared" si="36"/>
        <v>0.30925903541641486</v>
      </c>
      <c r="G24" s="10">
        <f t="shared" si="37"/>
        <v>0.32575110117677997</v>
      </c>
      <c r="H24" s="10">
        <f t="shared" si="37"/>
        <v>0.34254079926186504</v>
      </c>
      <c r="I24" s="10">
        <f t="shared" si="37"/>
        <v>0.36015149776196487</v>
      </c>
      <c r="J24" s="10">
        <f t="shared" si="37"/>
        <v>0.36635574139594729</v>
      </c>
      <c r="K24" s="10">
        <f t="shared" si="37"/>
        <v>0.34555548776767731</v>
      </c>
      <c r="L24" s="10">
        <f t="shared" si="37"/>
        <v>0.37955755837771415</v>
      </c>
      <c r="M24" s="10">
        <f t="shared" ref="M24:N24" si="39">+M11/M5</f>
        <v>0.38</v>
      </c>
      <c r="N24" s="10">
        <f t="shared" si="39"/>
        <v>0.38</v>
      </c>
      <c r="P24" s="10"/>
      <c r="Q24" s="10">
        <f t="shared" si="38"/>
        <v>0.3046557691922932</v>
      </c>
      <c r="R24" s="10">
        <f t="shared" si="38"/>
        <v>0.28394974962663627</v>
      </c>
      <c r="S24" s="10">
        <f t="shared" si="38"/>
        <v>0.34976395850332215</v>
      </c>
      <c r="T24" s="10">
        <f>+T11/T5</f>
        <v>0.36623603569868318</v>
      </c>
      <c r="U24" s="10">
        <v>0.38</v>
      </c>
      <c r="V24" s="10">
        <v>0.38</v>
      </c>
      <c r="W24" s="10">
        <v>0.39</v>
      </c>
      <c r="X24" s="10">
        <v>0.39</v>
      </c>
    </row>
    <row r="30" spans="2:132" x14ac:dyDescent="0.2">
      <c r="T30">
        <f>765-270</f>
        <v>495</v>
      </c>
    </row>
  </sheetData>
  <hyperlinks>
    <hyperlink ref="A1" location="Main!A1" display="Main" xr:uid="{39161676-D17F-4680-AF4F-ECE5E318110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Michael Valand</cp:lastModifiedBy>
  <dcterms:created xsi:type="dcterms:W3CDTF">2024-08-03T20:42:13Z</dcterms:created>
  <dcterms:modified xsi:type="dcterms:W3CDTF">2025-05-13T13:56:24Z</dcterms:modified>
</cp:coreProperties>
</file>