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ocuments\_mine_models\SI\CinkarnaCelje\"/>
    </mc:Choice>
  </mc:AlternateContent>
  <xr:revisionPtr revIDLastSave="0" documentId="13_ncr:1_{FD184C92-7B1C-4780-BB9D-154C98D9B390}" xr6:coauthVersionLast="47" xr6:coauthVersionMax="47" xr10:uidLastSave="{00000000-0000-0000-0000-000000000000}"/>
  <bookViews>
    <workbookView xWindow="-18120" yWindow="-120" windowWidth="18240" windowHeight="28320" xr2:uid="{DDACF1A3-C0BB-4026-9F34-CD78D41246E0}"/>
  </bookViews>
  <sheets>
    <sheet name="Main" sheetId="1" r:id="rId1"/>
    <sheet name="Model" sheetId="2" r:id="rId2"/>
    <sheet name="Holders" sheetId="3" r:id="rId3"/>
    <sheet name="Proce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K17" i="2"/>
  <c r="H50" i="2"/>
  <c r="I50" i="2"/>
  <c r="H45" i="2"/>
  <c r="I45" i="2"/>
  <c r="I42" i="2"/>
  <c r="H42" i="2"/>
  <c r="H38" i="2"/>
  <c r="H35" i="2"/>
  <c r="I35" i="2"/>
  <c r="H32" i="2"/>
  <c r="I32" i="2"/>
  <c r="H30" i="2"/>
  <c r="I19" i="2"/>
  <c r="H29" i="2"/>
  <c r="I29" i="2"/>
  <c r="H27" i="2"/>
  <c r="I27" i="2"/>
  <c r="I26" i="2"/>
  <c r="H26" i="2"/>
  <c r="H25" i="2"/>
  <c r="I24" i="2"/>
  <c r="H24" i="2"/>
  <c r="H22" i="2"/>
  <c r="H20" i="2"/>
  <c r="H17" i="2"/>
  <c r="I17" i="2"/>
  <c r="H16" i="2"/>
  <c r="F50" i="2"/>
  <c r="G50" i="2"/>
  <c r="F45" i="2"/>
  <c r="G45" i="2"/>
  <c r="G42" i="2"/>
  <c r="F42" i="2"/>
  <c r="F38" i="2"/>
  <c r="G37" i="2"/>
  <c r="F37" i="2"/>
  <c r="G26" i="2"/>
  <c r="G25" i="2"/>
  <c r="G24" i="2"/>
  <c r="G22" i="2"/>
  <c r="G21" i="2"/>
  <c r="G20" i="2"/>
  <c r="G19" i="2"/>
  <c r="G10" i="2"/>
  <c r="G27" i="2" s="1"/>
  <c r="F31" i="2"/>
  <c r="E17" i="2"/>
  <c r="F17" i="2"/>
  <c r="F27" i="2" s="1"/>
  <c r="E53" i="2"/>
  <c r="E50" i="2"/>
  <c r="E45" i="2"/>
  <c r="E27" i="2"/>
  <c r="E29" i="2" s="1"/>
  <c r="E32" i="2" s="1"/>
  <c r="E35" i="2" s="1"/>
  <c r="E42" i="2" s="1"/>
  <c r="F29" i="2" l="1"/>
  <c r="F32" i="2" s="1"/>
  <c r="F35" i="2" s="1"/>
  <c r="G17" i="2"/>
  <c r="G29" i="2" s="1"/>
  <c r="G32" i="2" s="1"/>
  <c r="G35" i="2" s="1"/>
  <c r="E9" i="1" l="1"/>
  <c r="E8" i="1"/>
  <c r="E7" i="1"/>
  <c r="E19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4" i="3"/>
  <c r="E5" i="1"/>
  <c r="E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Valand</author>
  </authors>
  <commentList>
    <comment ref="E7" authorId="0" shapeId="0" xr:uid="{275DC0D8-B94B-4FD3-BCAF-C240EB9BFCA0}">
      <text>
        <r>
          <rPr>
            <b/>
            <sz val="9"/>
            <color indexed="81"/>
            <rFont val="Tahoma"/>
            <family val="2"/>
          </rPr>
          <t>Michael Valand:</t>
        </r>
        <r>
          <rPr>
            <sz val="9"/>
            <color indexed="81"/>
            <rFont val="Tahoma"/>
            <family val="2"/>
          </rPr>
          <t xml:space="preserve">
T-bills as good as cash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Valand</author>
  </authors>
  <commentList>
    <comment ref="D12" authorId="0" shapeId="0" xr:uid="{BA4E0B4F-0B2C-4948-B5D2-B31A12B59745}">
      <text>
        <r>
          <rPr>
            <b/>
            <sz val="9"/>
            <color indexed="81"/>
            <rFont val="Tahoma"/>
            <family val="2"/>
          </rPr>
          <t xml:space="preserve">Michael Valand:
subvencije, najeminne, prodaja osnovnih stredstev, odskodnine
</t>
        </r>
      </text>
    </comment>
    <comment ref="D36" authorId="0" shapeId="0" xr:uid="{45CB06FD-8C8D-43AE-8701-1962BB371B6B}">
      <text>
        <r>
          <rPr>
            <sz val="9"/>
            <color indexed="81"/>
            <rFont val="Tahoma"/>
            <family val="2"/>
          </rPr>
          <t xml:space="preserve"> </t>
        </r>
      </text>
    </comment>
    <comment ref="D48" authorId="0" shapeId="0" xr:uid="{668D4F05-FF31-45F8-A8E4-16009125A1E9}">
      <text>
        <r>
          <rPr>
            <b/>
            <sz val="9"/>
            <color indexed="81"/>
            <rFont val="Tahoma"/>
            <family val="2"/>
          </rPr>
          <t>Michael Valand:</t>
        </r>
        <r>
          <rPr>
            <sz val="9"/>
            <color indexed="81"/>
            <rFont val="Tahoma"/>
            <family val="2"/>
          </rPr>
          <t xml:space="preserve">
Prejemki od povečanja dolgoročnih finančnih obveznosti
Prejemki od povečanja kratkoročnih finančnih obveznosti</t>
        </r>
      </text>
    </comment>
    <comment ref="D49" authorId="0" shapeId="0" xr:uid="{8E4E5B5C-3A65-4813-B713-13ABCA96C00C}">
      <text>
        <r>
          <rPr>
            <b/>
            <sz val="9"/>
            <color indexed="81"/>
            <rFont val="Tahoma"/>
            <family val="2"/>
          </rPr>
          <t>Michael Valand:</t>
        </r>
        <r>
          <rPr>
            <sz val="9"/>
            <color indexed="81"/>
            <rFont val="Tahoma"/>
            <family val="2"/>
          </rPr>
          <t xml:space="preserve">
Izdatki za dane obresti, ki se nanašajo na financiranje
Izdatki za odplačila dolgoročnih finančnih obveznosti 
zdatki za odplačila dividend in drugih deležev v dobičku </t>
        </r>
      </text>
    </comment>
  </commentList>
</comments>
</file>

<file path=xl/sharedStrings.xml><?xml version="1.0" encoding="utf-8"?>
<sst xmlns="http://schemas.openxmlformats.org/spreadsheetml/2006/main" count="122" uniqueCount="119">
  <si>
    <t>Shares</t>
  </si>
  <si>
    <t>MC</t>
  </si>
  <si>
    <t>Cash</t>
  </si>
  <si>
    <t>Debt</t>
  </si>
  <si>
    <t>EV</t>
  </si>
  <si>
    <t>Cena</t>
  </si>
  <si>
    <t xml:space="preserve">Delnice </t>
  </si>
  <si>
    <t>Q3 25</t>
  </si>
  <si>
    <t xml:space="preserve">Industry </t>
  </si>
  <si>
    <t>Products</t>
  </si>
  <si>
    <t>Founded</t>
  </si>
  <si>
    <t>CEO</t>
  </si>
  <si>
    <t>HQ</t>
  </si>
  <si>
    <t>Kidričeva 26</t>
  </si>
  <si>
    <t>3001 Celje</t>
  </si>
  <si>
    <t>SDH</t>
  </si>
  <si>
    <t>Modra Zavarovalnica</t>
  </si>
  <si>
    <t>OTP  Banka</t>
  </si>
  <si>
    <t xml:space="preserve">TR5 </t>
  </si>
  <si>
    <t>Lastne Delnice</t>
  </si>
  <si>
    <t>Prvi Pokojninski sklad</t>
  </si>
  <si>
    <t>Raifeissen Bank</t>
  </si>
  <si>
    <t>InterCapoital Securities</t>
  </si>
  <si>
    <t>Generali SouthEast</t>
  </si>
  <si>
    <t>Zagrebačka banka</t>
  </si>
  <si>
    <t>NLB Sklad</t>
  </si>
  <si>
    <t>Notranji delničarji</t>
  </si>
  <si>
    <t>Zunanji delničarji</t>
  </si>
  <si>
    <t>Ostali</t>
  </si>
  <si>
    <t>TiO2, Praskasti Lak, Masterbatch, Agro, chemical processing, H₂SO₄, Polimer</t>
  </si>
  <si>
    <t>Ales Skok</t>
  </si>
  <si>
    <t>IR Head</t>
  </si>
  <si>
    <t>CTO/VP</t>
  </si>
  <si>
    <t>Nikolaja Podgoršek Selič</t>
  </si>
  <si>
    <t>Employees</t>
  </si>
  <si>
    <t>Holdder</t>
  </si>
  <si>
    <t>Percentage</t>
  </si>
  <si>
    <t>Mkt. val.</t>
  </si>
  <si>
    <t>Total = Mkt. cap</t>
  </si>
  <si>
    <t>Filip Kozelnik</t>
  </si>
  <si>
    <t>titanium(IV) oxide (anatase), Food, Photocatalysis</t>
  </si>
  <si>
    <t>titanium(IV) oxide (rutile),High REFRACTIVE INDEX, Greater Durability, PVC windows, Automotive</t>
  </si>
  <si>
    <t>China vs US &amp;EU</t>
  </si>
  <si>
    <t>Chemicals</t>
  </si>
  <si>
    <t>Are the chinese gonna fuck us here also</t>
  </si>
  <si>
    <r>
      <t xml:space="preserve">Chloride vs </t>
    </r>
    <r>
      <rPr>
        <b/>
        <i/>
        <sz val="11"/>
        <color rgb="FFFF0000"/>
        <rFont val="Aptos Narrow"/>
        <family val="2"/>
        <scheme val="minor"/>
      </rPr>
      <t>Sulfite</t>
    </r>
    <r>
      <rPr>
        <b/>
        <sz val="11"/>
        <color theme="1"/>
        <rFont val="Aptos Narrow"/>
        <family val="2"/>
        <scheme val="minor"/>
      </rPr>
      <t xml:space="preserve"> process, IMPORTANT</t>
    </r>
  </si>
  <si>
    <t>Ilemnite ore</t>
  </si>
  <si>
    <t>Odorless, tasteless, potentnial airborne carcinogen</t>
  </si>
  <si>
    <t>Sulfat</t>
  </si>
  <si>
    <t>Chloride</t>
  </si>
  <si>
    <t>Lastnosti</t>
  </si>
  <si>
    <t>Surovina</t>
  </si>
  <si>
    <t>Reagent</t>
  </si>
  <si>
    <t>Odpad</t>
  </si>
  <si>
    <t>Tip procesa</t>
  </si>
  <si>
    <t>Kvaliteta produkta</t>
  </si>
  <si>
    <t>Okoljski vpliv</t>
  </si>
  <si>
    <t>Low-grade ilmenite/ Ti slag</t>
  </si>
  <si>
    <t>Rutile, synthetic rutile, slag</t>
  </si>
  <si>
    <t>H2SO4</t>
  </si>
  <si>
    <t>Cl2</t>
  </si>
  <si>
    <t>acidic Iron sulfate</t>
  </si>
  <si>
    <t>metal cholrides [small volume]</t>
  </si>
  <si>
    <t>Batch</t>
  </si>
  <si>
    <t>Zvezno</t>
  </si>
  <si>
    <t>Godd/decent</t>
  </si>
  <si>
    <t>Top shit, brighter rutile pigment</t>
  </si>
  <si>
    <t>HIGH</t>
  </si>
  <si>
    <t>LOW</t>
  </si>
  <si>
    <t>Revenue</t>
  </si>
  <si>
    <t>FY 2006</t>
  </si>
  <si>
    <t>FY 2007</t>
  </si>
  <si>
    <t>FY 2008</t>
  </si>
  <si>
    <t>FY 2009</t>
  </si>
  <si>
    <t>FY 2010</t>
  </si>
  <si>
    <t>FY 2011</t>
  </si>
  <si>
    <t>FY 2013</t>
  </si>
  <si>
    <t>FY 2014</t>
  </si>
  <si>
    <t>FY 2015</t>
  </si>
  <si>
    <t>FY 2012</t>
  </si>
  <si>
    <t>Delta stock</t>
  </si>
  <si>
    <t>Other income</t>
  </si>
  <si>
    <t>COS</t>
  </si>
  <si>
    <t>Stroski dela</t>
  </si>
  <si>
    <t>Odpisi vrednosti</t>
  </si>
  <si>
    <t xml:space="preserve">Other expenses </t>
  </si>
  <si>
    <t>prihodki iz deležev</t>
  </si>
  <si>
    <t>Prihodki iz posojil</t>
  </si>
  <si>
    <t>Prihodki poslovnih terjatev</t>
  </si>
  <si>
    <t>Izguba na investicijah</t>
  </si>
  <si>
    <t>(-) fin. obveznosti</t>
  </si>
  <si>
    <t>(-) iz posl. obveznosti</t>
  </si>
  <si>
    <t>Drugi prihodki</t>
  </si>
  <si>
    <t>Drugi odhodki</t>
  </si>
  <si>
    <t>EBT</t>
  </si>
  <si>
    <t>Usredstveni Lastni Proizvodi</t>
  </si>
  <si>
    <t>Poslovni izid</t>
  </si>
  <si>
    <t>Income Tax</t>
  </si>
  <si>
    <t>Deferred Tax</t>
  </si>
  <si>
    <t>Net income</t>
  </si>
  <si>
    <t>Čisti poslovni izid</t>
  </si>
  <si>
    <t>Spremembe čistih obr. sreds</t>
  </si>
  <si>
    <t>Prejemki/izdatki (a+b+c)</t>
  </si>
  <si>
    <t>Fake prihodki</t>
  </si>
  <si>
    <t>Fake odhodki</t>
  </si>
  <si>
    <t xml:space="preserve">(+) Investicije </t>
  </si>
  <si>
    <t xml:space="preserve">(-) Investicije </t>
  </si>
  <si>
    <t>SUM (Investicije)</t>
  </si>
  <si>
    <t>(+) Financiranje</t>
  </si>
  <si>
    <t>(-) Financiranje</t>
  </si>
  <si>
    <t>SUM (Financiranje)</t>
  </si>
  <si>
    <t>Same as Balance sheet</t>
  </si>
  <si>
    <t>Prilagodive za Amortizacijo…</t>
  </si>
  <si>
    <t>(-)Finančne prihodke brez finančnih prihodkov iz poslovnih terjatev -</t>
  </si>
  <si>
    <t>(+)Finančne odhodke brez finančnih odhodkov iz poslovnih obveznosti +</t>
  </si>
  <si>
    <t>Končno stanje Denar. Sred.</t>
  </si>
  <si>
    <t>SIT</t>
  </si>
  <si>
    <t>EUR</t>
  </si>
  <si>
    <t>SIT/EUR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</si>
</sst>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b/>
      <i/>
      <sz val="11"/>
      <color rgb="FFFF0000"/>
      <name val="Aptos Narrow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4" fontId="0" fillId="0" borderId="0" xfId="0" applyNumberFormat="1"/>
    <xf numFmtId="165" fontId="0" fillId="0" borderId="0" xfId="0" applyNumberFormat="1"/>
    <xf numFmtId="2" fontId="0" fillId="0" borderId="0" xfId="0" applyNumberFormat="1"/>
    <xf numFmtId="4" fontId="1" fillId="0" borderId="0" xfId="0" applyNumberFormat="1" applyFont="1"/>
    <xf numFmtId="0" fontId="6" fillId="0" borderId="0" xfId="0" applyFont="1"/>
    <xf numFmtId="2" fontId="4" fillId="0" borderId="0" xfId="0" applyNumberFormat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30</xdr:row>
      <xdr:rowOff>90673</xdr:rowOff>
    </xdr:from>
    <xdr:to>
      <xdr:col>8</xdr:col>
      <xdr:colOff>362667</xdr:colOff>
      <xdr:row>35</xdr:row>
      <xdr:rowOff>38240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5F58B-E6F9-F33F-D0FC-59F52D7A7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5805673"/>
          <a:ext cx="4620342" cy="900067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504824</xdr:colOff>
      <xdr:row>37</xdr:row>
      <xdr:rowOff>188146</xdr:rowOff>
    </xdr:from>
    <xdr:to>
      <xdr:col>8</xdr:col>
      <xdr:colOff>200022</xdr:colOff>
      <xdr:row>55</xdr:row>
      <xdr:rowOff>38100</xdr:rowOff>
    </xdr:to>
    <xdr:pic>
      <xdr:nvPicPr>
        <xdr:cNvPr id="3" name="Picture 2" descr="Titanium dioxide - Unit cell&#10;">
          <a:extLst>
            <a:ext uri="{FF2B5EF4-FFF2-40B4-BE49-F238E27FC236}">
              <a16:creationId xmlns:a16="http://schemas.microsoft.com/office/drawing/2014/main" id="{9730AE85-3943-8B46-807A-D6FDA99BF21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4" y="7236646"/>
          <a:ext cx="4600573" cy="3278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22</xdr:row>
      <xdr:rowOff>66675</xdr:rowOff>
    </xdr:from>
    <xdr:to>
      <xdr:col>15</xdr:col>
      <xdr:colOff>29914</xdr:colOff>
      <xdr:row>50</xdr:row>
      <xdr:rowOff>181735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F3F913-F092-1899-BBAF-3882531B5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257675"/>
          <a:ext cx="9593014" cy="54490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14</xdr:row>
      <xdr:rowOff>95250</xdr:rowOff>
    </xdr:from>
    <xdr:to>
      <xdr:col>11</xdr:col>
      <xdr:colOff>422332</xdr:colOff>
      <xdr:row>42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49EDCC-E665-0E69-3987-1225ECE54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2762250"/>
          <a:ext cx="9375832" cy="527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google.com/maps/dir/Cinkarna+Celje+d.d.,+Kidri%C4%8Deva+ulica+26,+3001+Celje/@46.2363457,15.2787988,17z/data=!4m16!1m6!3m5!1s0x476570e8f1231a59:0xef40b8812cea5e7a!2sCinkarna+Celje+d.d.!8m2!3d46.2362826!4d15.28098!4m8!1m0!1m5!1m1!1s0x476570e8f1231a59:0xef40b8812cea5e7a!2m2!1d15.28098!2d46.2362826!3e3" TargetMode="External"/><Relationship Id="rId1" Type="http://schemas.openxmlformats.org/officeDocument/2006/relationships/hyperlink" Target="https://www.google.com/maps/dir/Cinkarna+Celje+d.d.,+Kidri%C4%8Deva+ulica+26,+3001+Celje/@46.2363457,15.2787988,17z/data=!4m16!1m6!3m5!1s0x476570e8f1231a59:0xef40b8812cea5e7a!2sCinkarna+Celje+d.d.!8m2!3d46.2362826!4d15.28098!4m8!1m0!1m5!1m1!1s0x476570e8f1231a59:0xef40b8812cea5e7a!2m2!1d15.28098!2d46.2362826!3e3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3341-C2C8-44DF-8B25-F58C96A6BF2A}">
  <dimension ref="B4:L67"/>
  <sheetViews>
    <sheetView tabSelected="1" workbookViewId="0">
      <selection activeCell="M34" sqref="M34"/>
    </sheetView>
  </sheetViews>
  <sheetFormatPr defaultRowHeight="15" x14ac:dyDescent="0.25"/>
  <cols>
    <col min="4" max="4" width="14.28515625" customWidth="1"/>
    <col min="5" max="5" width="22.7109375" customWidth="1"/>
  </cols>
  <sheetData>
    <row r="4" spans="4:12" x14ac:dyDescent="0.25">
      <c r="D4" s="1" t="s">
        <v>5</v>
      </c>
      <c r="E4">
        <v>33.9</v>
      </c>
      <c r="F4" t="s">
        <v>7</v>
      </c>
      <c r="J4" t="s">
        <v>118</v>
      </c>
      <c r="K4">
        <v>1</v>
      </c>
      <c r="L4">
        <v>239.64</v>
      </c>
    </row>
    <row r="5" spans="4:12" x14ac:dyDescent="0.25">
      <c r="D5" s="1" t="s">
        <v>6</v>
      </c>
      <c r="E5" s="3">
        <f>8079770/1000000</f>
        <v>8.0797699999999999</v>
      </c>
      <c r="F5" t="s">
        <v>7</v>
      </c>
    </row>
    <row r="6" spans="4:12" x14ac:dyDescent="0.25">
      <c r="D6" s="1" t="s">
        <v>1</v>
      </c>
      <c r="E6" s="4">
        <f>+E5*E4</f>
        <v>273.904203</v>
      </c>
    </row>
    <row r="7" spans="4:12" x14ac:dyDescent="0.25">
      <c r="D7" s="1" t="s">
        <v>2</v>
      </c>
      <c r="E7" s="6">
        <f>(19176777)/1000000 + 41.37583</f>
        <v>60.552607000000002</v>
      </c>
    </row>
    <row r="8" spans="4:12" x14ac:dyDescent="0.25">
      <c r="D8" s="1" t="s">
        <v>3</v>
      </c>
      <c r="E8" s="8">
        <f>18298/1000000</f>
        <v>1.8297999999999998E-2</v>
      </c>
    </row>
    <row r="9" spans="4:12" x14ac:dyDescent="0.25">
      <c r="D9" s="1" t="s">
        <v>4</v>
      </c>
      <c r="E9" s="9">
        <f>+E6-E7+E8</f>
        <v>213.36989399999999</v>
      </c>
    </row>
    <row r="13" spans="4:12" x14ac:dyDescent="0.25">
      <c r="D13" s="1" t="s">
        <v>10</v>
      </c>
      <c r="E13">
        <v>1873</v>
      </c>
    </row>
    <row r="14" spans="4:12" x14ac:dyDescent="0.25">
      <c r="D14" s="1" t="s">
        <v>8</v>
      </c>
      <c r="E14" t="s">
        <v>43</v>
      </c>
    </row>
    <row r="15" spans="4:12" x14ac:dyDescent="0.25">
      <c r="D15" s="1" t="s">
        <v>9</v>
      </c>
      <c r="E15" t="s">
        <v>29</v>
      </c>
    </row>
    <row r="16" spans="4:12" x14ac:dyDescent="0.25">
      <c r="D16" s="1" t="s">
        <v>11</v>
      </c>
      <c r="E16" t="s">
        <v>30</v>
      </c>
    </row>
    <row r="17" spans="4:5" x14ac:dyDescent="0.25">
      <c r="D17" s="1" t="s">
        <v>31</v>
      </c>
      <c r="E17" t="s">
        <v>39</v>
      </c>
    </row>
    <row r="18" spans="4:5" x14ac:dyDescent="0.25">
      <c r="D18" s="1" t="s">
        <v>32</v>
      </c>
      <c r="E18" t="s">
        <v>33</v>
      </c>
    </row>
    <row r="19" spans="4:5" x14ac:dyDescent="0.25">
      <c r="D19" s="1" t="s">
        <v>34</v>
      </c>
      <c r="E19">
        <v>730</v>
      </c>
    </row>
    <row r="20" spans="4:5" x14ac:dyDescent="0.25">
      <c r="D20" s="1" t="s">
        <v>12</v>
      </c>
      <c r="E20" s="2" t="s">
        <v>13</v>
      </c>
    </row>
    <row r="21" spans="4:5" x14ac:dyDescent="0.25">
      <c r="E21" s="2" t="s">
        <v>14</v>
      </c>
    </row>
    <row r="27" spans="4:5" x14ac:dyDescent="0.25">
      <c r="D27" t="s">
        <v>47</v>
      </c>
    </row>
    <row r="28" spans="4:5" x14ac:dyDescent="0.25">
      <c r="D28" t="s">
        <v>41</v>
      </c>
    </row>
    <row r="29" spans="4:5" x14ac:dyDescent="0.25">
      <c r="D29" t="s">
        <v>40</v>
      </c>
    </row>
    <row r="38" spans="4:9" x14ac:dyDescent="0.25">
      <c r="D38" s="1" t="s">
        <v>45</v>
      </c>
      <c r="F38" t="s">
        <v>42</v>
      </c>
      <c r="I38" s="1"/>
    </row>
    <row r="57" spans="4:4" x14ac:dyDescent="0.25">
      <c r="D57" s="1" t="s">
        <v>46</v>
      </c>
    </row>
    <row r="67" spans="2:2" x14ac:dyDescent="0.25">
      <c r="B67" t="s">
        <v>44</v>
      </c>
    </row>
  </sheetData>
  <phoneticPr fontId="3" type="noConversion"/>
  <hyperlinks>
    <hyperlink ref="E20" r:id="rId1" display="https://www.google.com/maps/dir/Cinkarna+Celje+d.d.,+Kidri%C4%8Deva+ulica+26,+3001+Celje/@46.2363457,15.2787988,17z/data=!4m16!1m6!3m5!1s0x476570e8f1231a59:0xef40b8812cea5e7a!2sCinkarna+Celje+d.d.!8m2!3d46.2362826!4d15.28098!4m8!1m0!1m5!1m1!1s0x476570e8f1231a59:0xef40b8812cea5e7a!2m2!1d15.28098!2d46.2362826!3e3" xr:uid="{B6738959-C139-47BE-8AE5-DC6829CED49F}"/>
    <hyperlink ref="E21" r:id="rId2" display="https://www.google.com/maps/dir/Cinkarna+Celje+d.d.,+Kidri%C4%8Deva+ulica+26,+3001+Celje/@46.2363457,15.2787988,17z/data=!4m16!1m6!3m5!1s0x476570e8f1231a59:0xef40b8812cea5e7a!2sCinkarna+Celje+d.d.!8m2!3d46.2362826!4d15.28098!4m8!1m0!1m5!1m1!1s0x476570e8f1231a59:0xef40b8812cea5e7a!2m2!1d15.28098!2d46.2362826!3e3" xr:uid="{2DFD175D-F6EC-40F0-BD6E-1DEC55AB62B9}"/>
  </hyperlinks>
  <pageMargins left="0.7" right="0.7" top="0.75" bottom="0.75" header="0.3" footer="0.3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E224-39D5-421A-BE9C-C565EE03DF37}">
  <dimension ref="C2:N58"/>
  <sheetViews>
    <sheetView workbookViewId="0">
      <selection activeCell="H49" sqref="H49"/>
    </sheetView>
  </sheetViews>
  <sheetFormatPr defaultRowHeight="15" x14ac:dyDescent="0.25"/>
  <cols>
    <col min="4" max="4" width="35.28515625" customWidth="1"/>
    <col min="5" max="5" width="9.5703125" bestFit="1" customWidth="1"/>
    <col min="6" max="6" width="9.42578125" bestFit="1" customWidth="1"/>
    <col min="7" max="7" width="9.5703125" bestFit="1" customWidth="1"/>
  </cols>
  <sheetData>
    <row r="2" spans="3:14" x14ac:dyDescent="0.2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3:14" x14ac:dyDescent="0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3:14" x14ac:dyDescent="0.25">
      <c r="C4" s="5"/>
      <c r="D4" s="5"/>
      <c r="E4" s="5" t="s">
        <v>70</v>
      </c>
      <c r="F4" s="5" t="s">
        <v>71</v>
      </c>
      <c r="G4" s="5" t="s">
        <v>72</v>
      </c>
      <c r="H4" s="5" t="s">
        <v>73</v>
      </c>
      <c r="I4" s="5" t="s">
        <v>74</v>
      </c>
      <c r="J4" s="5" t="s">
        <v>75</v>
      </c>
      <c r="K4" s="5" t="s">
        <v>79</v>
      </c>
      <c r="L4" s="5" t="s">
        <v>76</v>
      </c>
      <c r="M4" s="5" t="s">
        <v>77</v>
      </c>
      <c r="N4" s="5" t="s">
        <v>78</v>
      </c>
    </row>
    <row r="5" spans="3:14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3:14" x14ac:dyDescent="0.25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3:14" x14ac:dyDescent="0.25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3:14" x14ac:dyDescent="0.25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3:14" x14ac:dyDescent="0.25">
      <c r="C9" s="5"/>
      <c r="D9" s="5" t="s">
        <v>69</v>
      </c>
      <c r="E9" s="11">
        <v>36121.089999999997</v>
      </c>
      <c r="F9" s="8">
        <v>156.73638600000001</v>
      </c>
      <c r="G9" s="8">
        <v>131.56755200000001</v>
      </c>
      <c r="H9">
        <v>129.576268</v>
      </c>
      <c r="I9">
        <v>153.39206799999999</v>
      </c>
      <c r="J9">
        <v>184.067759</v>
      </c>
      <c r="K9">
        <v>173.21751499999999</v>
      </c>
      <c r="L9" s="5"/>
      <c r="M9" s="5"/>
      <c r="N9" s="5"/>
    </row>
    <row r="10" spans="3:14" x14ac:dyDescent="0.25">
      <c r="C10" s="5"/>
      <c r="D10" s="5" t="s">
        <v>80</v>
      </c>
      <c r="E10" s="11">
        <v>1065.5</v>
      </c>
      <c r="F10" s="8">
        <v>-1.700318</v>
      </c>
      <c r="G10" s="8">
        <f>912.859/1000</f>
        <v>0.91285900000000009</v>
      </c>
      <c r="H10">
        <v>-4.9454500000000001</v>
      </c>
      <c r="I10">
        <v>-1.9621120000000001</v>
      </c>
      <c r="J10">
        <v>8.0038750000000007</v>
      </c>
      <c r="K10">
        <v>1.6979230000000001</v>
      </c>
      <c r="L10" s="5"/>
      <c r="M10" s="5"/>
      <c r="N10" s="5"/>
    </row>
    <row r="11" spans="3:14" x14ac:dyDescent="0.25">
      <c r="C11" s="5"/>
      <c r="D11" s="5" t="s">
        <v>95</v>
      </c>
      <c r="E11" s="11">
        <v>860.23400000000004</v>
      </c>
      <c r="F11" s="8">
        <v>5.0519999999999996</v>
      </c>
      <c r="G11" s="8">
        <v>3.104393</v>
      </c>
      <c r="H11">
        <v>2.7091959999999999</v>
      </c>
      <c r="I11">
        <v>2.6025909999999999</v>
      </c>
      <c r="J11">
        <v>2.4255990000000001</v>
      </c>
      <c r="K11">
        <v>2.3347359999999999</v>
      </c>
      <c r="L11" s="5"/>
      <c r="M11" s="5"/>
      <c r="N11" s="5"/>
    </row>
    <row r="12" spans="3:14" x14ac:dyDescent="0.25">
      <c r="C12" s="5"/>
      <c r="D12" s="5" t="s">
        <v>81</v>
      </c>
      <c r="E12" s="11">
        <v>323.30900000000003</v>
      </c>
      <c r="F12" s="8">
        <v>2.60582</v>
      </c>
      <c r="G12" s="8">
        <v>2.012095</v>
      </c>
      <c r="H12">
        <v>1.249892</v>
      </c>
      <c r="I12">
        <v>1.055437</v>
      </c>
      <c r="J12">
        <v>0.95355599999999996</v>
      </c>
      <c r="K12">
        <v>1.0519289999999999</v>
      </c>
      <c r="L12" s="5"/>
      <c r="M12" s="5"/>
      <c r="N12" s="5"/>
    </row>
    <row r="13" spans="3:14" x14ac:dyDescent="0.25">
      <c r="C13" s="5"/>
      <c r="D13" s="5" t="s">
        <v>82</v>
      </c>
      <c r="E13" s="11">
        <v>27074.008999999998</v>
      </c>
      <c r="F13" s="8">
        <v>114.318777</v>
      </c>
      <c r="G13" s="8">
        <v>94.715457999999998</v>
      </c>
      <c r="H13">
        <v>84.674332000000007</v>
      </c>
      <c r="I13">
        <v>99.118364999999997</v>
      </c>
      <c r="J13">
        <v>117.62778900000001</v>
      </c>
      <c r="K13">
        <v>110.21622600000001</v>
      </c>
      <c r="L13" s="5"/>
      <c r="M13" s="5"/>
      <c r="N13" s="5"/>
    </row>
    <row r="14" spans="3:14" x14ac:dyDescent="0.25">
      <c r="C14" s="5"/>
      <c r="D14" s="5" t="s">
        <v>83</v>
      </c>
      <c r="E14" s="11">
        <v>5922.6350000000002</v>
      </c>
      <c r="F14" s="8">
        <v>25.115065000000001</v>
      </c>
      <c r="G14" s="8">
        <v>25.849989999999998</v>
      </c>
      <c r="H14">
        <v>24.231943999999999</v>
      </c>
      <c r="I14">
        <v>28.448143000000002</v>
      </c>
      <c r="J14">
        <v>30.461493000000001</v>
      </c>
      <c r="K14">
        <v>29.641741</v>
      </c>
      <c r="L14" s="5"/>
      <c r="M14" s="5"/>
      <c r="N14" s="5"/>
    </row>
    <row r="15" spans="3:14" x14ac:dyDescent="0.25">
      <c r="C15" s="5"/>
      <c r="D15" s="5" t="s">
        <v>84</v>
      </c>
      <c r="E15" s="11">
        <v>2566.7289999999998</v>
      </c>
      <c r="F15" s="8">
        <v>11.112742000000001</v>
      </c>
      <c r="G15" s="8">
        <v>11.352603999999999</v>
      </c>
      <c r="H15">
        <v>14.067861000000001</v>
      </c>
      <c r="I15">
        <v>12.311260000000001</v>
      </c>
      <c r="J15">
        <v>13.194877</v>
      </c>
      <c r="K15">
        <v>13.443251999999999</v>
      </c>
      <c r="L15" s="5"/>
      <c r="M15" s="5"/>
      <c r="N15" s="5"/>
    </row>
    <row r="16" spans="3:14" x14ac:dyDescent="0.25">
      <c r="C16" s="5"/>
      <c r="D16" s="5" t="s">
        <v>85</v>
      </c>
      <c r="E16" s="11">
        <v>229.65</v>
      </c>
      <c r="F16" s="8">
        <v>1.1185160000000001</v>
      </c>
      <c r="G16" s="8">
        <v>1.1269309999999999</v>
      </c>
      <c r="H16">
        <f>965.859/1000</f>
        <v>0.96585900000000002</v>
      </c>
      <c r="I16">
        <v>1.4684630000000001</v>
      </c>
      <c r="J16">
        <v>1.3352869000000001</v>
      </c>
      <c r="K16">
        <v>0.91635999999999995</v>
      </c>
      <c r="L16" s="5"/>
      <c r="M16" s="5"/>
      <c r="N16" s="5"/>
    </row>
    <row r="17" spans="3:14" x14ac:dyDescent="0.25">
      <c r="C17" s="5"/>
      <c r="D17" s="5" t="s">
        <v>96</v>
      </c>
      <c r="E17">
        <f>+E9+E10+E11+E12-E13-E14-E15-E16</f>
        <v>2577.109999999996</v>
      </c>
      <c r="F17" s="8">
        <f>+F9+F10+F11+F12-F13-F14-F15-F16</f>
        <v>11.028787999999988</v>
      </c>
      <c r="G17" s="8">
        <f>+G9+G10+G11+G12-G13-G14-G15-G16</f>
        <v>4.5519159999999834</v>
      </c>
      <c r="H17" s="8">
        <f t="shared" ref="H17:K17" si="0">+H9+H10+H11+H12-H13-H14-H15-H16</f>
        <v>4.6499100000000073</v>
      </c>
      <c r="I17" s="8">
        <f t="shared" si="0"/>
        <v>13.741753000000006</v>
      </c>
      <c r="J17" s="8">
        <f t="shared" si="0"/>
        <v>32.831343099999977</v>
      </c>
      <c r="K17" s="8">
        <f t="shared" si="0"/>
        <v>24.084523999999984</v>
      </c>
      <c r="L17" s="5"/>
      <c r="M17" s="5"/>
      <c r="N17" s="5"/>
    </row>
    <row r="18" spans="3:14" x14ac:dyDescent="0.25">
      <c r="C18" s="5"/>
      <c r="D18" s="5"/>
      <c r="E18" s="11"/>
      <c r="F18" s="8"/>
      <c r="G18" s="11"/>
      <c r="H18" s="5"/>
      <c r="I18" s="5"/>
      <c r="J18" s="5"/>
      <c r="K18" s="5"/>
      <c r="L18" s="5"/>
      <c r="M18" s="5"/>
      <c r="N18" s="5"/>
    </row>
    <row r="19" spans="3:14" x14ac:dyDescent="0.25">
      <c r="C19" s="5"/>
      <c r="D19" s="5" t="s">
        <v>86</v>
      </c>
      <c r="E19" s="11">
        <v>91.494</v>
      </c>
      <c r="F19" s="8">
        <v>1.0317320000000001</v>
      </c>
      <c r="G19" s="8">
        <f>566.347/1000</f>
        <v>0.56634699999999993</v>
      </c>
      <c r="H19">
        <v>0.107561</v>
      </c>
      <c r="I19">
        <f>60.376/1000</f>
        <v>6.0375999999999999E-2</v>
      </c>
      <c r="J19" s="5"/>
      <c r="K19" s="5"/>
      <c r="L19" s="5"/>
      <c r="M19" s="5"/>
      <c r="N19" s="5"/>
    </row>
    <row r="20" spans="3:14" x14ac:dyDescent="0.25">
      <c r="C20" s="5"/>
      <c r="D20" s="5" t="s">
        <v>87</v>
      </c>
      <c r="E20" s="11">
        <v>0</v>
      </c>
      <c r="F20" s="8">
        <v>6.9000000000000006E-2</v>
      </c>
      <c r="G20" s="8">
        <f>69.228/1000</f>
        <v>6.9227999999999998E-2</v>
      </c>
      <c r="H20">
        <f>329.599/1000</f>
        <v>0.32959899999999998</v>
      </c>
      <c r="I20">
        <v>0.13281499999999999</v>
      </c>
      <c r="J20" s="5"/>
      <c r="K20" s="5"/>
      <c r="L20" s="5"/>
      <c r="M20" s="5"/>
      <c r="N20" s="5"/>
    </row>
    <row r="21" spans="3:14" x14ac:dyDescent="0.25">
      <c r="C21" s="5"/>
      <c r="D21" s="5" t="s">
        <v>88</v>
      </c>
      <c r="E21" s="11">
        <v>89.524000000000001</v>
      </c>
      <c r="F21" s="8">
        <v>0.24052599999999999</v>
      </c>
      <c r="G21" s="8">
        <f>883.564/1000</f>
        <v>0.88356400000000002</v>
      </c>
      <c r="H21">
        <v>0.40497499999999997</v>
      </c>
      <c r="I21">
        <v>0.54843799999999998</v>
      </c>
      <c r="J21" s="5"/>
      <c r="K21" s="5"/>
      <c r="L21" s="5"/>
      <c r="M21" s="5"/>
      <c r="N21" s="5"/>
    </row>
    <row r="22" spans="3:14" x14ac:dyDescent="0.25">
      <c r="C22" s="5"/>
      <c r="D22" s="5" t="s">
        <v>89</v>
      </c>
      <c r="E22" s="11">
        <v>66.382999999999996</v>
      </c>
      <c r="F22" s="8">
        <v>4.1729999999999996E-3</v>
      </c>
      <c r="G22" s="8">
        <f>50/1000000</f>
        <v>5.0000000000000002E-5</v>
      </c>
      <c r="H22">
        <f>45.236/1000</f>
        <v>4.5235999999999998E-2</v>
      </c>
      <c r="I22">
        <v>1.2086239999999999</v>
      </c>
      <c r="J22" s="5"/>
      <c r="K22" s="5"/>
      <c r="L22" s="5"/>
      <c r="M22" s="5"/>
      <c r="N22" s="5"/>
    </row>
    <row r="23" spans="3:14" x14ac:dyDescent="0.25">
      <c r="C23" s="5"/>
      <c r="D23" s="5" t="s">
        <v>90</v>
      </c>
      <c r="E23" s="11">
        <v>916.78200000000004</v>
      </c>
      <c r="F23" s="8">
        <v>4.1463109999999999</v>
      </c>
      <c r="G23" s="8">
        <v>4.8140960000000002</v>
      </c>
      <c r="H23">
        <v>4.1856929999999997</v>
      </c>
      <c r="I23">
        <v>2.3265660000000001</v>
      </c>
      <c r="J23" s="5"/>
      <c r="K23" s="5"/>
      <c r="L23" s="5"/>
      <c r="M23" s="5"/>
      <c r="N23" s="5"/>
    </row>
    <row r="24" spans="3:14" x14ac:dyDescent="0.25">
      <c r="C24" s="5"/>
      <c r="D24" s="12" t="s">
        <v>91</v>
      </c>
      <c r="E24" s="8">
        <v>146.31100000000001</v>
      </c>
      <c r="F24" s="8">
        <v>0.61199999999999999</v>
      </c>
      <c r="G24" s="8">
        <f>515.472/1000</f>
        <v>0.51547199999999993</v>
      </c>
      <c r="H24">
        <f>265.025/1000</f>
        <v>0.26502499999999996</v>
      </c>
      <c r="I24">
        <f>311.857/1000</f>
        <v>0.31185700000000005</v>
      </c>
      <c r="J24" s="5"/>
      <c r="K24" s="5"/>
      <c r="L24" s="5"/>
      <c r="M24" s="5"/>
      <c r="N24" s="5"/>
    </row>
    <row r="25" spans="3:14" x14ac:dyDescent="0.25">
      <c r="C25" s="5"/>
      <c r="D25" s="12" t="s">
        <v>92</v>
      </c>
      <c r="E25" s="8">
        <v>23.437000000000001</v>
      </c>
      <c r="F25" s="8">
        <v>3.552E-3</v>
      </c>
      <c r="G25" s="11">
        <f>216.736/1000</f>
        <v>0.21673599999999998</v>
      </c>
      <c r="H25">
        <f>126.195/1000</f>
        <v>0.126195</v>
      </c>
      <c r="I25">
        <v>0.24049899999999999</v>
      </c>
      <c r="J25" s="5"/>
      <c r="K25" s="5"/>
      <c r="L25" s="5"/>
      <c r="M25" s="5"/>
      <c r="N25" s="5"/>
    </row>
    <row r="26" spans="3:14" x14ac:dyDescent="0.25">
      <c r="C26" s="5"/>
      <c r="D26" s="12" t="s">
        <v>93</v>
      </c>
      <c r="E26" s="8">
        <v>4.1159999999999997</v>
      </c>
      <c r="F26" s="8">
        <v>7.7466999999999994E-2</v>
      </c>
      <c r="G26" s="8">
        <f>26.62/1000</f>
        <v>2.6620000000000001E-2</v>
      </c>
      <c r="H26">
        <f>80.471/1000</f>
        <v>8.0471000000000001E-2</v>
      </c>
      <c r="I26">
        <f>22.407/1000</f>
        <v>2.2407E-2</v>
      </c>
      <c r="J26" s="5"/>
      <c r="K26" s="5"/>
      <c r="L26" s="5"/>
      <c r="M26" s="5"/>
      <c r="N26" s="5"/>
    </row>
    <row r="27" spans="3:14" x14ac:dyDescent="0.25">
      <c r="C27" s="5"/>
      <c r="D27" s="12" t="s">
        <v>96</v>
      </c>
      <c r="E27" s="8">
        <f>+E9+E10+E12-E13-E14-E15-E16+E58</f>
        <v>2577.1099999999992</v>
      </c>
      <c r="F27" s="8">
        <f>F17</f>
        <v>11.028787999999988</v>
      </c>
      <c r="G27" s="8">
        <f>+G9+G10+G12-G13-G14-G15-G16+G58+G11</f>
        <v>4.5519159999999959</v>
      </c>
      <c r="H27" s="8">
        <f t="shared" ref="H27:I27" si="1">+H9+H10+H12-H13-H14-H15-H16+H58+H11</f>
        <v>4.649910000000002</v>
      </c>
      <c r="I27" s="8">
        <f t="shared" si="1"/>
        <v>13.741753000000017</v>
      </c>
      <c r="J27" s="5"/>
      <c r="K27" s="5"/>
      <c r="L27" s="5"/>
      <c r="M27" s="5"/>
      <c r="N27" s="5"/>
    </row>
    <row r="28" spans="3:14" x14ac:dyDescent="0.25">
      <c r="C28" s="5"/>
      <c r="D28" s="12"/>
      <c r="E28" s="8"/>
      <c r="F28" s="8"/>
      <c r="G28" s="11"/>
      <c r="H28" s="5"/>
      <c r="I28" s="5"/>
      <c r="J28" s="5"/>
      <c r="K28" s="5"/>
      <c r="L28" s="5"/>
      <c r="M28" s="5"/>
      <c r="N28" s="5"/>
    </row>
    <row r="29" spans="3:14" x14ac:dyDescent="0.25">
      <c r="C29" s="5"/>
      <c r="D29" s="5" t="s">
        <v>94</v>
      </c>
      <c r="E29" s="11">
        <f>+E27-E23-E24+E25-E26+E21-E22+E19+E20</f>
        <v>1647.972999999999</v>
      </c>
      <c r="F29" s="11">
        <f>F17+F19+F20+F21-F22-F23-F24+F25-F26</f>
        <v>7.5336469999999887</v>
      </c>
      <c r="G29" s="11">
        <f>G17+G19+G20+G21-G22-G23-G24+G25-G26</f>
        <v>0.93155299999998264</v>
      </c>
      <c r="H29" s="11">
        <f t="shared" ref="H29:I29" si="2">H17+H19+H20+H21-H22-H23-H24+H25-H26</f>
        <v>1.0418150000000075</v>
      </c>
      <c r="I29" s="11">
        <f t="shared" si="2"/>
        <v>10.854427000000006</v>
      </c>
      <c r="J29" s="5"/>
      <c r="K29" s="5"/>
      <c r="L29" s="5"/>
      <c r="M29" s="5"/>
      <c r="N29" s="5"/>
    </row>
    <row r="30" spans="3:14" x14ac:dyDescent="0.25">
      <c r="C30" s="5"/>
      <c r="D30" s="5" t="s">
        <v>97</v>
      </c>
      <c r="E30" s="11">
        <v>287.584</v>
      </c>
      <c r="F30" s="8">
        <v>1.393859</v>
      </c>
      <c r="G30" s="8">
        <v>0</v>
      </c>
      <c r="H30">
        <f>209.973/1000</f>
        <v>0.20997300000000002</v>
      </c>
      <c r="I30">
        <v>2.478758</v>
      </c>
      <c r="J30" s="5"/>
      <c r="K30" s="5"/>
      <c r="L30" s="5"/>
      <c r="M30" s="5"/>
      <c r="N30" s="5"/>
    </row>
    <row r="31" spans="3:14" x14ac:dyDescent="0.25">
      <c r="C31" s="5"/>
      <c r="D31" s="5" t="s">
        <v>98</v>
      </c>
      <c r="E31" s="11">
        <v>-21.562999999999999</v>
      </c>
      <c r="F31" s="8">
        <f>-58.073/1000</f>
        <v>-5.8073E-2</v>
      </c>
      <c r="G31" s="8">
        <v>-0.13175899999999999</v>
      </c>
      <c r="H31">
        <v>0.18381800000000001</v>
      </c>
      <c r="I31">
        <v>0.50864500000000001</v>
      </c>
      <c r="J31" s="5"/>
      <c r="K31" s="5"/>
      <c r="L31" s="5"/>
      <c r="M31" s="5"/>
      <c r="N31" s="5"/>
    </row>
    <row r="32" spans="3:14" x14ac:dyDescent="0.25">
      <c r="C32" s="5"/>
      <c r="D32" s="5" t="s">
        <v>99</v>
      </c>
      <c r="E32" s="11">
        <f>+E29-E30+E31</f>
        <v>1338.8259999999989</v>
      </c>
      <c r="F32" s="11">
        <f>+F29-F30+F31</f>
        <v>6.0817149999999884</v>
      </c>
      <c r="G32" s="11">
        <f>+G29-G30+G31</f>
        <v>0.79979399999998269</v>
      </c>
      <c r="H32" s="11">
        <f>+H29-H30+H31</f>
        <v>1.0156600000000076</v>
      </c>
      <c r="I32" s="11">
        <f t="shared" ref="I32" si="3">+I29-I30+I31</f>
        <v>8.8843140000000052</v>
      </c>
      <c r="J32" s="5"/>
      <c r="K32" s="5"/>
      <c r="L32" s="5"/>
      <c r="M32" s="5"/>
      <c r="N32" s="5"/>
    </row>
    <row r="33" spans="3:14" x14ac:dyDescent="0.25">
      <c r="C33" s="5"/>
      <c r="D33" s="5"/>
      <c r="E33" s="11"/>
      <c r="F33" s="11"/>
      <c r="G33" s="11"/>
      <c r="H33" s="5"/>
      <c r="I33" s="5"/>
      <c r="J33" s="5"/>
      <c r="K33" s="5"/>
      <c r="L33" s="5"/>
      <c r="M33" s="5"/>
      <c r="N33" s="5"/>
    </row>
    <row r="34" spans="3:14" x14ac:dyDescent="0.25">
      <c r="D34" s="12"/>
      <c r="E34" s="8"/>
      <c r="F34" s="8"/>
      <c r="G34" s="8"/>
    </row>
    <row r="35" spans="3:14" x14ac:dyDescent="0.25">
      <c r="D35" s="5" t="s">
        <v>100</v>
      </c>
      <c r="E35" s="8">
        <f>+E32</f>
        <v>1338.8259999999989</v>
      </c>
      <c r="F35" s="8">
        <f t="shared" ref="F35:I35" si="4">+F32</f>
        <v>6.0817149999999884</v>
      </c>
      <c r="G35" s="8">
        <f t="shared" si="4"/>
        <v>0.79979399999998269</v>
      </c>
      <c r="H35" s="8">
        <f t="shared" si="4"/>
        <v>1.0156600000000076</v>
      </c>
      <c r="I35" s="8">
        <f t="shared" si="4"/>
        <v>8.8843140000000052</v>
      </c>
    </row>
    <row r="36" spans="3:14" x14ac:dyDescent="0.25">
      <c r="D36" s="5" t="s">
        <v>112</v>
      </c>
      <c r="E36" s="8">
        <v>2486.4899999999998</v>
      </c>
      <c r="F36" s="8">
        <v>10.995096</v>
      </c>
      <c r="G36" s="8">
        <v>11.157821</v>
      </c>
      <c r="H36" s="8">
        <v>12.085174</v>
      </c>
      <c r="I36" s="8">
        <v>11.983886</v>
      </c>
    </row>
    <row r="37" spans="3:14" x14ac:dyDescent="0.25">
      <c r="D37" s="12" t="s">
        <v>103</v>
      </c>
      <c r="E37" s="8">
        <v>91.948999999999998</v>
      </c>
      <c r="F37" s="8">
        <f>226.906/1000</f>
        <v>0.226906</v>
      </c>
      <c r="G37" s="8">
        <f>11.31/1000</f>
        <v>1.1310000000000001E-2</v>
      </c>
      <c r="H37" s="8">
        <v>0.42814999999999998</v>
      </c>
      <c r="I37" s="8">
        <v>4.7257E-2</v>
      </c>
    </row>
    <row r="38" spans="3:14" x14ac:dyDescent="0.25">
      <c r="D38" s="12" t="s">
        <v>104</v>
      </c>
      <c r="E38" s="8">
        <v>983.16499999999996</v>
      </c>
      <c r="F38" s="8">
        <f>87.638/1000</f>
        <v>8.7638000000000008E-2</v>
      </c>
      <c r="G38" s="8">
        <v>1.738E-2</v>
      </c>
      <c r="H38" s="8">
        <f>16.041/1000</f>
        <v>1.6041E-2</v>
      </c>
      <c r="I38" s="8">
        <v>2.2540000000000001E-2</v>
      </c>
    </row>
    <row r="39" spans="3:14" x14ac:dyDescent="0.25">
      <c r="D39" s="12" t="s">
        <v>113</v>
      </c>
      <c r="E39" s="8">
        <v>0</v>
      </c>
      <c r="F39" s="8">
        <v>1.1010139999999999</v>
      </c>
      <c r="G39" s="8">
        <v>0.635575</v>
      </c>
      <c r="H39" s="8">
        <v>0.193191</v>
      </c>
      <c r="I39" s="8">
        <v>0.43715999999999999</v>
      </c>
    </row>
    <row r="40" spans="3:14" x14ac:dyDescent="0.25">
      <c r="D40" s="12" t="s">
        <v>114</v>
      </c>
      <c r="E40" s="8">
        <v>0</v>
      </c>
      <c r="F40" s="8">
        <v>4.1504839999999996</v>
      </c>
      <c r="G40" s="8">
        <v>4.814146</v>
      </c>
      <c r="H40" s="8">
        <v>3.5351900000000001</v>
      </c>
      <c r="I40" s="8">
        <v>4.2309289999999997</v>
      </c>
    </row>
    <row r="41" spans="3:14" x14ac:dyDescent="0.25">
      <c r="D41" s="12" t="s">
        <v>101</v>
      </c>
      <c r="E41" s="8">
        <v>-1867.9780000000001</v>
      </c>
      <c r="F41" s="8">
        <v>-2.2298789999999999</v>
      </c>
      <c r="G41" s="8">
        <v>-1.147214</v>
      </c>
      <c r="H41" s="8">
        <v>7.2307490000000003</v>
      </c>
      <c r="I41" s="8">
        <v>12.229760000000001</v>
      </c>
    </row>
    <row r="42" spans="3:14" x14ac:dyDescent="0.25">
      <c r="D42" s="12" t="s">
        <v>102</v>
      </c>
      <c r="E42" s="8">
        <f>+E35+E36-E37+E38+E41</f>
        <v>2848.5539999999992</v>
      </c>
      <c r="F42" s="8">
        <f>F35+F36-F37+F38-F39+F40+F41</f>
        <v>17.757133999999986</v>
      </c>
      <c r="G42" s="8">
        <f>G35+G36-G37+G38-G39+G40+G41</f>
        <v>14.995041999999982</v>
      </c>
      <c r="H42" s="8">
        <f>I35+I36-I37+I38-H39+H40+H41</f>
        <v>31.416231000000007</v>
      </c>
      <c r="I42" s="8">
        <f>H35+H36-H37+H38-I39+I40+I41</f>
        <v>28.712254000000009</v>
      </c>
    </row>
    <row r="43" spans="3:14" x14ac:dyDescent="0.25">
      <c r="D43" s="12" t="s">
        <v>105</v>
      </c>
      <c r="E43" s="8">
        <v>110.91</v>
      </c>
      <c r="F43">
        <v>1.451689</v>
      </c>
      <c r="G43" s="8">
        <v>0.68419600000000003</v>
      </c>
      <c r="H43">
        <v>0.89141599999999999</v>
      </c>
      <c r="I43">
        <v>0.27183800000000002</v>
      </c>
    </row>
    <row r="44" spans="3:14" x14ac:dyDescent="0.25">
      <c r="D44" s="12" t="s">
        <v>106</v>
      </c>
      <c r="E44" s="8">
        <v>2533.7109999999998</v>
      </c>
      <c r="F44">
        <v>14.890699</v>
      </c>
      <c r="G44" s="8">
        <v>10.968317000000001</v>
      </c>
      <c r="H44">
        <v>4.2540440000000004</v>
      </c>
      <c r="I44">
        <v>7.499282</v>
      </c>
    </row>
    <row r="45" spans="3:14" x14ac:dyDescent="0.25">
      <c r="D45" s="12" t="s">
        <v>107</v>
      </c>
      <c r="E45" s="8">
        <f>+E43-E44</f>
        <v>-2422.8009999999999</v>
      </c>
      <c r="F45" s="8">
        <f t="shared" ref="F45:G45" si="5">+F43-F44</f>
        <v>-13.43901</v>
      </c>
      <c r="G45" s="8">
        <f t="shared" si="5"/>
        <v>-10.284121000000001</v>
      </c>
      <c r="H45" s="8">
        <f t="shared" ref="H45" si="6">+H43-H44</f>
        <v>-3.3626280000000004</v>
      </c>
      <c r="I45" s="8">
        <f t="shared" ref="I45" si="7">+I43-I44</f>
        <v>-7.2274440000000002</v>
      </c>
    </row>
    <row r="46" spans="3:14" x14ac:dyDescent="0.25">
      <c r="D46" s="12"/>
      <c r="E46" s="8"/>
      <c r="G46" s="8"/>
    </row>
    <row r="47" spans="3:14" x14ac:dyDescent="0.25">
      <c r="D47" s="12"/>
      <c r="E47" s="8"/>
      <c r="G47" s="8"/>
    </row>
    <row r="48" spans="3:14" x14ac:dyDescent="0.25">
      <c r="D48" s="12" t="s">
        <v>108</v>
      </c>
      <c r="E48" s="8">
        <v>1554.7650000000001</v>
      </c>
      <c r="F48">
        <v>0.50765499999999997</v>
      </c>
      <c r="G48" s="8">
        <v>8.0369820000000001</v>
      </c>
      <c r="H48">
        <v>0</v>
      </c>
      <c r="I48">
        <v>0</v>
      </c>
    </row>
    <row r="49" spans="3:14" x14ac:dyDescent="0.25">
      <c r="D49" s="12" t="s">
        <v>109</v>
      </c>
      <c r="E49" s="8">
        <v>1804.8019999999999</v>
      </c>
      <c r="F49">
        <v>8.8024090000000008</v>
      </c>
      <c r="G49" s="8">
        <v>14.167297</v>
      </c>
      <c r="H49">
        <v>25.195412000000001</v>
      </c>
      <c r="I49">
        <v>22.014621000000002</v>
      </c>
    </row>
    <row r="50" spans="3:14" x14ac:dyDescent="0.25">
      <c r="D50" s="12" t="s">
        <v>110</v>
      </c>
      <c r="E50" s="8">
        <f>+E48-E49</f>
        <v>-250.03699999999981</v>
      </c>
      <c r="F50" s="8">
        <f t="shared" ref="F50:G50" si="8">+F48-F49</f>
        <v>-8.2947540000000011</v>
      </c>
      <c r="G50" s="8">
        <f t="shared" si="8"/>
        <v>-6.1303149999999995</v>
      </c>
      <c r="H50" s="8">
        <f t="shared" ref="H50" si="9">+H48-H49</f>
        <v>-25.195412000000001</v>
      </c>
      <c r="I50" s="8">
        <f t="shared" ref="I50" si="10">+I48-I49</f>
        <v>-22.014621000000002</v>
      </c>
    </row>
    <row r="51" spans="3:14" x14ac:dyDescent="0.25">
      <c r="D51" s="12"/>
      <c r="E51" s="8"/>
      <c r="G51" s="8"/>
    </row>
    <row r="52" spans="3:14" x14ac:dyDescent="0.25">
      <c r="D52" s="12" t="s">
        <v>115</v>
      </c>
      <c r="E52" s="8">
        <v>2243.0129999999999</v>
      </c>
      <c r="F52">
        <v>5.3831660000000001</v>
      </c>
      <c r="G52" s="8">
        <v>3.9637720000000001</v>
      </c>
      <c r="H52">
        <v>4.1179860000000001</v>
      </c>
      <c r="I52">
        <v>6.2921519999999997</v>
      </c>
    </row>
    <row r="53" spans="3:14" x14ac:dyDescent="0.25">
      <c r="D53" s="12" t="s">
        <v>111</v>
      </c>
      <c r="E53" t="b">
        <f>AND(E52&gt;=2243*0.99, E52&lt;=2243*1.01)</f>
        <v>1</v>
      </c>
      <c r="F53" t="b">
        <v>1</v>
      </c>
      <c r="G53" t="b">
        <v>1</v>
      </c>
    </row>
    <row r="57" spans="3:14" x14ac:dyDescent="0.25">
      <c r="E57" t="s">
        <v>116</v>
      </c>
      <c r="F57" t="s">
        <v>117</v>
      </c>
    </row>
    <row r="58" spans="3:14" x14ac:dyDescent="0.25">
      <c r="C58" s="5"/>
      <c r="D58" s="5" t="s">
        <v>95</v>
      </c>
      <c r="E58" s="11">
        <v>860.23400000000004</v>
      </c>
      <c r="F58">
        <v>5.052314</v>
      </c>
      <c r="G58" s="5"/>
      <c r="H58" s="5"/>
      <c r="I58" s="5"/>
      <c r="J58" s="5"/>
      <c r="K58" s="5"/>
      <c r="L58" s="5"/>
      <c r="M58" s="5"/>
      <c r="N58" s="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FEF36-D1A1-485A-96F0-903A725B533A}">
  <dimension ref="C3:F19"/>
  <sheetViews>
    <sheetView workbookViewId="0">
      <selection activeCell="G64" sqref="G64"/>
    </sheetView>
  </sheetViews>
  <sheetFormatPr defaultRowHeight="15" x14ac:dyDescent="0.25"/>
  <cols>
    <col min="3" max="3" width="22.85546875" bestFit="1" customWidth="1"/>
    <col min="6" max="6" width="10.7109375" bestFit="1" customWidth="1"/>
  </cols>
  <sheetData>
    <row r="3" spans="3:6" x14ac:dyDescent="0.25">
      <c r="C3" s="1" t="s">
        <v>35</v>
      </c>
      <c r="D3" s="1" t="s">
        <v>0</v>
      </c>
      <c r="E3" s="1" t="s">
        <v>37</v>
      </c>
      <c r="F3" s="1" t="s">
        <v>36</v>
      </c>
    </row>
    <row r="4" spans="3:6" x14ac:dyDescent="0.25">
      <c r="C4" s="5" t="s">
        <v>15</v>
      </c>
      <c r="D4" s="5">
        <v>1.97454</v>
      </c>
      <c r="E4" s="5">
        <f>+D4*Main!$E$4</f>
        <v>66.936905999999993</v>
      </c>
      <c r="F4" s="7">
        <f>+D4/Main!$E$5</f>
        <v>0.24438071875808345</v>
      </c>
    </row>
    <row r="5" spans="3:6" x14ac:dyDescent="0.25">
      <c r="C5" s="5" t="s">
        <v>16</v>
      </c>
      <c r="D5" s="5">
        <v>1.6296299999999999</v>
      </c>
      <c r="E5" s="5">
        <f>+D5*Main!$E$4</f>
        <v>55.244456999999997</v>
      </c>
      <c r="F5" s="7">
        <f>+D5/Main!$E$5</f>
        <v>0.20169262243850999</v>
      </c>
    </row>
    <row r="6" spans="3:6" x14ac:dyDescent="0.25">
      <c r="C6" s="5" t="s">
        <v>17</v>
      </c>
      <c r="D6" s="5">
        <v>0.40081899999999998</v>
      </c>
      <c r="E6" s="5">
        <f>+D6*Main!$E$4</f>
        <v>13.587764099999999</v>
      </c>
      <c r="F6" s="7">
        <f>+D6/Main!$E$5</f>
        <v>4.9607723982242065E-2</v>
      </c>
    </row>
    <row r="7" spans="3:6" x14ac:dyDescent="0.25">
      <c r="C7" s="5" t="s">
        <v>18</v>
      </c>
      <c r="D7" s="5">
        <v>0.36496299999999998</v>
      </c>
      <c r="E7" s="5">
        <f>+D7*Main!$E$4</f>
        <v>12.372245699999999</v>
      </c>
      <c r="F7" s="7">
        <f>+D7/Main!$E$5</f>
        <v>4.5169973897771838E-2</v>
      </c>
    </row>
    <row r="8" spans="3:6" x14ac:dyDescent="0.25">
      <c r="C8" s="5" t="s">
        <v>19</v>
      </c>
      <c r="D8" s="5">
        <v>0.298404</v>
      </c>
      <c r="E8" s="5">
        <f>+D8*Main!$E$4</f>
        <v>10.1158956</v>
      </c>
      <c r="F8" s="7">
        <f>+D8/Main!$E$5</f>
        <v>3.6932239407804927E-2</v>
      </c>
    </row>
    <row r="9" spans="3:6" x14ac:dyDescent="0.25">
      <c r="C9" s="5" t="s">
        <v>20</v>
      </c>
      <c r="D9" s="5">
        <v>0.16705</v>
      </c>
      <c r="E9" s="5">
        <f>+D9*Main!$E$4</f>
        <v>5.6629949999999996</v>
      </c>
      <c r="F9" s="7">
        <f>+D9/Main!$E$5</f>
        <v>2.0675093474195428E-2</v>
      </c>
    </row>
    <row r="10" spans="3:6" x14ac:dyDescent="0.25">
      <c r="C10" s="5" t="s">
        <v>21</v>
      </c>
      <c r="D10" s="5">
        <v>0.15734000000000001</v>
      </c>
      <c r="E10" s="5">
        <f>+D10*Main!$E$4</f>
        <v>5.3338260000000002</v>
      </c>
      <c r="F10" s="7">
        <f>+D10/Main!$E$5</f>
        <v>1.9473326592217354E-2</v>
      </c>
    </row>
    <row r="11" spans="3:6" x14ac:dyDescent="0.25">
      <c r="C11" s="5" t="s">
        <v>22</v>
      </c>
      <c r="D11" s="5">
        <v>8.3210000000000006E-2</v>
      </c>
      <c r="E11" s="5">
        <f>+D11*Main!$E$4</f>
        <v>2.8208190000000002</v>
      </c>
      <c r="F11" s="7">
        <f>+D11/Main!$E$5</f>
        <v>1.0298560478825512E-2</v>
      </c>
    </row>
    <row r="12" spans="3:6" x14ac:dyDescent="0.25">
      <c r="C12" s="5" t="s">
        <v>23</v>
      </c>
      <c r="D12" s="5">
        <v>7.5566999999999995E-2</v>
      </c>
      <c r="E12" s="5">
        <f>+D12*Main!$E$4</f>
        <v>2.5617212999999999</v>
      </c>
      <c r="F12" s="7">
        <f>+D12/Main!$E$5</f>
        <v>9.3526177106526536E-3</v>
      </c>
    </row>
    <row r="13" spans="3:6" x14ac:dyDescent="0.25">
      <c r="C13" t="s">
        <v>24</v>
      </c>
      <c r="D13" s="5">
        <v>6.9559999999999997E-2</v>
      </c>
      <c r="E13" s="5">
        <f>+D13*Main!$E$4</f>
        <v>2.3580839999999998</v>
      </c>
      <c r="F13" s="7">
        <f>+D13/Main!$E$5</f>
        <v>8.6091559536967018E-3</v>
      </c>
    </row>
    <row r="14" spans="3:6" x14ac:dyDescent="0.25">
      <c r="C14" t="s">
        <v>25</v>
      </c>
      <c r="D14" s="5">
        <v>6.6836000000000007E-2</v>
      </c>
      <c r="E14" s="5">
        <f>+D14*Main!$E$4</f>
        <v>2.2657404000000003</v>
      </c>
      <c r="F14" s="7">
        <f>+D14/Main!$E$5</f>
        <v>8.2720176440666017E-3</v>
      </c>
    </row>
    <row r="15" spans="3:6" x14ac:dyDescent="0.25">
      <c r="C15" t="s">
        <v>26</v>
      </c>
      <c r="D15" s="5">
        <v>5.9714999999999997E-2</v>
      </c>
      <c r="E15" s="5">
        <f>+D15*Main!$E$4</f>
        <v>2.0243384999999998</v>
      </c>
      <c r="F15" s="7">
        <f>+D15/Main!$E$5</f>
        <v>7.3906806753162527E-3</v>
      </c>
    </row>
    <row r="16" spans="3:6" x14ac:dyDescent="0.25">
      <c r="C16" t="s">
        <v>27</v>
      </c>
      <c r="D16" s="5">
        <v>1.9670829999999999</v>
      </c>
      <c r="E16" s="5">
        <f>+D16*Main!$E$4</f>
        <v>66.684113699999997</v>
      </c>
      <c r="F16" s="7">
        <f>+D16/Main!$E$5</f>
        <v>0.24345779644717608</v>
      </c>
    </row>
    <row r="17" spans="3:6" x14ac:dyDescent="0.25">
      <c r="C17" t="s">
        <v>28</v>
      </c>
      <c r="D17" s="5">
        <v>0.76446199999999997</v>
      </c>
      <c r="E17" s="5">
        <f>+D17*Main!$E$4</f>
        <v>25.9152618</v>
      </c>
      <c r="F17" s="7">
        <f>+D17/Main!$E$5</f>
        <v>9.4614326892968489E-2</v>
      </c>
    </row>
    <row r="19" spans="3:6" x14ac:dyDescent="0.25">
      <c r="C19" t="s">
        <v>38</v>
      </c>
      <c r="E19">
        <f>+SUM(E4:E17)</f>
        <v>273.88416809999995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C43F-6073-4A96-AAC7-CB724D6446C4}">
  <dimension ref="B3:D9"/>
  <sheetViews>
    <sheetView workbookViewId="0">
      <selection activeCell="D57" sqref="D57"/>
    </sheetView>
  </sheetViews>
  <sheetFormatPr defaultRowHeight="15" x14ac:dyDescent="0.25"/>
  <cols>
    <col min="2" max="2" width="17.28515625" bestFit="1" customWidth="1"/>
    <col min="3" max="3" width="26.7109375" customWidth="1"/>
    <col min="4" max="4" width="33" customWidth="1"/>
  </cols>
  <sheetData>
    <row r="3" spans="2:4" x14ac:dyDescent="0.25">
      <c r="B3" s="1" t="s">
        <v>50</v>
      </c>
      <c r="C3" s="1" t="s">
        <v>48</v>
      </c>
      <c r="D3" s="1" t="s">
        <v>49</v>
      </c>
    </row>
    <row r="4" spans="2:4" x14ac:dyDescent="0.25">
      <c r="B4" t="s">
        <v>51</v>
      </c>
      <c r="C4" s="10" t="s">
        <v>57</v>
      </c>
      <c r="D4" t="s">
        <v>58</v>
      </c>
    </row>
    <row r="5" spans="2:4" x14ac:dyDescent="0.25">
      <c r="B5" t="s">
        <v>52</v>
      </c>
      <c r="C5" t="s">
        <v>59</v>
      </c>
      <c r="D5" t="s">
        <v>60</v>
      </c>
    </row>
    <row r="6" spans="2:4" x14ac:dyDescent="0.25">
      <c r="B6" t="s">
        <v>53</v>
      </c>
      <c r="C6" t="s">
        <v>61</v>
      </c>
      <c r="D6" t="s">
        <v>62</v>
      </c>
    </row>
    <row r="7" spans="2:4" x14ac:dyDescent="0.25">
      <c r="B7" t="s">
        <v>54</v>
      </c>
      <c r="C7" t="s">
        <v>63</v>
      </c>
      <c r="D7" t="s">
        <v>64</v>
      </c>
    </row>
    <row r="8" spans="2:4" x14ac:dyDescent="0.25">
      <c r="B8" t="s">
        <v>55</v>
      </c>
      <c r="C8" t="s">
        <v>65</v>
      </c>
      <c r="D8" t="s">
        <v>66</v>
      </c>
    </row>
    <row r="9" spans="2:4" x14ac:dyDescent="0.25">
      <c r="B9" t="s">
        <v>56</v>
      </c>
      <c r="C9" t="s">
        <v>67</v>
      </c>
      <c r="D9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Holders</vt:lpstr>
      <vt:lpstr>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Valand</dc:creator>
  <cp:lastModifiedBy>Michael Valand</cp:lastModifiedBy>
  <cp:lastPrinted>2025-07-15T17:07:14Z</cp:lastPrinted>
  <dcterms:created xsi:type="dcterms:W3CDTF">2025-07-15T09:09:07Z</dcterms:created>
  <dcterms:modified xsi:type="dcterms:W3CDTF">2025-07-16T21:06:13Z</dcterms:modified>
</cp:coreProperties>
</file>