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ocuments\_mine_models\SI\CinkarnaCelje\"/>
    </mc:Choice>
  </mc:AlternateContent>
  <xr:revisionPtr revIDLastSave="0" documentId="13_ncr:1_{AE226494-996E-45E0-AF4B-69F95CD4B92E}" xr6:coauthVersionLast="47" xr6:coauthVersionMax="47" xr10:uidLastSave="{00000000-0000-0000-0000-000000000000}"/>
  <bookViews>
    <workbookView xWindow="-120" yWindow="-120" windowWidth="38640" windowHeight="21120" activeTab="1" xr2:uid="{DDACF1A3-C0BB-4026-9F34-CD78D41246E0}"/>
  </bookViews>
  <sheets>
    <sheet name="Main" sheetId="1" r:id="rId1"/>
    <sheet name="Model" sheetId="2" r:id="rId2"/>
    <sheet name="Holders" sheetId="3" r:id="rId3"/>
    <sheet name="Proces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" i="2" l="1"/>
  <c r="O50" i="2"/>
  <c r="Q45" i="2"/>
  <c r="R45" i="2"/>
  <c r="Q46" i="2"/>
  <c r="R46" i="2"/>
  <c r="Q47" i="2"/>
  <c r="R47" i="2"/>
  <c r="Q48" i="2"/>
  <c r="R48" i="2"/>
  <c r="Q49" i="2"/>
  <c r="R49" i="2"/>
  <c r="Q42" i="2"/>
  <c r="R42" i="2"/>
  <c r="Q43" i="2"/>
  <c r="R43" i="2"/>
  <c r="Q44" i="2"/>
  <c r="R44" i="2"/>
  <c r="N45" i="2"/>
  <c r="O45" i="2"/>
  <c r="N42" i="2"/>
  <c r="O42" i="2"/>
  <c r="R31" i="2"/>
  <c r="R32" i="2"/>
  <c r="R33" i="2"/>
  <c r="R34" i="2"/>
  <c r="R35" i="2"/>
  <c r="R36" i="2"/>
  <c r="R37" i="2"/>
  <c r="R38" i="2"/>
  <c r="R39" i="2"/>
  <c r="R40" i="2"/>
  <c r="R41" i="2"/>
  <c r="Q32" i="2"/>
  <c r="Q33" i="2"/>
  <c r="Q34" i="2"/>
  <c r="Q35" i="2"/>
  <c r="Q36" i="2"/>
  <c r="Q37" i="2"/>
  <c r="Q38" i="2"/>
  <c r="Q39" i="2"/>
  <c r="Q40" i="2"/>
  <c r="Q41" i="2"/>
  <c r="M35" i="2"/>
  <c r="N35" i="2"/>
  <c r="O35" i="2"/>
  <c r="N32" i="2"/>
  <c r="O32" i="2"/>
  <c r="Q28" i="2"/>
  <c r="R28" i="2"/>
  <c r="Q29" i="2"/>
  <c r="R29" i="2"/>
  <c r="Q30" i="2"/>
  <c r="R30" i="2"/>
  <c r="Q31" i="2"/>
  <c r="N29" i="2"/>
  <c r="N27" i="2"/>
  <c r="N17" i="2"/>
  <c r="O17" i="2"/>
  <c r="O29" i="2" s="1"/>
  <c r="M29" i="2"/>
  <c r="Q27" i="2"/>
  <c r="O27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R9" i="2"/>
  <c r="Q9" i="2"/>
  <c r="L50" i="2"/>
  <c r="M50" i="2"/>
  <c r="L45" i="2"/>
  <c r="M45" i="2"/>
  <c r="L27" i="2"/>
  <c r="M27" i="2"/>
  <c r="L17" i="2"/>
  <c r="L29" i="2" s="1"/>
  <c r="L32" i="2" s="1"/>
  <c r="M17" i="2"/>
  <c r="M32" i="2" s="1"/>
  <c r="M42" i="2" s="1"/>
  <c r="J50" i="2"/>
  <c r="K50" i="2"/>
  <c r="J45" i="2"/>
  <c r="K45" i="2"/>
  <c r="J27" i="2"/>
  <c r="K27" i="2"/>
  <c r="L35" i="2" l="1"/>
  <c r="L42" i="2" s="1"/>
  <c r="J17" i="2"/>
  <c r="J29" i="2" s="1"/>
  <c r="J32" i="2" s="1"/>
  <c r="J35" i="2" s="1"/>
  <c r="J42" i="2" s="1"/>
  <c r="K17" i="2"/>
  <c r="K29" i="2" s="1"/>
  <c r="K32" i="2" s="1"/>
  <c r="K35" i="2" s="1"/>
  <c r="K42" i="2" s="1"/>
  <c r="H50" i="2"/>
  <c r="I50" i="2"/>
  <c r="H45" i="2"/>
  <c r="I45" i="2"/>
  <c r="H38" i="2"/>
  <c r="H30" i="2"/>
  <c r="I19" i="2"/>
  <c r="I27" i="2"/>
  <c r="I26" i="2"/>
  <c r="H26" i="2"/>
  <c r="H25" i="2"/>
  <c r="I24" i="2"/>
  <c r="H24" i="2"/>
  <c r="H22" i="2"/>
  <c r="H20" i="2"/>
  <c r="I17" i="2"/>
  <c r="I29" i="2" s="1"/>
  <c r="I32" i="2" s="1"/>
  <c r="I35" i="2" s="1"/>
  <c r="I42" i="2" s="1"/>
  <c r="H16" i="2"/>
  <c r="H17" i="2" s="1"/>
  <c r="H29" i="2" s="1"/>
  <c r="H32" i="2" s="1"/>
  <c r="H35" i="2" s="1"/>
  <c r="H42" i="2" s="1"/>
  <c r="F50" i="2"/>
  <c r="G50" i="2"/>
  <c r="F45" i="2"/>
  <c r="G45" i="2"/>
  <c r="F38" i="2"/>
  <c r="G37" i="2"/>
  <c r="F37" i="2"/>
  <c r="G26" i="2"/>
  <c r="G25" i="2"/>
  <c r="G24" i="2"/>
  <c r="G22" i="2"/>
  <c r="G21" i="2"/>
  <c r="G20" i="2"/>
  <c r="G19" i="2"/>
  <c r="G10" i="2"/>
  <c r="G27" i="2" s="1"/>
  <c r="F31" i="2"/>
  <c r="E17" i="2"/>
  <c r="F17" i="2"/>
  <c r="F27" i="2" s="1"/>
  <c r="E53" i="2"/>
  <c r="E50" i="2"/>
  <c r="E45" i="2"/>
  <c r="E27" i="2"/>
  <c r="E29" i="2" s="1"/>
  <c r="E32" i="2" s="1"/>
  <c r="E35" i="2" s="1"/>
  <c r="E42" i="2" s="1"/>
  <c r="H27" i="2" l="1"/>
  <c r="F29" i="2"/>
  <c r="F32" i="2" s="1"/>
  <c r="F35" i="2" s="1"/>
  <c r="F42" i="2" s="1"/>
  <c r="G17" i="2"/>
  <c r="G29" i="2" s="1"/>
  <c r="G32" i="2" s="1"/>
  <c r="G35" i="2" s="1"/>
  <c r="G42" i="2" s="1"/>
  <c r="E9" i="1" l="1"/>
  <c r="E8" i="1"/>
  <c r="E7" i="1"/>
  <c r="E19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4" i="3"/>
  <c r="E5" i="1"/>
  <c r="E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Valand</author>
  </authors>
  <commentList>
    <comment ref="E7" authorId="0" shapeId="0" xr:uid="{275DC0D8-B94B-4FD3-BCAF-C240EB9BFCA0}">
      <text>
        <r>
          <rPr>
            <b/>
            <sz val="9"/>
            <color indexed="81"/>
            <rFont val="Tahoma"/>
            <family val="2"/>
          </rPr>
          <t>Michael Valand:</t>
        </r>
        <r>
          <rPr>
            <sz val="9"/>
            <color indexed="81"/>
            <rFont val="Tahoma"/>
            <family val="2"/>
          </rPr>
          <t xml:space="preserve">
T-bills as good as cash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Valand</author>
  </authors>
  <commentList>
    <comment ref="D12" authorId="0" shapeId="0" xr:uid="{BA4E0B4F-0B2C-4948-B5D2-B31A12B59745}">
      <text>
        <r>
          <rPr>
            <b/>
            <sz val="9"/>
            <color indexed="81"/>
            <rFont val="Tahoma"/>
            <family val="2"/>
          </rPr>
          <t xml:space="preserve">Michael Valand:
subvencije, najeminne, prodaja osnovnih stredstev, odskodnine
</t>
        </r>
      </text>
    </comment>
    <comment ref="D36" authorId="0" shapeId="0" xr:uid="{45CB06FD-8C8D-43AE-8701-1962BB371B6B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D48" authorId="0" shapeId="0" xr:uid="{668D4F05-FF31-45F8-A8E4-16009125A1E9}">
      <text>
        <r>
          <rPr>
            <b/>
            <sz val="9"/>
            <color indexed="81"/>
            <rFont val="Tahoma"/>
            <family val="2"/>
          </rPr>
          <t>Michael Valand:</t>
        </r>
        <r>
          <rPr>
            <sz val="9"/>
            <color indexed="81"/>
            <rFont val="Tahoma"/>
            <family val="2"/>
          </rPr>
          <t xml:space="preserve">
Prejemki od povečanja dolgoročnih finančnih obveznosti
Prejemki od povečanja kratkoročnih finančnih obveznosti</t>
        </r>
      </text>
    </comment>
    <comment ref="D49" authorId="0" shapeId="0" xr:uid="{8E4E5B5C-3A65-4813-B713-13ABCA96C00C}">
      <text>
        <r>
          <rPr>
            <b/>
            <sz val="9"/>
            <color indexed="81"/>
            <rFont val="Tahoma"/>
            <family val="2"/>
          </rPr>
          <t>Michael Valand:</t>
        </r>
        <r>
          <rPr>
            <sz val="9"/>
            <color indexed="81"/>
            <rFont val="Tahoma"/>
            <family val="2"/>
          </rPr>
          <t xml:space="preserve">
Izdatki za dane obresti, ki se nanašajo na financiranje
Izdatki za odplačila dolgoročnih finančnih obveznosti 
zdatki za odplačila dividend in drugih deležev v dobičku </t>
        </r>
      </text>
    </comment>
  </commentList>
</comments>
</file>

<file path=xl/sharedStrings.xml><?xml version="1.0" encoding="utf-8"?>
<sst xmlns="http://schemas.openxmlformats.org/spreadsheetml/2006/main" count="126" uniqueCount="123">
  <si>
    <t>Shares</t>
  </si>
  <si>
    <t>MC</t>
  </si>
  <si>
    <t>Cash</t>
  </si>
  <si>
    <t>Debt</t>
  </si>
  <si>
    <t>EV</t>
  </si>
  <si>
    <t>Cena</t>
  </si>
  <si>
    <t xml:space="preserve">Delnice </t>
  </si>
  <si>
    <t>Q3 25</t>
  </si>
  <si>
    <t xml:space="preserve">Industry </t>
  </si>
  <si>
    <t>Products</t>
  </si>
  <si>
    <t>Founded</t>
  </si>
  <si>
    <t>CEO</t>
  </si>
  <si>
    <t>HQ</t>
  </si>
  <si>
    <t>Kidričeva 26</t>
  </si>
  <si>
    <t>3001 Celje</t>
  </si>
  <si>
    <t>SDH</t>
  </si>
  <si>
    <t>Modra Zavarovalnica</t>
  </si>
  <si>
    <t>OTP  Banka</t>
  </si>
  <si>
    <t xml:space="preserve">TR5 </t>
  </si>
  <si>
    <t>Lastne Delnice</t>
  </si>
  <si>
    <t>Prvi Pokojninski sklad</t>
  </si>
  <si>
    <t>Raifeissen Bank</t>
  </si>
  <si>
    <t>InterCapoital Securities</t>
  </si>
  <si>
    <t>Generali SouthEast</t>
  </si>
  <si>
    <t>Zagrebačka banka</t>
  </si>
  <si>
    <t>NLB Sklad</t>
  </si>
  <si>
    <t>Notranji delničarji</t>
  </si>
  <si>
    <t>Zunanji delničarji</t>
  </si>
  <si>
    <t>Ostali</t>
  </si>
  <si>
    <t>TiO2, Praskasti Lak, Masterbatch, Agro, chemical processing, H₂SO₄, Polimer</t>
  </si>
  <si>
    <t>Ales Skok</t>
  </si>
  <si>
    <t>IR Head</t>
  </si>
  <si>
    <t>CTO/VP</t>
  </si>
  <si>
    <t>Nikolaja Podgoršek Selič</t>
  </si>
  <si>
    <t>Employees</t>
  </si>
  <si>
    <t>Holdder</t>
  </si>
  <si>
    <t>Percentage</t>
  </si>
  <si>
    <t>Mkt. val.</t>
  </si>
  <si>
    <t>Total = Mkt. cap</t>
  </si>
  <si>
    <t>Filip Kozelnik</t>
  </si>
  <si>
    <t>titanium(IV) oxide (anatase), Food, Photocatalysis</t>
  </si>
  <si>
    <t>titanium(IV) oxide (rutile),High REFRACTIVE INDEX, Greater Durability, PVC windows, Automotive</t>
  </si>
  <si>
    <t>China vs US &amp;EU</t>
  </si>
  <si>
    <t>Chemicals</t>
  </si>
  <si>
    <t>Are the chinese gonna fuck us here also</t>
  </si>
  <si>
    <r>
      <t xml:space="preserve">Chloride vs </t>
    </r>
    <r>
      <rPr>
        <b/>
        <i/>
        <sz val="11"/>
        <color rgb="FFFF0000"/>
        <rFont val="Aptos Narrow"/>
        <family val="2"/>
        <scheme val="minor"/>
      </rPr>
      <t>Sulfite</t>
    </r>
    <r>
      <rPr>
        <b/>
        <sz val="11"/>
        <color theme="1"/>
        <rFont val="Aptos Narrow"/>
        <family val="2"/>
        <scheme val="minor"/>
      </rPr>
      <t xml:space="preserve"> process, IMPORTANT</t>
    </r>
  </si>
  <si>
    <t>Ilemnite ore</t>
  </si>
  <si>
    <t>Odorless, tasteless, potentnial airborne carcinogen</t>
  </si>
  <si>
    <t>Sulfat</t>
  </si>
  <si>
    <t>Chloride</t>
  </si>
  <si>
    <t>Lastnosti</t>
  </si>
  <si>
    <t>Surovina</t>
  </si>
  <si>
    <t>Reagent</t>
  </si>
  <si>
    <t>Odpad</t>
  </si>
  <si>
    <t>Tip procesa</t>
  </si>
  <si>
    <t>Kvaliteta produkta</t>
  </si>
  <si>
    <t>Okoljski vpliv</t>
  </si>
  <si>
    <t>Low-grade ilmenite/ Ti slag</t>
  </si>
  <si>
    <t>Rutile, synthetic rutile, slag</t>
  </si>
  <si>
    <t>H2SO4</t>
  </si>
  <si>
    <t>Cl2</t>
  </si>
  <si>
    <t>acidic Iron sulfate</t>
  </si>
  <si>
    <t>metal cholrides [small volume]</t>
  </si>
  <si>
    <t>Batch</t>
  </si>
  <si>
    <t>Zvezno</t>
  </si>
  <si>
    <t>Godd/decent</t>
  </si>
  <si>
    <t>Top shit, brighter rutile pigment</t>
  </si>
  <si>
    <t>HIGH</t>
  </si>
  <si>
    <t>LOW</t>
  </si>
  <si>
    <t>Revenue</t>
  </si>
  <si>
    <t>FY 2006</t>
  </si>
  <si>
    <t>FY 2007</t>
  </si>
  <si>
    <t>FY 2008</t>
  </si>
  <si>
    <t>FY 2009</t>
  </si>
  <si>
    <t>FY 2010</t>
  </si>
  <si>
    <t>FY 2011</t>
  </si>
  <si>
    <t>FY 2013</t>
  </si>
  <si>
    <t>FY 2014</t>
  </si>
  <si>
    <t>FY 2015</t>
  </si>
  <si>
    <t>FY 2012</t>
  </si>
  <si>
    <t>Delta stock</t>
  </si>
  <si>
    <t>Other income</t>
  </si>
  <si>
    <t>COS</t>
  </si>
  <si>
    <t>Stroski dela</t>
  </si>
  <si>
    <t>Odpisi vrednosti</t>
  </si>
  <si>
    <t xml:space="preserve">Other expenses </t>
  </si>
  <si>
    <t>prihodki iz deležev</t>
  </si>
  <si>
    <t>Prihodki iz posojil</t>
  </si>
  <si>
    <t>Prihodki poslovnih terjatev</t>
  </si>
  <si>
    <t>Izguba na investicijah</t>
  </si>
  <si>
    <t>(-) fin. obveznosti</t>
  </si>
  <si>
    <t>(-) iz posl. obveznosti</t>
  </si>
  <si>
    <t>Drugi prihodki</t>
  </si>
  <si>
    <t>Drugi odhodki</t>
  </si>
  <si>
    <t>EBT</t>
  </si>
  <si>
    <t>Usredstveni Lastni Proizvodi</t>
  </si>
  <si>
    <t>Poslovni izid</t>
  </si>
  <si>
    <t>Income Tax</t>
  </si>
  <si>
    <t>Deferred Tax</t>
  </si>
  <si>
    <t>Net income</t>
  </si>
  <si>
    <t>Čisti poslovni izid</t>
  </si>
  <si>
    <t>Spremembe čistih obr. sreds</t>
  </si>
  <si>
    <t>Prejemki/izdatki (a+b+c)</t>
  </si>
  <si>
    <t>Fake prihodki</t>
  </si>
  <si>
    <t>Fake odhodki</t>
  </si>
  <si>
    <t xml:space="preserve">(+) Investicije </t>
  </si>
  <si>
    <t xml:space="preserve">(-) Investicije </t>
  </si>
  <si>
    <t>SUM (Investicije)</t>
  </si>
  <si>
    <t>(+) Financiranje</t>
  </si>
  <si>
    <t>(-) Financiranje</t>
  </si>
  <si>
    <t>SUM (Financiranje)</t>
  </si>
  <si>
    <t>Same as Balance sheet</t>
  </si>
  <si>
    <t>Prilagodive za Amortizacijo…</t>
  </si>
  <si>
    <t>(-)Finančne prihodke brez finančnih prihodkov iz poslovnih terjatev -</t>
  </si>
  <si>
    <t>(+)Finančne odhodke brez finančnih odhodkov iz poslovnih obveznosti +</t>
  </si>
  <si>
    <t>Končno stanje Denar. Sred.</t>
  </si>
  <si>
    <t>SIT</t>
  </si>
  <si>
    <t>EUR</t>
  </si>
  <si>
    <t>SIT/EUR</t>
  </si>
  <si>
    <t>FY 2016</t>
  </si>
  <si>
    <t>FY2018</t>
  </si>
  <si>
    <t>8.136.743</t>
  </si>
  <si>
    <t>14.402.587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</si>
</sst>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rial"/>
      <family val="2"/>
    </font>
    <font>
      <b/>
      <i/>
      <sz val="11"/>
      <color rgb="FFFF0000"/>
      <name val="Aptos Narrow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3" fontId="0" fillId="0" borderId="0" xfId="0" applyNumberFormat="1"/>
    <xf numFmtId="164" fontId="0" fillId="0" borderId="0" xfId="0" applyNumberFormat="1"/>
    <xf numFmtId="0" fontId="4" fillId="0" borderId="0" xfId="0" applyFont="1"/>
    <xf numFmtId="4" fontId="0" fillId="0" borderId="0" xfId="0" applyNumberFormat="1"/>
    <xf numFmtId="165" fontId="0" fillId="0" borderId="0" xfId="0" applyNumberFormat="1"/>
    <xf numFmtId="2" fontId="0" fillId="0" borderId="0" xfId="0" applyNumberFormat="1"/>
    <xf numFmtId="4" fontId="1" fillId="0" borderId="0" xfId="0" applyNumberFormat="1" applyFont="1"/>
    <xf numFmtId="0" fontId="6" fillId="0" borderId="0" xfId="0" applyFont="1"/>
    <xf numFmtId="2" fontId="4" fillId="0" borderId="0" xfId="0" applyNumberFormat="1" applyFont="1"/>
    <xf numFmtId="2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30</xdr:row>
      <xdr:rowOff>90673</xdr:rowOff>
    </xdr:from>
    <xdr:to>
      <xdr:col>8</xdr:col>
      <xdr:colOff>362667</xdr:colOff>
      <xdr:row>35</xdr:row>
      <xdr:rowOff>38240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5F58B-E6F9-F33F-D0FC-59F52D7A7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6900" y="5805673"/>
          <a:ext cx="4620342" cy="900067"/>
        </a:xfrm>
        <a:prstGeom prst="rect">
          <a:avLst/>
        </a:prstGeom>
      </xdr:spPr>
    </xdr:pic>
    <xdr:clientData/>
  </xdr:twoCellAnchor>
  <xdr:twoCellAnchor editAs="oneCell">
    <xdr:from>
      <xdr:col>2</xdr:col>
      <xdr:colOff>504824</xdr:colOff>
      <xdr:row>37</xdr:row>
      <xdr:rowOff>188146</xdr:rowOff>
    </xdr:from>
    <xdr:to>
      <xdr:col>8</xdr:col>
      <xdr:colOff>200022</xdr:colOff>
      <xdr:row>55</xdr:row>
      <xdr:rowOff>38100</xdr:rowOff>
    </xdr:to>
    <xdr:pic>
      <xdr:nvPicPr>
        <xdr:cNvPr id="3" name="Picture 2" descr="Titanium dioxide - Unit cell&#10;">
          <a:extLst>
            <a:ext uri="{FF2B5EF4-FFF2-40B4-BE49-F238E27FC236}">
              <a16:creationId xmlns:a16="http://schemas.microsoft.com/office/drawing/2014/main" id="{9730AE85-3943-8B46-807A-D6FDA99BF215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4" y="7236646"/>
          <a:ext cx="4600573" cy="32789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22</xdr:row>
      <xdr:rowOff>66675</xdr:rowOff>
    </xdr:from>
    <xdr:to>
      <xdr:col>15</xdr:col>
      <xdr:colOff>29914</xdr:colOff>
      <xdr:row>50</xdr:row>
      <xdr:rowOff>181735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F3F913-F092-1899-BBAF-3882531B5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257675"/>
          <a:ext cx="9593014" cy="54490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14</xdr:row>
      <xdr:rowOff>95250</xdr:rowOff>
    </xdr:from>
    <xdr:to>
      <xdr:col>11</xdr:col>
      <xdr:colOff>422332</xdr:colOff>
      <xdr:row>42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49EDCC-E665-0E69-3987-1225ECE54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2762250"/>
          <a:ext cx="9375832" cy="5276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google.com/maps/dir/Cinkarna+Celje+d.d.,+Kidri%C4%8Deva+ulica+26,+3001+Celje/@46.2363457,15.2787988,17z/data=!4m16!1m6!3m5!1s0x476570e8f1231a59:0xef40b8812cea5e7a!2sCinkarna+Celje+d.d.!8m2!3d46.2362826!4d15.28098!4m8!1m0!1m5!1m1!1s0x476570e8f1231a59:0xef40b8812cea5e7a!2m2!1d15.28098!2d46.2362826!3e3" TargetMode="External"/><Relationship Id="rId1" Type="http://schemas.openxmlformats.org/officeDocument/2006/relationships/hyperlink" Target="https://www.google.com/maps/dir/Cinkarna+Celje+d.d.,+Kidri%C4%8Deva+ulica+26,+3001+Celje/@46.2363457,15.2787988,17z/data=!4m16!1m6!3m5!1s0x476570e8f1231a59:0xef40b8812cea5e7a!2sCinkarna+Celje+d.d.!8m2!3d46.2362826!4d15.28098!4m8!1m0!1m5!1m1!1s0x476570e8f1231a59:0xef40b8812cea5e7a!2m2!1d15.28098!2d46.2362826!3e3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A3341-C2C8-44DF-8B25-F58C96A6BF2A}">
  <dimension ref="B4:L67"/>
  <sheetViews>
    <sheetView workbookViewId="0">
      <selection activeCell="M34" sqref="M34"/>
    </sheetView>
  </sheetViews>
  <sheetFormatPr defaultRowHeight="15" x14ac:dyDescent="0.25"/>
  <cols>
    <col min="4" max="4" width="14.28515625" customWidth="1"/>
    <col min="5" max="5" width="22.7109375" customWidth="1"/>
  </cols>
  <sheetData>
    <row r="4" spans="4:12" x14ac:dyDescent="0.25">
      <c r="D4" s="1" t="s">
        <v>5</v>
      </c>
      <c r="E4">
        <v>33.9</v>
      </c>
      <c r="F4" t="s">
        <v>7</v>
      </c>
      <c r="J4" t="s">
        <v>118</v>
      </c>
      <c r="K4">
        <v>1</v>
      </c>
      <c r="L4">
        <v>239.64</v>
      </c>
    </row>
    <row r="5" spans="4:12" x14ac:dyDescent="0.25">
      <c r="D5" s="1" t="s">
        <v>6</v>
      </c>
      <c r="E5" s="3">
        <f>8079770/1000000</f>
        <v>8.0797699999999999</v>
      </c>
      <c r="F5" t="s">
        <v>7</v>
      </c>
    </row>
    <row r="6" spans="4:12" x14ac:dyDescent="0.25">
      <c r="D6" s="1" t="s">
        <v>1</v>
      </c>
      <c r="E6" s="4">
        <f>+E5*E4</f>
        <v>273.904203</v>
      </c>
    </row>
    <row r="7" spans="4:12" x14ac:dyDescent="0.25">
      <c r="D7" s="1" t="s">
        <v>2</v>
      </c>
      <c r="E7" s="6">
        <f>(19176777)/1000000 + 41.37583</f>
        <v>60.552607000000002</v>
      </c>
    </row>
    <row r="8" spans="4:12" x14ac:dyDescent="0.25">
      <c r="D8" s="1" t="s">
        <v>3</v>
      </c>
      <c r="E8" s="8">
        <f>18298/1000000</f>
        <v>1.8297999999999998E-2</v>
      </c>
    </row>
    <row r="9" spans="4:12" x14ac:dyDescent="0.25">
      <c r="D9" s="1" t="s">
        <v>4</v>
      </c>
      <c r="E9" s="9">
        <f>+E6-E7+E8</f>
        <v>213.36989399999999</v>
      </c>
    </row>
    <row r="13" spans="4:12" x14ac:dyDescent="0.25">
      <c r="D13" s="1" t="s">
        <v>10</v>
      </c>
      <c r="E13">
        <v>1873</v>
      </c>
    </row>
    <row r="14" spans="4:12" x14ac:dyDescent="0.25">
      <c r="D14" s="1" t="s">
        <v>8</v>
      </c>
      <c r="E14" t="s">
        <v>43</v>
      </c>
    </row>
    <row r="15" spans="4:12" x14ac:dyDescent="0.25">
      <c r="D15" s="1" t="s">
        <v>9</v>
      </c>
      <c r="E15" t="s">
        <v>29</v>
      </c>
    </row>
    <row r="16" spans="4:12" x14ac:dyDescent="0.25">
      <c r="D16" s="1" t="s">
        <v>11</v>
      </c>
      <c r="E16" t="s">
        <v>30</v>
      </c>
    </row>
    <row r="17" spans="4:5" x14ac:dyDescent="0.25">
      <c r="D17" s="1" t="s">
        <v>31</v>
      </c>
      <c r="E17" t="s">
        <v>39</v>
      </c>
    </row>
    <row r="18" spans="4:5" x14ac:dyDescent="0.25">
      <c r="D18" s="1" t="s">
        <v>32</v>
      </c>
      <c r="E18" t="s">
        <v>33</v>
      </c>
    </row>
    <row r="19" spans="4:5" x14ac:dyDescent="0.25">
      <c r="D19" s="1" t="s">
        <v>34</v>
      </c>
      <c r="E19">
        <v>730</v>
      </c>
    </row>
    <row r="20" spans="4:5" x14ac:dyDescent="0.25">
      <c r="D20" s="1" t="s">
        <v>12</v>
      </c>
      <c r="E20" s="2" t="s">
        <v>13</v>
      </c>
    </row>
    <row r="21" spans="4:5" x14ac:dyDescent="0.25">
      <c r="E21" s="2" t="s">
        <v>14</v>
      </c>
    </row>
    <row r="27" spans="4:5" x14ac:dyDescent="0.25">
      <c r="D27" t="s">
        <v>47</v>
      </c>
    </row>
    <row r="28" spans="4:5" x14ac:dyDescent="0.25">
      <c r="D28" t="s">
        <v>41</v>
      </c>
    </row>
    <row r="29" spans="4:5" x14ac:dyDescent="0.25">
      <c r="D29" t="s">
        <v>40</v>
      </c>
    </row>
    <row r="38" spans="4:9" x14ac:dyDescent="0.25">
      <c r="D38" s="1" t="s">
        <v>45</v>
      </c>
      <c r="F38" t="s">
        <v>42</v>
      </c>
      <c r="I38" s="1"/>
    </row>
    <row r="57" spans="4:4" x14ac:dyDescent="0.25">
      <c r="D57" s="1" t="s">
        <v>46</v>
      </c>
    </row>
    <row r="67" spans="2:2" x14ac:dyDescent="0.25">
      <c r="B67" t="s">
        <v>44</v>
      </c>
    </row>
  </sheetData>
  <phoneticPr fontId="3" type="noConversion"/>
  <hyperlinks>
    <hyperlink ref="E20" r:id="rId1" display="https://www.google.com/maps/dir/Cinkarna+Celje+d.d.,+Kidri%C4%8Deva+ulica+26,+3001+Celje/@46.2363457,15.2787988,17z/data=!4m16!1m6!3m5!1s0x476570e8f1231a59:0xef40b8812cea5e7a!2sCinkarna+Celje+d.d.!8m2!3d46.2362826!4d15.28098!4m8!1m0!1m5!1m1!1s0x476570e8f1231a59:0xef40b8812cea5e7a!2m2!1d15.28098!2d46.2362826!3e3" xr:uid="{B6738959-C139-47BE-8AE5-DC6829CED49F}"/>
    <hyperlink ref="E21" r:id="rId2" display="https://www.google.com/maps/dir/Cinkarna+Celje+d.d.,+Kidri%C4%8Deva+ulica+26,+3001+Celje/@46.2363457,15.2787988,17z/data=!4m16!1m6!3m5!1s0x476570e8f1231a59:0xef40b8812cea5e7a!2sCinkarna+Celje+d.d.!8m2!3d46.2362826!4d15.28098!4m8!1m0!1m5!1m1!1s0x476570e8f1231a59:0xef40b8812cea5e7a!2m2!1d15.28098!2d46.2362826!3e3" xr:uid="{2DFD175D-F6EC-40F0-BD6E-1DEC55AB62B9}"/>
  </hyperlinks>
  <pageMargins left="0.7" right="0.7" top="0.75" bottom="0.75" header="0.3" footer="0.3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5E224-39D5-421A-BE9C-C565EE03DF37}">
  <dimension ref="C2:R62"/>
  <sheetViews>
    <sheetView tabSelected="1" topLeftCell="C8" workbookViewId="0">
      <pane xSplit="2" topLeftCell="H1" activePane="topRight" state="frozen"/>
      <selection activeCell="C1" sqref="C1"/>
      <selection pane="topRight" activeCell="U33" sqref="U33"/>
    </sheetView>
  </sheetViews>
  <sheetFormatPr defaultRowHeight="15" x14ac:dyDescent="0.25"/>
  <cols>
    <col min="1" max="3" width="9.140625" style="8"/>
    <col min="4" max="4" width="35.28515625" style="8" customWidth="1"/>
    <col min="5" max="5" width="9.7109375" style="8" bestFit="1" customWidth="1"/>
    <col min="6" max="6" width="9.5703125" style="8" bestFit="1" customWidth="1"/>
    <col min="7" max="7" width="9.7109375" style="8" bestFit="1" customWidth="1"/>
    <col min="8" max="13" width="9.28515625" style="8" bestFit="1" customWidth="1"/>
    <col min="14" max="14" width="12" style="8" customWidth="1"/>
    <col min="15" max="16" width="9.140625" style="8"/>
    <col min="17" max="17" width="17.85546875" style="8" bestFit="1" customWidth="1"/>
    <col min="18" max="16384" width="9.140625" style="8"/>
  </cols>
  <sheetData>
    <row r="2" spans="3:18" x14ac:dyDescent="0.25"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3:18" x14ac:dyDescent="0.25"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3:18" x14ac:dyDescent="0.25">
      <c r="C4" s="11"/>
      <c r="D4" s="11"/>
      <c r="E4" s="11" t="s">
        <v>70</v>
      </c>
      <c r="F4" s="11" t="s">
        <v>71</v>
      </c>
      <c r="G4" s="11" t="s">
        <v>72</v>
      </c>
      <c r="H4" s="11" t="s">
        <v>73</v>
      </c>
      <c r="I4" s="11" t="s">
        <v>74</v>
      </c>
      <c r="J4" s="11" t="s">
        <v>75</v>
      </c>
      <c r="K4" s="11" t="s">
        <v>79</v>
      </c>
      <c r="L4" s="11" t="s">
        <v>76</v>
      </c>
      <c r="M4" s="11" t="s">
        <v>77</v>
      </c>
      <c r="N4" s="11" t="s">
        <v>78</v>
      </c>
      <c r="O4" s="11" t="s">
        <v>119</v>
      </c>
      <c r="P4" s="11" t="s">
        <v>120</v>
      </c>
    </row>
    <row r="5" spans="3:18" x14ac:dyDescent="0.25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3:18" x14ac:dyDescent="0.25"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3:18" x14ac:dyDescent="0.25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3:18" x14ac:dyDescent="0.25"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3:18" x14ac:dyDescent="0.25">
      <c r="C9" s="11"/>
      <c r="D9" s="11" t="s">
        <v>69</v>
      </c>
      <c r="E9" s="11">
        <v>36121.089999999997</v>
      </c>
      <c r="F9" s="11">
        <v>156.73638600000001</v>
      </c>
      <c r="G9" s="11">
        <v>131.56755200000001</v>
      </c>
      <c r="H9" s="11">
        <v>129.576268</v>
      </c>
      <c r="I9" s="11">
        <v>153.39206799999999</v>
      </c>
      <c r="J9" s="11">
        <v>184.067759</v>
      </c>
      <c r="K9" s="11">
        <v>173.21751499999999</v>
      </c>
      <c r="L9" s="8">
        <v>165.95508000000001</v>
      </c>
      <c r="M9" s="8">
        <v>160.670852</v>
      </c>
      <c r="N9">
        <v>169.07706099999999</v>
      </c>
      <c r="O9">
        <v>169.76543000000001</v>
      </c>
      <c r="Q9" s="11">
        <f>VALUE(SUBSTITUTE(N9, ".", ""))/1000000</f>
        <v>169.07706099999999</v>
      </c>
      <c r="R9" s="11">
        <f>VALUE(SUBSTITUTE(O9, ".", ""))/1000000</f>
        <v>16.976542999999999</v>
      </c>
    </row>
    <row r="10" spans="3:18" x14ac:dyDescent="0.25">
      <c r="C10" s="11"/>
      <c r="D10" s="11" t="s">
        <v>80</v>
      </c>
      <c r="E10" s="11">
        <v>1065.5</v>
      </c>
      <c r="F10" s="11">
        <v>-1.700318</v>
      </c>
      <c r="G10" s="11">
        <f>912.859/1000</f>
        <v>0.91285900000000009</v>
      </c>
      <c r="H10" s="11">
        <v>-4.9454500000000001</v>
      </c>
      <c r="I10" s="11">
        <v>-1.9621120000000001</v>
      </c>
      <c r="J10" s="11">
        <v>8.0038750000000007</v>
      </c>
      <c r="K10" s="11">
        <v>1.6979230000000001</v>
      </c>
      <c r="L10" s="8">
        <v>-3.8350050000000002</v>
      </c>
      <c r="M10" s="8">
        <v>3.485509</v>
      </c>
      <c r="N10">
        <v>-2.4999099999999999</v>
      </c>
      <c r="O10">
        <v>-6.1903699999999997</v>
      </c>
      <c r="Q10" s="11">
        <f t="shared" ref="Q10:Q27" si="0">VALUE(SUBSTITUTE(N10, ".", ""))/1000000</f>
        <v>-0.24999099999999999</v>
      </c>
      <c r="R10" s="11">
        <f t="shared" ref="R10:R27" si="1">VALUE(SUBSTITUTE(O10, ".", ""))/1000000</f>
        <v>-0.61903699999999995</v>
      </c>
    </row>
    <row r="11" spans="3:18" x14ac:dyDescent="0.25">
      <c r="C11" s="11"/>
      <c r="D11" s="11" t="s">
        <v>95</v>
      </c>
      <c r="E11" s="11">
        <v>860.23400000000004</v>
      </c>
      <c r="F11" s="11">
        <v>5.0519999999999996</v>
      </c>
      <c r="G11" s="11">
        <v>3.104393</v>
      </c>
      <c r="H11" s="11">
        <v>2.7091959999999999</v>
      </c>
      <c r="I11" s="11">
        <v>2.6025909999999999</v>
      </c>
      <c r="J11" s="11">
        <v>2.4255990000000001</v>
      </c>
      <c r="K11" s="11">
        <v>2.3347359999999999</v>
      </c>
      <c r="L11" s="8">
        <v>3.1485129999999999</v>
      </c>
      <c r="M11" s="8">
        <v>3.5243479999999998</v>
      </c>
      <c r="N11">
        <v>1.7685740000000001</v>
      </c>
      <c r="O11">
        <v>1.9492100000000001</v>
      </c>
      <c r="Q11" s="11">
        <f t="shared" si="0"/>
        <v>1.7685740000000001</v>
      </c>
      <c r="R11" s="11">
        <f t="shared" si="1"/>
        <v>0.19492100000000001</v>
      </c>
    </row>
    <row r="12" spans="3:18" x14ac:dyDescent="0.25">
      <c r="C12" s="11"/>
      <c r="D12" s="11" t="s">
        <v>81</v>
      </c>
      <c r="E12" s="11">
        <v>323.30900000000003</v>
      </c>
      <c r="F12" s="11">
        <v>2.60582</v>
      </c>
      <c r="G12" s="11">
        <v>2.012095</v>
      </c>
      <c r="H12" s="11">
        <v>1.249892</v>
      </c>
      <c r="I12" s="11">
        <v>1.055437</v>
      </c>
      <c r="J12" s="11">
        <v>0.95355599999999996</v>
      </c>
      <c r="K12" s="11">
        <v>1.0519289999999999</v>
      </c>
      <c r="L12" s="8">
        <v>1.2312289999999999</v>
      </c>
      <c r="M12" s="8">
        <v>1.899459</v>
      </c>
      <c r="N12">
        <v>2.1136339999999998</v>
      </c>
      <c r="O12">
        <v>0.88783100000000004</v>
      </c>
      <c r="Q12" s="11">
        <f t="shared" si="0"/>
        <v>2.1136339999999998</v>
      </c>
      <c r="R12" s="11">
        <f t="shared" si="1"/>
        <v>0.88783100000000004</v>
      </c>
    </row>
    <row r="13" spans="3:18" x14ac:dyDescent="0.25">
      <c r="C13" s="11"/>
      <c r="D13" s="11" t="s">
        <v>82</v>
      </c>
      <c r="E13" s="11">
        <v>27074.008999999998</v>
      </c>
      <c r="F13" s="11">
        <v>114.318777</v>
      </c>
      <c r="G13" s="11">
        <v>94.715457999999998</v>
      </c>
      <c r="H13" s="11">
        <v>84.674332000000007</v>
      </c>
      <c r="I13" s="11">
        <v>99.118364999999997</v>
      </c>
      <c r="J13" s="11">
        <v>117.62778900000001</v>
      </c>
      <c r="K13" s="11">
        <v>110.21622600000001</v>
      </c>
      <c r="L13" s="8">
        <v>115.48630300000001</v>
      </c>
      <c r="M13" s="8">
        <v>109.721189</v>
      </c>
      <c r="N13">
        <v>119.503891</v>
      </c>
      <c r="O13">
        <v>111.61905899999999</v>
      </c>
      <c r="Q13" s="11">
        <f t="shared" si="0"/>
        <v>119.503891</v>
      </c>
      <c r="R13" s="11">
        <f t="shared" si="1"/>
        <v>111.61905899999999</v>
      </c>
    </row>
    <row r="14" spans="3:18" x14ac:dyDescent="0.25">
      <c r="C14" s="11"/>
      <c r="D14" s="11" t="s">
        <v>83</v>
      </c>
      <c r="E14" s="11">
        <v>5922.6350000000002</v>
      </c>
      <c r="F14" s="11">
        <v>25.115065000000001</v>
      </c>
      <c r="G14" s="11">
        <v>25.849989999999998</v>
      </c>
      <c r="H14" s="11">
        <v>24.231943999999999</v>
      </c>
      <c r="I14" s="11">
        <v>28.448143000000002</v>
      </c>
      <c r="J14" s="11">
        <v>30.461493000000001</v>
      </c>
      <c r="K14" s="11">
        <v>29.641741</v>
      </c>
      <c r="L14" s="8">
        <v>28.455514999999998</v>
      </c>
      <c r="M14" s="8">
        <v>29.717369000000001</v>
      </c>
      <c r="N14">
        <v>28.419832</v>
      </c>
      <c r="O14">
        <v>28.190726999999999</v>
      </c>
      <c r="Q14" s="11">
        <f t="shared" si="0"/>
        <v>28.419832</v>
      </c>
      <c r="R14" s="11">
        <f t="shared" si="1"/>
        <v>28.190726999999999</v>
      </c>
    </row>
    <row r="15" spans="3:18" x14ac:dyDescent="0.25">
      <c r="C15" s="11"/>
      <c r="D15" s="11" t="s">
        <v>84</v>
      </c>
      <c r="E15" s="11">
        <v>2566.7289999999998</v>
      </c>
      <c r="F15" s="11">
        <v>11.112742000000001</v>
      </c>
      <c r="G15" s="11">
        <v>11.352603999999999</v>
      </c>
      <c r="H15" s="11">
        <v>14.067861000000001</v>
      </c>
      <c r="I15" s="11">
        <v>12.311260000000001</v>
      </c>
      <c r="J15" s="11">
        <v>13.194877</v>
      </c>
      <c r="K15" s="11">
        <v>13.443251999999999</v>
      </c>
      <c r="L15" s="8">
        <v>12.865138</v>
      </c>
      <c r="M15" s="8">
        <v>12.712161</v>
      </c>
      <c r="N15" s="11">
        <v>13.135966</v>
      </c>
      <c r="O15">
        <v>14.790371</v>
      </c>
      <c r="Q15" s="11">
        <f t="shared" si="0"/>
        <v>13.135966</v>
      </c>
      <c r="R15" s="11">
        <f t="shared" si="1"/>
        <v>14.790371</v>
      </c>
    </row>
    <row r="16" spans="3:18" x14ac:dyDescent="0.25">
      <c r="C16" s="11"/>
      <c r="D16" s="11" t="s">
        <v>85</v>
      </c>
      <c r="E16" s="11">
        <v>229.65</v>
      </c>
      <c r="F16" s="11">
        <v>1.1185160000000001</v>
      </c>
      <c r="G16" s="11">
        <v>1.1269309999999999</v>
      </c>
      <c r="H16" s="11">
        <f>965.859/1000</f>
        <v>0.96585900000000002</v>
      </c>
      <c r="I16" s="11">
        <v>1.4684630000000001</v>
      </c>
      <c r="J16" s="11">
        <v>1.3352869000000001</v>
      </c>
      <c r="K16" s="11">
        <v>0.91635999999999995</v>
      </c>
      <c r="L16" s="8">
        <v>1.0644610000000001</v>
      </c>
      <c r="M16" s="8">
        <v>1.1875880000000001</v>
      </c>
      <c r="N16">
        <v>1.3193539999999999</v>
      </c>
      <c r="O16">
        <v>1.2328760000000001</v>
      </c>
      <c r="Q16" s="11">
        <f t="shared" si="0"/>
        <v>1.3193539999999999</v>
      </c>
      <c r="R16" s="11">
        <f t="shared" si="1"/>
        <v>1.2328760000000001</v>
      </c>
    </row>
    <row r="17" spans="3:18" x14ac:dyDescent="0.25">
      <c r="C17" s="11"/>
      <c r="D17" s="11" t="s">
        <v>96</v>
      </c>
      <c r="E17" s="11">
        <f>+E9+E10+E11+E12-E13-E14-E15-E16</f>
        <v>2577.109999999996</v>
      </c>
      <c r="F17" s="11">
        <f>+F9+F10+F11+F12-F13-F14-F15-F16</f>
        <v>11.028787999999988</v>
      </c>
      <c r="G17" s="11">
        <f>+G9+G10+G11+G12-G13-G14-G15-G16</f>
        <v>4.5519159999999834</v>
      </c>
      <c r="H17" s="11">
        <f t="shared" ref="H17:M17" si="2">+H9+H10+H11+H12-H13-H14-H15-H16</f>
        <v>4.6499100000000073</v>
      </c>
      <c r="I17" s="11">
        <f t="shared" si="2"/>
        <v>13.741753000000006</v>
      </c>
      <c r="J17" s="11">
        <f t="shared" si="2"/>
        <v>32.831343099999977</v>
      </c>
      <c r="K17" s="11">
        <f t="shared" si="2"/>
        <v>24.084523999999984</v>
      </c>
      <c r="L17" s="11">
        <f t="shared" si="2"/>
        <v>8.6284000000000312</v>
      </c>
      <c r="M17" s="11">
        <f t="shared" si="2"/>
        <v>16.241861000000018</v>
      </c>
      <c r="N17" s="11">
        <f>+N9+N10+N11+N12-N13-N14-N15-N16</f>
        <v>8.0803159999999821</v>
      </c>
      <c r="O17" s="11">
        <f>+O9+O10+O11+O12-O13-O14-O15-O16</f>
        <v>10.579068000000014</v>
      </c>
      <c r="Q17" s="11">
        <f t="shared" si="0"/>
        <v>808031599.99999797</v>
      </c>
      <c r="R17" s="11">
        <f t="shared" si="1"/>
        <v>10.579067999999999</v>
      </c>
    </row>
    <row r="18" spans="3:18" x14ac:dyDescent="0.25"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Q18" s="11" t="e">
        <f t="shared" si="0"/>
        <v>#VALUE!</v>
      </c>
      <c r="R18" s="11" t="e">
        <f t="shared" si="1"/>
        <v>#VALUE!</v>
      </c>
    </row>
    <row r="19" spans="3:18" x14ac:dyDescent="0.25">
      <c r="C19" s="11"/>
      <c r="D19" s="11" t="s">
        <v>86</v>
      </c>
      <c r="E19" s="11">
        <v>91.494</v>
      </c>
      <c r="F19" s="11">
        <v>1.0317320000000001</v>
      </c>
      <c r="G19" s="11">
        <f>566.347/1000</f>
        <v>0.56634699999999993</v>
      </c>
      <c r="H19" s="11">
        <v>0.107561</v>
      </c>
      <c r="I19" s="11">
        <f>60.376/1000</f>
        <v>6.0375999999999999E-2</v>
      </c>
      <c r="J19" s="8">
        <v>3.7670999999999996E-2</v>
      </c>
      <c r="K19" s="8">
        <v>1.9010000000000003E-2</v>
      </c>
      <c r="L19" s="8">
        <v>0.105335</v>
      </c>
      <c r="M19" s="8">
        <v>1.8239999999999999E-2</v>
      </c>
      <c r="N19">
        <v>2.3761999999999998E-2</v>
      </c>
      <c r="O19">
        <v>3.1567999999999999E-2</v>
      </c>
      <c r="Q19" s="11">
        <f t="shared" si="0"/>
        <v>2.3761999999999998E-2</v>
      </c>
      <c r="R19" s="11">
        <f t="shared" si="1"/>
        <v>3.1567999999999999E-2</v>
      </c>
    </row>
    <row r="20" spans="3:18" x14ac:dyDescent="0.25">
      <c r="C20" s="11"/>
      <c r="D20" s="11" t="s">
        <v>87</v>
      </c>
      <c r="E20" s="11">
        <v>0</v>
      </c>
      <c r="F20" s="11">
        <v>6.9000000000000006E-2</v>
      </c>
      <c r="G20" s="11">
        <f>69.228/1000</f>
        <v>6.9227999999999998E-2</v>
      </c>
      <c r="H20" s="11">
        <f>329.599/1000</f>
        <v>0.32959899999999998</v>
      </c>
      <c r="I20" s="11">
        <v>0.13281499999999999</v>
      </c>
      <c r="J20" s="8">
        <v>0.25677999999999995</v>
      </c>
      <c r="K20" s="8">
        <v>0.475964</v>
      </c>
      <c r="L20" s="8">
        <v>0.767876</v>
      </c>
      <c r="M20" s="8">
        <v>0.13655300000000001</v>
      </c>
      <c r="N20">
        <v>3.5118999999999997E-2</v>
      </c>
      <c r="O20">
        <v>2.12E-4</v>
      </c>
      <c r="Q20" s="11">
        <f t="shared" si="0"/>
        <v>3.5118999999999997E-2</v>
      </c>
      <c r="R20" s="11">
        <f t="shared" si="1"/>
        <v>2.12E-4</v>
      </c>
    </row>
    <row r="21" spans="3:18" x14ac:dyDescent="0.25">
      <c r="C21" s="11"/>
      <c r="D21" s="11" t="s">
        <v>88</v>
      </c>
      <c r="E21" s="11">
        <v>89.524000000000001</v>
      </c>
      <c r="F21" s="11">
        <v>0.24052599999999999</v>
      </c>
      <c r="G21" s="11">
        <f>883.564/1000</f>
        <v>0.88356400000000002</v>
      </c>
      <c r="H21" s="11">
        <v>0.40497499999999997</v>
      </c>
      <c r="I21" s="11">
        <v>0.54843799999999998</v>
      </c>
      <c r="J21" s="8">
        <v>0.73447600000000002</v>
      </c>
      <c r="K21" s="8">
        <v>0.44342399999999998</v>
      </c>
      <c r="L21" s="8">
        <v>0.39050099999999999</v>
      </c>
      <c r="M21" s="8">
        <v>0.33705499999999999</v>
      </c>
      <c r="N21">
        <v>0.68101</v>
      </c>
      <c r="O21">
        <v>0.94254599999999999</v>
      </c>
      <c r="Q21" s="11">
        <f t="shared" si="0"/>
        <v>6.8100999999999995E-2</v>
      </c>
      <c r="R21" s="11">
        <f t="shared" si="1"/>
        <v>0.94254599999999999</v>
      </c>
    </row>
    <row r="22" spans="3:18" x14ac:dyDescent="0.25">
      <c r="C22" s="11"/>
      <c r="D22" s="11" t="s">
        <v>89</v>
      </c>
      <c r="E22" s="11">
        <v>66.382999999999996</v>
      </c>
      <c r="F22" s="11">
        <v>4.1729999999999996E-3</v>
      </c>
      <c r="G22" s="11">
        <f>50/1000000</f>
        <v>5.0000000000000002E-5</v>
      </c>
      <c r="H22" s="11">
        <f>45.236/1000</f>
        <v>4.5235999999999998E-2</v>
      </c>
      <c r="I22" s="11">
        <v>1.2086239999999999</v>
      </c>
      <c r="J22" s="8">
        <v>2.5700000000000001E-4</v>
      </c>
      <c r="K22" s="8">
        <v>1.4298169999999999</v>
      </c>
      <c r="L22" s="8">
        <v>1.3065690000000001</v>
      </c>
      <c r="M22" s="8">
        <v>0</v>
      </c>
      <c r="N22">
        <v>0</v>
      </c>
      <c r="O22">
        <v>0</v>
      </c>
      <c r="Q22" s="11">
        <f t="shared" si="0"/>
        <v>0</v>
      </c>
      <c r="R22" s="11">
        <f t="shared" si="1"/>
        <v>0</v>
      </c>
    </row>
    <row r="23" spans="3:18" x14ac:dyDescent="0.25">
      <c r="C23" s="11"/>
      <c r="D23" s="11" t="s">
        <v>90</v>
      </c>
      <c r="E23" s="11">
        <v>916.78200000000004</v>
      </c>
      <c r="F23" s="11">
        <v>4.1463109999999999</v>
      </c>
      <c r="G23" s="11">
        <v>4.8140960000000002</v>
      </c>
      <c r="H23" s="11">
        <v>4.1856929999999997</v>
      </c>
      <c r="I23" s="11">
        <v>2.3265660000000001</v>
      </c>
      <c r="J23" s="8">
        <v>1.451125</v>
      </c>
      <c r="K23" s="8">
        <v>0.86815799999999999</v>
      </c>
      <c r="L23" s="8">
        <v>0.54982500000000001</v>
      </c>
      <c r="M23" s="8">
        <v>6.5129999999999993E-2</v>
      </c>
      <c r="N23">
        <v>0.109073</v>
      </c>
      <c r="O23">
        <v>6.4832000000000001E-2</v>
      </c>
      <c r="Q23" s="11">
        <f t="shared" si="0"/>
        <v>0.109073</v>
      </c>
      <c r="R23" s="11">
        <f t="shared" si="1"/>
        <v>6.4832000000000001E-2</v>
      </c>
    </row>
    <row r="24" spans="3:18" x14ac:dyDescent="0.25">
      <c r="C24" s="11"/>
      <c r="D24" s="12" t="s">
        <v>91</v>
      </c>
      <c r="E24" s="11">
        <v>146.31100000000001</v>
      </c>
      <c r="F24" s="11">
        <v>0.61199999999999999</v>
      </c>
      <c r="G24" s="11">
        <f>515.472/1000</f>
        <v>0.51547199999999993</v>
      </c>
      <c r="H24" s="11">
        <f>265.025/1000</f>
        <v>0.26502499999999996</v>
      </c>
      <c r="I24" s="11">
        <f>311.857/1000</f>
        <v>0.31185700000000005</v>
      </c>
      <c r="J24" s="8">
        <v>0.78422100000000006</v>
      </c>
      <c r="K24" s="8">
        <v>0.31265599999999999</v>
      </c>
      <c r="L24" s="8">
        <v>0.47530800000000001</v>
      </c>
      <c r="M24" s="8">
        <v>0.25096600000000002</v>
      </c>
      <c r="N24">
        <v>0.61653100000000005</v>
      </c>
      <c r="O24">
        <v>0.378106</v>
      </c>
      <c r="Q24" s="11">
        <f t="shared" si="0"/>
        <v>0.61653100000000005</v>
      </c>
      <c r="R24" s="11">
        <f t="shared" si="1"/>
        <v>0.378106</v>
      </c>
    </row>
    <row r="25" spans="3:18" x14ac:dyDescent="0.25">
      <c r="C25" s="11"/>
      <c r="D25" s="12" t="s">
        <v>92</v>
      </c>
      <c r="E25" s="11">
        <v>23.437000000000001</v>
      </c>
      <c r="F25" s="11">
        <v>3.552E-3</v>
      </c>
      <c r="G25" s="11">
        <f>216.736/1000</f>
        <v>0.21673599999999998</v>
      </c>
      <c r="H25" s="11">
        <f>126.195/1000</f>
        <v>0.126195</v>
      </c>
      <c r="I25" s="11">
        <v>0.24049899999999999</v>
      </c>
      <c r="J25" s="8">
        <v>1.4208999999999999E-2</v>
      </c>
      <c r="K25" s="8">
        <v>6.4671000000000006E-2</v>
      </c>
      <c r="L25" s="8">
        <v>5.9057000000000005E-2</v>
      </c>
      <c r="M25" s="8">
        <v>3.3652000000000001E-2</v>
      </c>
      <c r="N25">
        <v>9.3123999999999998E-2</v>
      </c>
      <c r="O25">
        <v>3.0360999999999999E-2</v>
      </c>
      <c r="Q25" s="11">
        <f t="shared" si="0"/>
        <v>9.3123999999999998E-2</v>
      </c>
      <c r="R25" s="11">
        <f t="shared" si="1"/>
        <v>3.0360999999999999E-2</v>
      </c>
    </row>
    <row r="26" spans="3:18" x14ac:dyDescent="0.25">
      <c r="C26" s="11"/>
      <c r="D26" s="12" t="s">
        <v>93</v>
      </c>
      <c r="E26" s="11">
        <v>4.1159999999999997</v>
      </c>
      <c r="F26" s="11">
        <v>7.7466999999999994E-2</v>
      </c>
      <c r="G26" s="11">
        <f>26.62/1000</f>
        <v>2.6620000000000001E-2</v>
      </c>
      <c r="H26" s="11">
        <f>80.471/1000</f>
        <v>8.0471000000000001E-2</v>
      </c>
      <c r="I26" s="11">
        <f>22.407/1000</f>
        <v>2.2407E-2</v>
      </c>
      <c r="J26" s="8">
        <v>7.169E-3</v>
      </c>
      <c r="K26" s="8">
        <v>2.2661999999999998E-2</v>
      </c>
      <c r="L26" s="8">
        <v>4.5682E-2</v>
      </c>
      <c r="M26" s="8">
        <v>4.0143999999999999E-2</v>
      </c>
      <c r="N26">
        <v>0.12957099999999999</v>
      </c>
      <c r="O26">
        <v>0.112778</v>
      </c>
      <c r="Q26" s="11">
        <f t="shared" si="0"/>
        <v>0.12957099999999999</v>
      </c>
      <c r="R26" s="11">
        <f t="shared" si="1"/>
        <v>0.112778</v>
      </c>
    </row>
    <row r="27" spans="3:18" x14ac:dyDescent="0.25">
      <c r="C27" s="11"/>
      <c r="D27" s="12" t="s">
        <v>96</v>
      </c>
      <c r="E27" s="11">
        <f>+E9+E10+E12-E13-E14-E15-E16+E58</f>
        <v>2577.1099999999992</v>
      </c>
      <c r="F27" s="11">
        <f>F17</f>
        <v>11.028787999999988</v>
      </c>
      <c r="G27" s="11">
        <f>+G9+G10+G12-G13-G14-G15-G16+G58+G11</f>
        <v>4.5519159999999959</v>
      </c>
      <c r="H27" s="11">
        <f t="shared" ref="H27:O27" si="3">+H9+H10+H12-H13-H14-H15-H16+H58+H11</f>
        <v>4.649910000000002</v>
      </c>
      <c r="I27" s="11">
        <f t="shared" si="3"/>
        <v>13.741753000000017</v>
      </c>
      <c r="J27" s="11">
        <f>+J9+J10+J12-J13-J14-J15-J16+J58+J11</f>
        <v>32.83134309999997</v>
      </c>
      <c r="K27" s="11">
        <f t="shared" si="3"/>
        <v>24.084523999999991</v>
      </c>
      <c r="L27" s="11">
        <f t="shared" si="3"/>
        <v>8.6284000000000223</v>
      </c>
      <c r="M27" s="11">
        <f t="shared" si="3"/>
        <v>16.241861000000014</v>
      </c>
      <c r="N27" s="11">
        <f>+N9+N10+N12-N13-N14-N15-N16+N58+N11</f>
        <v>8.0803159999999821</v>
      </c>
      <c r="O27" s="11">
        <f t="shared" si="3"/>
        <v>10.579068000000021</v>
      </c>
      <c r="Q27" s="11">
        <f t="shared" si="0"/>
        <v>808031599.99999797</v>
      </c>
      <c r="R27" s="11">
        <f t="shared" si="1"/>
        <v>10.579067999999999</v>
      </c>
    </row>
    <row r="28" spans="3:18" x14ac:dyDescent="0.25">
      <c r="C28" s="11"/>
      <c r="D28" s="12"/>
      <c r="E28" s="11"/>
      <c r="F28" s="11"/>
      <c r="G28" s="11"/>
      <c r="H28" s="11"/>
      <c r="I28" s="11"/>
      <c r="J28" s="11"/>
      <c r="K28" s="11"/>
      <c r="L28" s="11"/>
      <c r="M28" s="11"/>
      <c r="N28" s="11"/>
      <c r="Q28" s="11" t="e">
        <f t="shared" ref="Q28:R41" si="4">VALUE(SUBSTITUTE(N28, ".", ""))/1000000</f>
        <v>#VALUE!</v>
      </c>
      <c r="R28" s="11" t="e">
        <f t="shared" ref="R28:R30" si="5">VALUE(SUBSTITUTE(O28, ".", ""))/1000000</f>
        <v>#VALUE!</v>
      </c>
    </row>
    <row r="29" spans="3:18" x14ac:dyDescent="0.25">
      <c r="C29" s="11"/>
      <c r="D29" s="11" t="s">
        <v>94</v>
      </c>
      <c r="E29" s="11">
        <f>+E27-E23-E24+E25-E26+E21-E22+E19+E20</f>
        <v>1647.972999999999</v>
      </c>
      <c r="F29" s="11">
        <f>F17+F19+F20+F21-F22-F23-F24+F25-F26</f>
        <v>7.5336469999999887</v>
      </c>
      <c r="G29" s="11">
        <f>G17+G19+G20+G21-G22-G23-G24+G25-G26</f>
        <v>0.93155299999998264</v>
      </c>
      <c r="H29" s="11">
        <f t="shared" ref="H29:J29" si="6">H17+H19+H20+H21-H22-H23-H24+H25-H26</f>
        <v>1.0418150000000075</v>
      </c>
      <c r="I29" s="11">
        <f t="shared" si="6"/>
        <v>10.854427000000006</v>
      </c>
      <c r="J29" s="11">
        <f t="shared" si="6"/>
        <v>31.631707099999986</v>
      </c>
      <c r="K29" s="11">
        <f>K17+K19+K20+K21-K22-K23-K24+K25-K26</f>
        <v>22.454299999999986</v>
      </c>
      <c r="L29" s="11">
        <f t="shared" ref="L29" si="7">L17+L19+L20+L21-L22-L23-L24+L25-L26</f>
        <v>7.5737850000000311</v>
      </c>
      <c r="M29" s="11">
        <f>M17+M19+M20+M21-M22-M23-M24+M25-M26</f>
        <v>16.411121000000016</v>
      </c>
      <c r="N29" s="11">
        <f>N17+N19+N20+N21-N22-N23-N24+N25-N26</f>
        <v>8.0581559999999808</v>
      </c>
      <c r="O29" s="11">
        <f>O17+O19+O20+O21-O22-O23-O24+O25-O26</f>
        <v>11.02803900000001</v>
      </c>
      <c r="Q29" s="11">
        <f t="shared" si="4"/>
        <v>805815599.99999797</v>
      </c>
      <c r="R29" s="11">
        <f t="shared" si="5"/>
        <v>11.028039</v>
      </c>
    </row>
    <row r="30" spans="3:18" x14ac:dyDescent="0.25">
      <c r="C30" s="11"/>
      <c r="D30" s="11" t="s">
        <v>97</v>
      </c>
      <c r="E30" s="11">
        <v>287.584</v>
      </c>
      <c r="F30" s="11">
        <v>1.393859</v>
      </c>
      <c r="G30" s="11">
        <v>0</v>
      </c>
      <c r="H30" s="11">
        <f>209.973/1000</f>
        <v>0.20997300000000002</v>
      </c>
      <c r="I30" s="11">
        <v>2.478758</v>
      </c>
      <c r="J30" s="8">
        <v>7.3272510000000004</v>
      </c>
      <c r="K30" s="8">
        <v>3.4877259999999999</v>
      </c>
      <c r="L30" s="8">
        <v>0.69688499999999998</v>
      </c>
      <c r="M30" s="8">
        <v>2.0293299999999999</v>
      </c>
      <c r="N30">
        <v>0.852078</v>
      </c>
      <c r="O30">
        <v>1.394452</v>
      </c>
      <c r="Q30" s="11">
        <f t="shared" si="4"/>
        <v>0.852078</v>
      </c>
      <c r="R30" s="11">
        <f t="shared" si="5"/>
        <v>1.394452</v>
      </c>
    </row>
    <row r="31" spans="3:18" x14ac:dyDescent="0.25">
      <c r="C31" s="11"/>
      <c r="D31" s="11" t="s">
        <v>98</v>
      </c>
      <c r="E31" s="11">
        <v>-21.562999999999999</v>
      </c>
      <c r="F31" s="11">
        <f>-58.073/1000</f>
        <v>-5.8073E-2</v>
      </c>
      <c r="G31" s="11">
        <v>-0.13175899999999999</v>
      </c>
      <c r="H31" s="11">
        <v>0.18381800000000001</v>
      </c>
      <c r="I31" s="11">
        <v>0.50864500000000001</v>
      </c>
      <c r="J31" s="8">
        <v>1.193856</v>
      </c>
      <c r="K31" s="8">
        <v>-0.67276899999999995</v>
      </c>
      <c r="L31" s="8">
        <v>0.283999</v>
      </c>
      <c r="M31" s="8">
        <v>-0.16756200000000002</v>
      </c>
      <c r="N31">
        <v>-0.39253399999999999</v>
      </c>
      <c r="O31">
        <v>0.124502</v>
      </c>
      <c r="Q31" s="11">
        <f t="shared" si="4"/>
        <v>-0.39253399999999999</v>
      </c>
      <c r="R31" s="11">
        <f t="shared" si="4"/>
        <v>0.124502</v>
      </c>
    </row>
    <row r="32" spans="3:18" x14ac:dyDescent="0.25">
      <c r="C32" s="11"/>
      <c r="D32" s="11" t="s">
        <v>99</v>
      </c>
      <c r="E32" s="11">
        <f>+E29-E30+E31</f>
        <v>1338.8259999999989</v>
      </c>
      <c r="F32" s="11">
        <f>+F29-F30+F31</f>
        <v>6.0817149999999884</v>
      </c>
      <c r="G32" s="11">
        <f>+G29-G30+G31</f>
        <v>0.79979399999998269</v>
      </c>
      <c r="H32" s="11">
        <f>+H29-H30+H31</f>
        <v>1.0156600000000076</v>
      </c>
      <c r="I32" s="11">
        <f t="shared" ref="I32:K32" si="8">+I29-I30+I31</f>
        <v>8.8843140000000052</v>
      </c>
      <c r="J32" s="11">
        <f t="shared" si="8"/>
        <v>25.498312099999985</v>
      </c>
      <c r="K32" s="11">
        <f t="shared" si="8"/>
        <v>18.293804999999988</v>
      </c>
      <c r="L32" s="11">
        <f>+L29-L30+L31</f>
        <v>7.1608990000000308</v>
      </c>
      <c r="M32" s="11">
        <f>+M29-M30+M31</f>
        <v>14.214229000000016</v>
      </c>
      <c r="N32" s="11">
        <f t="shared" ref="N32:O32" si="9">+N29-N30+N31</f>
        <v>6.8135439999999807</v>
      </c>
      <c r="O32" s="11">
        <f t="shared" si="9"/>
        <v>9.7580890000000107</v>
      </c>
      <c r="Q32" s="11">
        <f t="shared" si="4"/>
        <v>681354399.99999797</v>
      </c>
      <c r="R32" s="11">
        <f t="shared" si="4"/>
        <v>975808900.00000095</v>
      </c>
    </row>
    <row r="33" spans="3:18" x14ac:dyDescent="0.25"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Q33" s="11" t="e">
        <f t="shared" si="4"/>
        <v>#VALUE!</v>
      </c>
      <c r="R33" s="11" t="e">
        <f t="shared" si="4"/>
        <v>#VALUE!</v>
      </c>
    </row>
    <row r="34" spans="3:18" x14ac:dyDescent="0.25">
      <c r="D34" s="12"/>
      <c r="E34" s="11"/>
      <c r="F34" s="11"/>
      <c r="G34" s="11"/>
      <c r="H34" s="11"/>
      <c r="I34" s="11"/>
      <c r="J34" s="11"/>
      <c r="K34" s="11"/>
      <c r="L34" s="11"/>
      <c r="N34" s="11"/>
      <c r="Q34" s="11" t="e">
        <f t="shared" si="4"/>
        <v>#VALUE!</v>
      </c>
      <c r="R34" s="11" t="e">
        <f t="shared" si="4"/>
        <v>#VALUE!</v>
      </c>
    </row>
    <row r="35" spans="3:18" x14ac:dyDescent="0.25">
      <c r="D35" s="11" t="s">
        <v>100</v>
      </c>
      <c r="E35" s="11">
        <f>+E32</f>
        <v>1338.8259999999989</v>
      </c>
      <c r="F35" s="11">
        <f t="shared" ref="F35:O35" si="10">+F32</f>
        <v>6.0817149999999884</v>
      </c>
      <c r="G35" s="11">
        <f t="shared" si="10"/>
        <v>0.79979399999998269</v>
      </c>
      <c r="H35" s="11">
        <f t="shared" si="10"/>
        <v>1.0156600000000076</v>
      </c>
      <c r="I35" s="11">
        <f t="shared" si="10"/>
        <v>8.8843140000000052</v>
      </c>
      <c r="J35" s="11">
        <f t="shared" si="10"/>
        <v>25.498312099999985</v>
      </c>
      <c r="K35" s="11">
        <f t="shared" si="10"/>
        <v>18.293804999999988</v>
      </c>
      <c r="L35" s="11">
        <f t="shared" si="10"/>
        <v>7.1608990000000308</v>
      </c>
      <c r="M35" s="11">
        <f t="shared" si="10"/>
        <v>14.214229000000016</v>
      </c>
      <c r="N35" s="11">
        <f t="shared" si="10"/>
        <v>6.8135439999999807</v>
      </c>
      <c r="O35" s="11">
        <f t="shared" si="10"/>
        <v>9.7580890000000107</v>
      </c>
      <c r="Q35" s="11">
        <f t="shared" si="4"/>
        <v>681354399.99999797</v>
      </c>
      <c r="R35" s="11">
        <f t="shared" si="4"/>
        <v>975808900.00000095</v>
      </c>
    </row>
    <row r="36" spans="3:18" x14ac:dyDescent="0.25">
      <c r="D36" s="11" t="s">
        <v>112</v>
      </c>
      <c r="E36" s="11">
        <v>2486.4899999999998</v>
      </c>
      <c r="F36" s="11">
        <v>10.995096</v>
      </c>
      <c r="G36" s="11">
        <v>11.157821</v>
      </c>
      <c r="H36" s="11">
        <v>12.085174</v>
      </c>
      <c r="I36" s="11">
        <v>11.983886</v>
      </c>
      <c r="J36" s="8">
        <v>12.307093</v>
      </c>
      <c r="K36" s="8">
        <v>12.511246</v>
      </c>
      <c r="L36" s="8">
        <v>12.433963</v>
      </c>
      <c r="M36" s="8">
        <v>12.297798999999999</v>
      </c>
      <c r="N36">
        <v>12.753774999999999</v>
      </c>
      <c r="O36">
        <v>12.710917</v>
      </c>
      <c r="Q36" s="11">
        <f t="shared" si="4"/>
        <v>12.753774999999999</v>
      </c>
      <c r="R36" s="11">
        <f t="shared" si="4"/>
        <v>12.710917</v>
      </c>
    </row>
    <row r="37" spans="3:18" x14ac:dyDescent="0.25">
      <c r="D37" s="12" t="s">
        <v>103</v>
      </c>
      <c r="E37" s="11">
        <v>91.948999999999998</v>
      </c>
      <c r="F37" s="11">
        <f>226.906/1000</f>
        <v>0.226906</v>
      </c>
      <c r="G37" s="11">
        <f>11.31/1000</f>
        <v>1.1310000000000001E-2</v>
      </c>
      <c r="H37" s="11">
        <v>0.42814999999999998</v>
      </c>
      <c r="I37" s="11">
        <v>4.7257E-2</v>
      </c>
      <c r="J37" s="8">
        <v>1.6957E-2</v>
      </c>
      <c r="K37" s="8">
        <v>5.5331999999999999E-2</v>
      </c>
      <c r="L37" s="8">
        <v>2.5222999999999999E-2</v>
      </c>
      <c r="M37" s="8">
        <v>4.6119999999999998E-3</v>
      </c>
      <c r="N37">
        <v>1.2657E-2</v>
      </c>
      <c r="O37">
        <v>9.6226000000000006E-2</v>
      </c>
      <c r="Q37" s="11">
        <f t="shared" si="4"/>
        <v>1.2657E-2</v>
      </c>
      <c r="R37" s="11">
        <f t="shared" si="4"/>
        <v>9.6226000000000006E-2</v>
      </c>
    </row>
    <row r="38" spans="3:18" x14ac:dyDescent="0.25">
      <c r="D38" s="12" t="s">
        <v>104</v>
      </c>
      <c r="E38" s="11">
        <v>983.16499999999996</v>
      </c>
      <c r="F38" s="11">
        <f>87.638/1000</f>
        <v>8.7638000000000008E-2</v>
      </c>
      <c r="G38" s="11">
        <v>1.738E-2</v>
      </c>
      <c r="H38" s="11">
        <f>16.041/1000</f>
        <v>1.6041E-2</v>
      </c>
      <c r="I38" s="11">
        <v>2.2540000000000001E-2</v>
      </c>
      <c r="J38" s="8">
        <v>0.14820800000000001</v>
      </c>
      <c r="K38" s="8">
        <v>0.51915800000000001</v>
      </c>
      <c r="L38" s="8">
        <v>0.254859</v>
      </c>
      <c r="M38" s="8">
        <v>5.0826000000000003E-2</v>
      </c>
      <c r="N38">
        <v>9.4459999999999995E-3</v>
      </c>
      <c r="O38">
        <v>1.825099</v>
      </c>
      <c r="Q38" s="11">
        <f t="shared" si="4"/>
        <v>9.4459999999999995E-3</v>
      </c>
      <c r="R38" s="11">
        <f t="shared" si="4"/>
        <v>1.825099</v>
      </c>
    </row>
    <row r="39" spans="3:18" x14ac:dyDescent="0.25">
      <c r="D39" s="12" t="s">
        <v>113</v>
      </c>
      <c r="E39" s="11">
        <v>0</v>
      </c>
      <c r="F39" s="11">
        <v>1.1010139999999999</v>
      </c>
      <c r="G39" s="11">
        <v>0.635575</v>
      </c>
      <c r="H39" s="11">
        <v>0.193191</v>
      </c>
      <c r="I39" s="11">
        <v>0.43715999999999999</v>
      </c>
      <c r="J39" s="8">
        <v>0.29445100000000002</v>
      </c>
      <c r="K39" s="8">
        <v>0.49497399999999997</v>
      </c>
      <c r="L39" s="8">
        <v>0.87321099999999996</v>
      </c>
      <c r="M39" s="8">
        <v>0.15479299999999999</v>
      </c>
      <c r="N39" s="8">
        <v>0</v>
      </c>
      <c r="O39" s="8">
        <v>0</v>
      </c>
      <c r="Q39" s="11">
        <f t="shared" si="4"/>
        <v>0</v>
      </c>
      <c r="R39" s="11">
        <f t="shared" si="4"/>
        <v>0</v>
      </c>
    </row>
    <row r="40" spans="3:18" x14ac:dyDescent="0.25">
      <c r="D40" s="12" t="s">
        <v>114</v>
      </c>
      <c r="E40" s="11">
        <v>0</v>
      </c>
      <c r="F40" s="11">
        <v>4.1504839999999996</v>
      </c>
      <c r="G40" s="11">
        <v>4.814146</v>
      </c>
      <c r="H40" s="11">
        <v>3.5351900000000001</v>
      </c>
      <c r="I40" s="11">
        <v>4.2309289999999997</v>
      </c>
      <c r="J40" s="8">
        <v>1.4513819999999999</v>
      </c>
      <c r="K40" s="8">
        <v>2.2979750000000001</v>
      </c>
      <c r="L40" s="8">
        <v>1.8563940000000001</v>
      </c>
      <c r="M40" s="8">
        <v>6.5129999999999993E-2</v>
      </c>
      <c r="N40">
        <v>5.8881000000000003E-2</v>
      </c>
      <c r="O40">
        <v>3.3688000000000003E-2</v>
      </c>
      <c r="Q40" s="11">
        <f t="shared" si="4"/>
        <v>5.8881000000000003E-2</v>
      </c>
      <c r="R40" s="11">
        <f t="shared" si="4"/>
        <v>3.3688000000000003E-2</v>
      </c>
    </row>
    <row r="41" spans="3:18" x14ac:dyDescent="0.25">
      <c r="D41" s="12" t="s">
        <v>101</v>
      </c>
      <c r="E41" s="11">
        <v>-1867.9780000000001</v>
      </c>
      <c r="F41" s="11">
        <v>-2.2298789999999999</v>
      </c>
      <c r="G41" s="11">
        <v>-1.147214</v>
      </c>
      <c r="H41" s="11">
        <v>7.2307490000000003</v>
      </c>
      <c r="I41" s="11">
        <v>12.229760000000001</v>
      </c>
      <c r="J41" s="8">
        <v>4.8587049999999996</v>
      </c>
      <c r="K41" s="8">
        <v>-12.785797000000001</v>
      </c>
      <c r="L41" s="8">
        <v>5.8364010000000004</v>
      </c>
      <c r="M41" s="8">
        <v>2.0312920000000001</v>
      </c>
      <c r="N41">
        <v>-6.4419199999999996</v>
      </c>
      <c r="O41">
        <v>4.97837</v>
      </c>
      <c r="Q41" s="11">
        <f t="shared" si="4"/>
        <v>-0.64419199999999999</v>
      </c>
      <c r="R41" s="11">
        <f t="shared" si="4"/>
        <v>0.49783699999999997</v>
      </c>
    </row>
    <row r="42" spans="3:18" x14ac:dyDescent="0.25">
      <c r="D42" s="12" t="s">
        <v>102</v>
      </c>
      <c r="E42" s="11">
        <f>+E35+E36-E37+E38+E41</f>
        <v>2848.5539999999992</v>
      </c>
      <c r="F42" s="11">
        <f>F35+F36-F37+F38-F39+F40+F41</f>
        <v>17.757133999999986</v>
      </c>
      <c r="G42" s="11">
        <f t="shared" ref="G42:M42" si="11">G35+G36-G37+G38-G39+G40+G41</f>
        <v>14.995041999999982</v>
      </c>
      <c r="H42" s="11">
        <f t="shared" si="11"/>
        <v>23.261473000000006</v>
      </c>
      <c r="I42" s="11">
        <f t="shared" si="11"/>
        <v>36.86701200000001</v>
      </c>
      <c r="J42" s="11">
        <f t="shared" si="11"/>
        <v>43.952292099999987</v>
      </c>
      <c r="K42" s="11">
        <f t="shared" si="11"/>
        <v>20.286080999999989</v>
      </c>
      <c r="L42" s="11">
        <f t="shared" si="11"/>
        <v>26.644082000000033</v>
      </c>
      <c r="M42" s="11">
        <f t="shared" si="11"/>
        <v>28.499871000000013</v>
      </c>
      <c r="N42" s="11">
        <f t="shared" ref="N42" si="12">N35+N36-N37+N38-N39+N40+N41</f>
        <v>13.181068999999979</v>
      </c>
      <c r="O42" s="11">
        <f t="shared" ref="O42" si="13">O35+O36-O37+O38-O39+O40+O41</f>
        <v>29.209937000000011</v>
      </c>
      <c r="Q42" s="11">
        <f t="shared" ref="Q42:Q44" si="14">VALUE(SUBSTITUTE(N42, ".", ""))/1000000</f>
        <v>13.181069000000001</v>
      </c>
      <c r="R42" s="11">
        <f t="shared" ref="R42:R44" si="15">VALUE(SUBSTITUTE(O42, ".", ""))/1000000</f>
        <v>29.209937</v>
      </c>
    </row>
    <row r="43" spans="3:18" x14ac:dyDescent="0.25">
      <c r="D43" s="12" t="s">
        <v>105</v>
      </c>
      <c r="E43" s="11">
        <v>110.91</v>
      </c>
      <c r="F43" s="11">
        <v>1.451689</v>
      </c>
      <c r="G43" s="11">
        <v>0.68419600000000003</v>
      </c>
      <c r="H43" s="11">
        <v>0.89141599999999999</v>
      </c>
      <c r="I43" s="11">
        <v>0.27183800000000002</v>
      </c>
      <c r="J43" s="8">
        <v>0.33556000000000002</v>
      </c>
      <c r="K43" s="8">
        <v>0.5657279999999999</v>
      </c>
      <c r="L43" s="8">
        <v>0.90349199999999996</v>
      </c>
      <c r="M43" s="8">
        <v>0.16014100000000001</v>
      </c>
      <c r="N43">
        <v>0.19328200000000001</v>
      </c>
      <c r="O43">
        <v>1.3065E-2</v>
      </c>
      <c r="Q43" s="11">
        <f t="shared" si="14"/>
        <v>0.19328200000000001</v>
      </c>
      <c r="R43" s="11">
        <f t="shared" si="15"/>
        <v>1.3065E-2</v>
      </c>
    </row>
    <row r="44" spans="3:18" x14ac:dyDescent="0.25">
      <c r="D44" s="12" t="s">
        <v>106</v>
      </c>
      <c r="E44" s="11">
        <v>2533.7109999999998</v>
      </c>
      <c r="F44" s="11">
        <v>14.890699</v>
      </c>
      <c r="G44" s="11">
        <v>10.968317000000001</v>
      </c>
      <c r="H44" s="11">
        <v>4.2540440000000004</v>
      </c>
      <c r="I44" s="11">
        <v>7.499282</v>
      </c>
      <c r="J44" s="8">
        <v>9.9960360000000001</v>
      </c>
      <c r="K44" s="8">
        <v>7.2018459999999997</v>
      </c>
      <c r="L44" s="8">
        <v>7.1751459999999998</v>
      </c>
      <c r="M44" s="8">
        <v>8.7085899999999992</v>
      </c>
      <c r="N44">
        <v>6.6703010000000003</v>
      </c>
      <c r="O44">
        <v>8.8623250000000002</v>
      </c>
      <c r="Q44" s="11">
        <f t="shared" si="14"/>
        <v>6.6703010000000003</v>
      </c>
      <c r="R44" s="11">
        <f t="shared" si="15"/>
        <v>8.8623250000000002</v>
      </c>
    </row>
    <row r="45" spans="3:18" x14ac:dyDescent="0.25">
      <c r="D45" s="12" t="s">
        <v>107</v>
      </c>
      <c r="E45" s="11">
        <f>+E43-E44</f>
        <v>-2422.8009999999999</v>
      </c>
      <c r="F45" s="11">
        <f t="shared" ref="F45:G45" si="16">+F43-F44</f>
        <v>-13.43901</v>
      </c>
      <c r="G45" s="11">
        <f t="shared" si="16"/>
        <v>-10.284121000000001</v>
      </c>
      <c r="H45" s="11">
        <f t="shared" ref="H45" si="17">+H43-H44</f>
        <v>-3.3626280000000004</v>
      </c>
      <c r="I45" s="11">
        <f t="shared" ref="I45:O45" si="18">+I43-I44</f>
        <v>-7.2274440000000002</v>
      </c>
      <c r="J45" s="11">
        <f t="shared" si="18"/>
        <v>-9.660476000000001</v>
      </c>
      <c r="K45" s="11">
        <f t="shared" si="18"/>
        <v>-6.6361179999999997</v>
      </c>
      <c r="L45" s="11">
        <f t="shared" si="18"/>
        <v>-6.2716539999999998</v>
      </c>
      <c r="M45" s="11">
        <f t="shared" si="18"/>
        <v>-8.5484489999999997</v>
      </c>
      <c r="N45" s="11">
        <f t="shared" si="18"/>
        <v>-6.4770190000000003</v>
      </c>
      <c r="O45" s="11">
        <f t="shared" si="18"/>
        <v>-8.849260000000001</v>
      </c>
      <c r="Q45" s="11">
        <f t="shared" ref="Q45:Q49" si="19">VALUE(SUBSTITUTE(N45, ".", ""))/1000000</f>
        <v>-6.4770190000000003</v>
      </c>
      <c r="R45" s="11">
        <f t="shared" ref="R45:R49" si="20">VALUE(SUBSTITUTE(O45, ".", ""))/1000000</f>
        <v>-0.88492599999999999</v>
      </c>
    </row>
    <row r="46" spans="3:18" x14ac:dyDescent="0.25">
      <c r="D46" s="12"/>
      <c r="E46" s="11"/>
      <c r="F46" s="11"/>
      <c r="G46" s="11"/>
      <c r="H46" s="11"/>
      <c r="I46" s="11"/>
      <c r="J46" s="11"/>
      <c r="K46" s="11"/>
      <c r="L46" s="11"/>
      <c r="N46" s="11"/>
      <c r="Q46" s="11" t="e">
        <f t="shared" si="19"/>
        <v>#VALUE!</v>
      </c>
      <c r="R46" s="11" t="e">
        <f t="shared" si="20"/>
        <v>#VALUE!</v>
      </c>
    </row>
    <row r="47" spans="3:18" x14ac:dyDescent="0.25">
      <c r="D47" s="12"/>
      <c r="E47" s="11"/>
      <c r="F47" s="11"/>
      <c r="G47" s="11"/>
      <c r="H47" s="11"/>
      <c r="I47" s="11"/>
      <c r="J47" s="11"/>
      <c r="K47" s="11"/>
      <c r="L47" s="11"/>
      <c r="N47" s="11"/>
      <c r="Q47" s="11" t="e">
        <f t="shared" si="19"/>
        <v>#VALUE!</v>
      </c>
      <c r="R47" s="11" t="e">
        <f t="shared" si="20"/>
        <v>#VALUE!</v>
      </c>
    </row>
    <row r="48" spans="3:18" x14ac:dyDescent="0.25">
      <c r="D48" s="12" t="s">
        <v>108</v>
      </c>
      <c r="E48" s="11">
        <v>1554.7650000000001</v>
      </c>
      <c r="F48" s="11">
        <v>0.50765499999999997</v>
      </c>
      <c r="G48" s="11">
        <v>8.0369820000000001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Q48" s="11">
        <f t="shared" si="19"/>
        <v>0</v>
      </c>
      <c r="R48" s="11">
        <f t="shared" si="20"/>
        <v>0</v>
      </c>
    </row>
    <row r="49" spans="3:18" x14ac:dyDescent="0.25">
      <c r="D49" s="12" t="s">
        <v>109</v>
      </c>
      <c r="E49" s="11">
        <v>1804.8019999999999</v>
      </c>
      <c r="F49" s="11">
        <v>8.8024090000000008</v>
      </c>
      <c r="G49" s="11">
        <v>14.167297</v>
      </c>
      <c r="H49" s="11">
        <v>25.195412000000001</v>
      </c>
      <c r="I49" s="11">
        <v>22.014621000000002</v>
      </c>
      <c r="J49" s="8">
        <v>31.133566999999999</v>
      </c>
      <c r="K49" s="8">
        <v>14.512458000000001</v>
      </c>
      <c r="L49" s="8">
        <v>20.823594</v>
      </c>
      <c r="M49" s="8">
        <v>13.685579000000001</v>
      </c>
      <c r="N49">
        <v>6.9606459999999997</v>
      </c>
      <c r="O49">
        <v>3.4089999999999998</v>
      </c>
      <c r="Q49" s="11">
        <f t="shared" si="19"/>
        <v>6.9606459999999997</v>
      </c>
      <c r="R49" s="11">
        <f t="shared" si="20"/>
        <v>3.4090000000000001E-3</v>
      </c>
    </row>
    <row r="50" spans="3:18" x14ac:dyDescent="0.25">
      <c r="D50" s="12" t="s">
        <v>110</v>
      </c>
      <c r="E50" s="11">
        <f>+E48-E49</f>
        <v>-250.03699999999981</v>
      </c>
      <c r="F50" s="11">
        <f t="shared" ref="F50:G50" si="21">+F48-F49</f>
        <v>-8.2947540000000011</v>
      </c>
      <c r="G50" s="11">
        <f t="shared" si="21"/>
        <v>-6.1303149999999995</v>
      </c>
      <c r="H50" s="11">
        <f t="shared" ref="H50" si="22">+H48-H49</f>
        <v>-25.195412000000001</v>
      </c>
      <c r="I50" s="11">
        <f t="shared" ref="I50:O50" si="23">+I48-I49</f>
        <v>-22.014621000000002</v>
      </c>
      <c r="J50" s="11">
        <f>+J48-J49</f>
        <v>-31.133566999999999</v>
      </c>
      <c r="K50" s="11">
        <f t="shared" si="23"/>
        <v>-14.512458000000001</v>
      </c>
      <c r="L50" s="11">
        <f t="shared" si="23"/>
        <v>-20.823594</v>
      </c>
      <c r="M50" s="11">
        <f t="shared" si="23"/>
        <v>-13.685579000000001</v>
      </c>
      <c r="N50" s="11">
        <f t="shared" si="23"/>
        <v>-6.9606459999999997</v>
      </c>
      <c r="O50" s="11">
        <f t="shared" si="23"/>
        <v>-3.4089999999999998</v>
      </c>
    </row>
    <row r="51" spans="3:18" x14ac:dyDescent="0.25">
      <c r="D51" s="12"/>
      <c r="E51" s="11"/>
      <c r="F51" s="11"/>
      <c r="G51" s="11"/>
      <c r="H51" s="11"/>
      <c r="I51" s="11"/>
      <c r="J51" s="11"/>
      <c r="K51" s="11"/>
      <c r="L51" s="11"/>
    </row>
    <row r="52" spans="3:18" x14ac:dyDescent="0.25">
      <c r="D52" s="12" t="s">
        <v>115</v>
      </c>
      <c r="E52" s="11">
        <v>2243.0129999999999</v>
      </c>
      <c r="F52" s="11">
        <v>5.3831660000000001</v>
      </c>
      <c r="G52" s="11">
        <v>3.9637720000000001</v>
      </c>
      <c r="H52" s="11">
        <v>4.1179860000000001</v>
      </c>
      <c r="I52" s="11">
        <v>6.2921519999999997</v>
      </c>
      <c r="J52" s="8">
        <v>9.4504020000000004</v>
      </c>
      <c r="K52" s="8">
        <v>8.5879069999999995</v>
      </c>
      <c r="L52" s="8" t="s">
        <v>121</v>
      </c>
      <c r="M52" s="8" t="s">
        <v>122</v>
      </c>
      <c r="N52">
        <v>14.028229</v>
      </c>
      <c r="O52">
        <v>31.032022999999999</v>
      </c>
    </row>
    <row r="53" spans="3:18" x14ac:dyDescent="0.25">
      <c r="D53" s="12" t="s">
        <v>111</v>
      </c>
      <c r="E53" s="11" t="b">
        <f>AND(E52&gt;=2243*0.99, E52&lt;=2243*1.01)</f>
        <v>1</v>
      </c>
      <c r="F53" s="11" t="b">
        <v>1</v>
      </c>
      <c r="G53" s="11" t="b">
        <v>1</v>
      </c>
      <c r="H53" s="11" t="b">
        <v>1</v>
      </c>
      <c r="I53" s="11" t="b">
        <v>1</v>
      </c>
      <c r="J53" s="11" t="b">
        <v>1</v>
      </c>
      <c r="K53" s="11" t="b">
        <v>1</v>
      </c>
      <c r="L53" s="11" t="b">
        <v>1</v>
      </c>
      <c r="M53" s="11" t="b">
        <v>1</v>
      </c>
      <c r="N53" s="11" t="b">
        <v>1</v>
      </c>
      <c r="O53" s="11" t="b">
        <v>1</v>
      </c>
    </row>
    <row r="54" spans="3:18" x14ac:dyDescent="0.25">
      <c r="E54" s="11"/>
      <c r="F54" s="11"/>
      <c r="G54" s="11"/>
      <c r="H54" s="11"/>
      <c r="I54" s="11"/>
      <c r="J54" s="11"/>
      <c r="K54" s="11"/>
      <c r="L54" s="11"/>
    </row>
    <row r="57" spans="3:18" x14ac:dyDescent="0.25">
      <c r="E57" s="8" t="s">
        <v>116</v>
      </c>
      <c r="F57" s="8" t="s">
        <v>117</v>
      </c>
    </row>
    <row r="58" spans="3:18" x14ac:dyDescent="0.25">
      <c r="C58" s="11"/>
      <c r="D58" s="11" t="s">
        <v>95</v>
      </c>
      <c r="E58" s="11">
        <v>860.23400000000004</v>
      </c>
      <c r="F58" s="8">
        <v>5.052314</v>
      </c>
      <c r="G58" s="11"/>
      <c r="H58" s="11"/>
      <c r="I58" s="11"/>
      <c r="J58" s="11"/>
      <c r="K58" s="11"/>
      <c r="L58" s="11"/>
      <c r="M58" s="11"/>
      <c r="N58" s="11"/>
    </row>
    <row r="62" spans="3:18" x14ac:dyDescent="0.25">
      <c r="E62" s="8">
        <v>1000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EF36-D1A1-485A-96F0-903A725B533A}">
  <dimension ref="C3:F19"/>
  <sheetViews>
    <sheetView workbookViewId="0">
      <selection activeCell="G64" sqref="G64"/>
    </sheetView>
  </sheetViews>
  <sheetFormatPr defaultRowHeight="15" x14ac:dyDescent="0.25"/>
  <cols>
    <col min="3" max="3" width="22.85546875" bestFit="1" customWidth="1"/>
    <col min="6" max="6" width="10.7109375" bestFit="1" customWidth="1"/>
  </cols>
  <sheetData>
    <row r="3" spans="3:6" x14ac:dyDescent="0.25">
      <c r="C3" s="1" t="s">
        <v>35</v>
      </c>
      <c r="D3" s="1" t="s">
        <v>0</v>
      </c>
      <c r="E3" s="1" t="s">
        <v>37</v>
      </c>
      <c r="F3" s="1" t="s">
        <v>36</v>
      </c>
    </row>
    <row r="4" spans="3:6" x14ac:dyDescent="0.25">
      <c r="C4" s="5" t="s">
        <v>15</v>
      </c>
      <c r="D4" s="5">
        <v>1.97454</v>
      </c>
      <c r="E4" s="5">
        <f>+D4*Main!$E$4</f>
        <v>66.936905999999993</v>
      </c>
      <c r="F4" s="7">
        <f>+D4/Main!$E$5</f>
        <v>0.24438071875808345</v>
      </c>
    </row>
    <row r="5" spans="3:6" x14ac:dyDescent="0.25">
      <c r="C5" s="5" t="s">
        <v>16</v>
      </c>
      <c r="D5" s="5">
        <v>1.6296299999999999</v>
      </c>
      <c r="E5" s="5">
        <f>+D5*Main!$E$4</f>
        <v>55.244456999999997</v>
      </c>
      <c r="F5" s="7">
        <f>+D5/Main!$E$5</f>
        <v>0.20169262243850999</v>
      </c>
    </row>
    <row r="6" spans="3:6" x14ac:dyDescent="0.25">
      <c r="C6" s="5" t="s">
        <v>17</v>
      </c>
      <c r="D6" s="5">
        <v>0.40081899999999998</v>
      </c>
      <c r="E6" s="5">
        <f>+D6*Main!$E$4</f>
        <v>13.587764099999999</v>
      </c>
      <c r="F6" s="7">
        <f>+D6/Main!$E$5</f>
        <v>4.9607723982242065E-2</v>
      </c>
    </row>
    <row r="7" spans="3:6" x14ac:dyDescent="0.25">
      <c r="C7" s="5" t="s">
        <v>18</v>
      </c>
      <c r="D7" s="5">
        <v>0.36496299999999998</v>
      </c>
      <c r="E7" s="5">
        <f>+D7*Main!$E$4</f>
        <v>12.372245699999999</v>
      </c>
      <c r="F7" s="7">
        <f>+D7/Main!$E$5</f>
        <v>4.5169973897771838E-2</v>
      </c>
    </row>
    <row r="8" spans="3:6" x14ac:dyDescent="0.25">
      <c r="C8" s="5" t="s">
        <v>19</v>
      </c>
      <c r="D8" s="5">
        <v>0.298404</v>
      </c>
      <c r="E8" s="5">
        <f>+D8*Main!$E$4</f>
        <v>10.1158956</v>
      </c>
      <c r="F8" s="7">
        <f>+D8/Main!$E$5</f>
        <v>3.6932239407804927E-2</v>
      </c>
    </row>
    <row r="9" spans="3:6" x14ac:dyDescent="0.25">
      <c r="C9" s="5" t="s">
        <v>20</v>
      </c>
      <c r="D9" s="5">
        <v>0.16705</v>
      </c>
      <c r="E9" s="5">
        <f>+D9*Main!$E$4</f>
        <v>5.6629949999999996</v>
      </c>
      <c r="F9" s="7">
        <f>+D9/Main!$E$5</f>
        <v>2.0675093474195428E-2</v>
      </c>
    </row>
    <row r="10" spans="3:6" x14ac:dyDescent="0.25">
      <c r="C10" s="5" t="s">
        <v>21</v>
      </c>
      <c r="D10" s="5">
        <v>0.15734000000000001</v>
      </c>
      <c r="E10" s="5">
        <f>+D10*Main!$E$4</f>
        <v>5.3338260000000002</v>
      </c>
      <c r="F10" s="7">
        <f>+D10/Main!$E$5</f>
        <v>1.9473326592217354E-2</v>
      </c>
    </row>
    <row r="11" spans="3:6" x14ac:dyDescent="0.25">
      <c r="C11" s="5" t="s">
        <v>22</v>
      </c>
      <c r="D11" s="5">
        <v>8.3210000000000006E-2</v>
      </c>
      <c r="E11" s="5">
        <f>+D11*Main!$E$4</f>
        <v>2.8208190000000002</v>
      </c>
      <c r="F11" s="7">
        <f>+D11/Main!$E$5</f>
        <v>1.0298560478825512E-2</v>
      </c>
    </row>
    <row r="12" spans="3:6" x14ac:dyDescent="0.25">
      <c r="C12" s="5" t="s">
        <v>23</v>
      </c>
      <c r="D12" s="5">
        <v>7.5566999999999995E-2</v>
      </c>
      <c r="E12" s="5">
        <f>+D12*Main!$E$4</f>
        <v>2.5617212999999999</v>
      </c>
      <c r="F12" s="7">
        <f>+D12/Main!$E$5</f>
        <v>9.3526177106526536E-3</v>
      </c>
    </row>
    <row r="13" spans="3:6" x14ac:dyDescent="0.25">
      <c r="C13" t="s">
        <v>24</v>
      </c>
      <c r="D13" s="5">
        <v>6.9559999999999997E-2</v>
      </c>
      <c r="E13" s="5">
        <f>+D13*Main!$E$4</f>
        <v>2.3580839999999998</v>
      </c>
      <c r="F13" s="7">
        <f>+D13/Main!$E$5</f>
        <v>8.6091559536967018E-3</v>
      </c>
    </row>
    <row r="14" spans="3:6" x14ac:dyDescent="0.25">
      <c r="C14" t="s">
        <v>25</v>
      </c>
      <c r="D14" s="5">
        <v>6.6836000000000007E-2</v>
      </c>
      <c r="E14" s="5">
        <f>+D14*Main!$E$4</f>
        <v>2.2657404000000003</v>
      </c>
      <c r="F14" s="7">
        <f>+D14/Main!$E$5</f>
        <v>8.2720176440666017E-3</v>
      </c>
    </row>
    <row r="15" spans="3:6" x14ac:dyDescent="0.25">
      <c r="C15" t="s">
        <v>26</v>
      </c>
      <c r="D15" s="5">
        <v>5.9714999999999997E-2</v>
      </c>
      <c r="E15" s="5">
        <f>+D15*Main!$E$4</f>
        <v>2.0243384999999998</v>
      </c>
      <c r="F15" s="7">
        <f>+D15/Main!$E$5</f>
        <v>7.3906806753162527E-3</v>
      </c>
    </row>
    <row r="16" spans="3:6" x14ac:dyDescent="0.25">
      <c r="C16" t="s">
        <v>27</v>
      </c>
      <c r="D16" s="5">
        <v>1.9670829999999999</v>
      </c>
      <c r="E16" s="5">
        <f>+D16*Main!$E$4</f>
        <v>66.684113699999997</v>
      </c>
      <c r="F16" s="7">
        <f>+D16/Main!$E$5</f>
        <v>0.24345779644717608</v>
      </c>
    </row>
    <row r="17" spans="3:6" x14ac:dyDescent="0.25">
      <c r="C17" t="s">
        <v>28</v>
      </c>
      <c r="D17" s="5">
        <v>0.76446199999999997</v>
      </c>
      <c r="E17" s="5">
        <f>+D17*Main!$E$4</f>
        <v>25.9152618</v>
      </c>
      <c r="F17" s="7">
        <f>+D17/Main!$E$5</f>
        <v>9.4614326892968489E-2</v>
      </c>
    </row>
    <row r="19" spans="3:6" x14ac:dyDescent="0.25">
      <c r="C19" t="s">
        <v>38</v>
      </c>
      <c r="E19">
        <f>+SUM(E4:E17)</f>
        <v>273.88416809999995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C43F-6073-4A96-AAC7-CB724D6446C4}">
  <dimension ref="B3:D9"/>
  <sheetViews>
    <sheetView workbookViewId="0">
      <selection activeCell="D57" sqref="D57"/>
    </sheetView>
  </sheetViews>
  <sheetFormatPr defaultRowHeight="15" x14ac:dyDescent="0.25"/>
  <cols>
    <col min="2" max="2" width="17.28515625" bestFit="1" customWidth="1"/>
    <col min="3" max="3" width="26.7109375" customWidth="1"/>
    <col min="4" max="4" width="33" customWidth="1"/>
  </cols>
  <sheetData>
    <row r="3" spans="2:4" x14ac:dyDescent="0.25">
      <c r="B3" s="1" t="s">
        <v>50</v>
      </c>
      <c r="C3" s="1" t="s">
        <v>48</v>
      </c>
      <c r="D3" s="1" t="s">
        <v>49</v>
      </c>
    </row>
    <row r="4" spans="2:4" x14ac:dyDescent="0.25">
      <c r="B4" t="s">
        <v>51</v>
      </c>
      <c r="C4" s="10" t="s">
        <v>57</v>
      </c>
      <c r="D4" t="s">
        <v>58</v>
      </c>
    </row>
    <row r="5" spans="2:4" x14ac:dyDescent="0.25">
      <c r="B5" t="s">
        <v>52</v>
      </c>
      <c r="C5" t="s">
        <v>59</v>
      </c>
      <c r="D5" t="s">
        <v>60</v>
      </c>
    </row>
    <row r="6" spans="2:4" x14ac:dyDescent="0.25">
      <c r="B6" t="s">
        <v>53</v>
      </c>
      <c r="C6" t="s">
        <v>61</v>
      </c>
      <c r="D6" t="s">
        <v>62</v>
      </c>
    </row>
    <row r="7" spans="2:4" x14ac:dyDescent="0.25">
      <c r="B7" t="s">
        <v>54</v>
      </c>
      <c r="C7" t="s">
        <v>63</v>
      </c>
      <c r="D7" t="s">
        <v>64</v>
      </c>
    </row>
    <row r="8" spans="2:4" x14ac:dyDescent="0.25">
      <c r="B8" t="s">
        <v>55</v>
      </c>
      <c r="C8" t="s">
        <v>65</v>
      </c>
      <c r="D8" t="s">
        <v>66</v>
      </c>
    </row>
    <row r="9" spans="2:4" x14ac:dyDescent="0.25">
      <c r="B9" t="s">
        <v>56</v>
      </c>
      <c r="C9" t="s">
        <v>67</v>
      </c>
      <c r="D9" t="s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Holders</vt:lpstr>
      <vt:lpstr>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Valand</dc:creator>
  <cp:lastModifiedBy>Michael Valand</cp:lastModifiedBy>
  <cp:lastPrinted>2025-07-15T17:07:14Z</cp:lastPrinted>
  <dcterms:created xsi:type="dcterms:W3CDTF">2025-07-15T09:09:07Z</dcterms:created>
  <dcterms:modified xsi:type="dcterms:W3CDTF">2025-07-18T15:47:22Z</dcterms:modified>
</cp:coreProperties>
</file>