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rm\Documents\GitHub\political_party_stocks\"/>
    </mc:Choice>
  </mc:AlternateContent>
  <xr:revisionPtr revIDLastSave="0" documentId="13_ncr:1_{053D2657-A2EF-4533-B7AB-28EF9A2C9DF5}" xr6:coauthVersionLast="46" xr6:coauthVersionMax="46" xr10:uidLastSave="{00000000-0000-0000-0000-000000000000}"/>
  <bookViews>
    <workbookView xWindow="5478" yWindow="2454" windowWidth="17280" windowHeight="8994" firstSheet="2" activeTab="2" xr2:uid="{F8A63455-BA33-EA4E-A416-4B2F79F1FE0C}"/>
  </bookViews>
  <sheets>
    <sheet name="data" sheetId="1" r:id="rId1"/>
    <sheet name="data-sp500-10-outliers-removed" sheetId="4" r:id="rId2"/>
    <sheet name="data-bond-10-outliers-removed" sheetId="3" r:id="rId3"/>
    <sheet name="source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3" l="1"/>
  <c r="Q10" i="3"/>
  <c r="R10" i="3"/>
  <c r="S10" i="3"/>
  <c r="T10" i="3"/>
  <c r="U10" i="3"/>
  <c r="V10" i="3"/>
  <c r="W10" i="3"/>
  <c r="X10" i="3"/>
  <c r="Y10" i="3"/>
  <c r="P34" i="3"/>
  <c r="Q34" i="3"/>
  <c r="R34" i="3"/>
  <c r="S34" i="3"/>
  <c r="T34" i="3"/>
  <c r="U34" i="3"/>
  <c r="V34" i="3"/>
  <c r="W34" i="3"/>
  <c r="X34" i="3"/>
  <c r="Y34" i="3"/>
  <c r="P25" i="3"/>
  <c r="Q25" i="3"/>
  <c r="R25" i="3"/>
  <c r="S25" i="3"/>
  <c r="T25" i="3"/>
  <c r="U25" i="3"/>
  <c r="V25" i="3"/>
  <c r="W25" i="3"/>
  <c r="X25" i="3"/>
  <c r="Y25" i="3"/>
  <c r="P15" i="3"/>
  <c r="Q15" i="3"/>
  <c r="R15" i="3"/>
  <c r="S15" i="3"/>
  <c r="T15" i="3"/>
  <c r="U15" i="3"/>
  <c r="V15" i="3"/>
  <c r="W15" i="3"/>
  <c r="X15" i="3"/>
  <c r="Y15" i="3"/>
  <c r="P39" i="3"/>
  <c r="Q39" i="3"/>
  <c r="R39" i="3"/>
  <c r="S39" i="3"/>
  <c r="T39" i="3"/>
  <c r="U39" i="3"/>
  <c r="V39" i="3"/>
  <c r="W39" i="3"/>
  <c r="X39" i="3"/>
  <c r="Y39" i="3"/>
  <c r="P45" i="3"/>
  <c r="Q45" i="3"/>
  <c r="R45" i="3"/>
  <c r="S45" i="3"/>
  <c r="T45" i="3"/>
  <c r="U45" i="3"/>
  <c r="V45" i="3"/>
  <c r="W45" i="3"/>
  <c r="X45" i="3"/>
  <c r="Y45" i="3"/>
  <c r="Y45" i="4"/>
  <c r="X45" i="4"/>
  <c r="W45" i="4"/>
  <c r="V45" i="4"/>
  <c r="U45" i="4"/>
  <c r="T45" i="4"/>
  <c r="S45" i="4"/>
  <c r="R45" i="4"/>
  <c r="Q45" i="4"/>
  <c r="P45" i="4"/>
  <c r="Y44" i="4"/>
  <c r="X44" i="4"/>
  <c r="W44" i="4"/>
  <c r="V44" i="4"/>
  <c r="U44" i="4"/>
  <c r="T44" i="4"/>
  <c r="S44" i="4"/>
  <c r="R44" i="4"/>
  <c r="Q44" i="4"/>
  <c r="P44" i="4"/>
  <c r="Y43" i="4"/>
  <c r="X43" i="4"/>
  <c r="W43" i="4"/>
  <c r="V43" i="4"/>
  <c r="U43" i="4"/>
  <c r="T43" i="4"/>
  <c r="S43" i="4"/>
  <c r="R43" i="4"/>
  <c r="Q43" i="4"/>
  <c r="P43" i="4"/>
  <c r="Y42" i="4"/>
  <c r="X42" i="4"/>
  <c r="W42" i="4"/>
  <c r="V42" i="4"/>
  <c r="U42" i="4"/>
  <c r="T42" i="4"/>
  <c r="S42" i="4"/>
  <c r="R42" i="4"/>
  <c r="Q42" i="4"/>
  <c r="P42" i="4"/>
  <c r="Y41" i="4"/>
  <c r="X41" i="4"/>
  <c r="W41" i="4"/>
  <c r="V41" i="4"/>
  <c r="U41" i="4"/>
  <c r="T41" i="4"/>
  <c r="S41" i="4"/>
  <c r="R41" i="4"/>
  <c r="Q41" i="4"/>
  <c r="P41" i="4"/>
  <c r="Y40" i="4"/>
  <c r="X40" i="4"/>
  <c r="W40" i="4"/>
  <c r="V40" i="4"/>
  <c r="U40" i="4"/>
  <c r="T40" i="4"/>
  <c r="S40" i="4"/>
  <c r="R40" i="4"/>
  <c r="Q40" i="4"/>
  <c r="P40" i="4"/>
  <c r="Y39" i="4"/>
  <c r="X39" i="4"/>
  <c r="W39" i="4"/>
  <c r="V39" i="4"/>
  <c r="U39" i="4"/>
  <c r="T39" i="4"/>
  <c r="S39" i="4"/>
  <c r="R39" i="4"/>
  <c r="Q39" i="4"/>
  <c r="P39" i="4"/>
  <c r="Y38" i="4"/>
  <c r="X38" i="4"/>
  <c r="W38" i="4"/>
  <c r="V38" i="4"/>
  <c r="U38" i="4"/>
  <c r="T38" i="4"/>
  <c r="S38" i="4"/>
  <c r="R38" i="4"/>
  <c r="Q38" i="4"/>
  <c r="P38" i="4"/>
  <c r="Y37" i="4"/>
  <c r="X37" i="4"/>
  <c r="W37" i="4"/>
  <c r="V37" i="4"/>
  <c r="U37" i="4"/>
  <c r="T37" i="4"/>
  <c r="S37" i="4"/>
  <c r="R37" i="4"/>
  <c r="Q37" i="4"/>
  <c r="P37" i="4"/>
  <c r="Y36" i="4"/>
  <c r="X36" i="4"/>
  <c r="W36" i="4"/>
  <c r="V36" i="4"/>
  <c r="U36" i="4"/>
  <c r="T36" i="4"/>
  <c r="S36" i="4"/>
  <c r="R36" i="4"/>
  <c r="Q36" i="4"/>
  <c r="P36" i="4"/>
  <c r="Y35" i="4"/>
  <c r="X35" i="4"/>
  <c r="W35" i="4"/>
  <c r="V35" i="4"/>
  <c r="U35" i="4"/>
  <c r="T35" i="4"/>
  <c r="S35" i="4"/>
  <c r="R35" i="4"/>
  <c r="Q35" i="4"/>
  <c r="P35" i="4"/>
  <c r="Y34" i="4"/>
  <c r="X34" i="4"/>
  <c r="W34" i="4"/>
  <c r="V34" i="4"/>
  <c r="U34" i="4"/>
  <c r="T34" i="4"/>
  <c r="S34" i="4"/>
  <c r="R34" i="4"/>
  <c r="Q34" i="4"/>
  <c r="P34" i="4"/>
  <c r="Y33" i="4"/>
  <c r="X33" i="4"/>
  <c r="W33" i="4"/>
  <c r="V33" i="4"/>
  <c r="U33" i="4"/>
  <c r="T33" i="4"/>
  <c r="S33" i="4"/>
  <c r="R33" i="4"/>
  <c r="Q33" i="4"/>
  <c r="P33" i="4"/>
  <c r="Y32" i="4"/>
  <c r="X32" i="4"/>
  <c r="W32" i="4"/>
  <c r="V32" i="4"/>
  <c r="U32" i="4"/>
  <c r="T32" i="4"/>
  <c r="S32" i="4"/>
  <c r="R32" i="4"/>
  <c r="Q32" i="4"/>
  <c r="P32" i="4"/>
  <c r="Y31" i="4"/>
  <c r="X31" i="4"/>
  <c r="W31" i="4"/>
  <c r="V31" i="4"/>
  <c r="U31" i="4"/>
  <c r="T31" i="4"/>
  <c r="S31" i="4"/>
  <c r="R31" i="4"/>
  <c r="Q31" i="4"/>
  <c r="P31" i="4"/>
  <c r="Y30" i="4"/>
  <c r="X30" i="4"/>
  <c r="W30" i="4"/>
  <c r="V30" i="4"/>
  <c r="U30" i="4"/>
  <c r="T30" i="4"/>
  <c r="S30" i="4"/>
  <c r="R30" i="4"/>
  <c r="Q30" i="4"/>
  <c r="P30" i="4"/>
  <c r="Y29" i="4"/>
  <c r="X29" i="4"/>
  <c r="W29" i="4"/>
  <c r="V29" i="4"/>
  <c r="U29" i="4"/>
  <c r="T29" i="4"/>
  <c r="S29" i="4"/>
  <c r="R29" i="4"/>
  <c r="Q29" i="4"/>
  <c r="P29" i="4"/>
  <c r="Y28" i="4"/>
  <c r="X28" i="4"/>
  <c r="W28" i="4"/>
  <c r="V28" i="4"/>
  <c r="U28" i="4"/>
  <c r="T28" i="4"/>
  <c r="S28" i="4"/>
  <c r="R28" i="4"/>
  <c r="Q28" i="4"/>
  <c r="P28" i="4"/>
  <c r="Y27" i="4"/>
  <c r="X27" i="4"/>
  <c r="W27" i="4"/>
  <c r="V27" i="4"/>
  <c r="U27" i="4"/>
  <c r="T27" i="4"/>
  <c r="S27" i="4"/>
  <c r="R27" i="4"/>
  <c r="Q27" i="4"/>
  <c r="P27" i="4"/>
  <c r="Y26" i="4"/>
  <c r="X26" i="4"/>
  <c r="W26" i="4"/>
  <c r="V26" i="4"/>
  <c r="U26" i="4"/>
  <c r="T26" i="4"/>
  <c r="S26" i="4"/>
  <c r="R26" i="4"/>
  <c r="Q26" i="4"/>
  <c r="P26" i="4"/>
  <c r="Y25" i="4"/>
  <c r="X25" i="4"/>
  <c r="W25" i="4"/>
  <c r="V25" i="4"/>
  <c r="U25" i="4"/>
  <c r="T25" i="4"/>
  <c r="S25" i="4"/>
  <c r="R25" i="4"/>
  <c r="Q25" i="4"/>
  <c r="P25" i="4"/>
  <c r="Y24" i="4"/>
  <c r="X24" i="4"/>
  <c r="W24" i="4"/>
  <c r="V24" i="4"/>
  <c r="U24" i="4"/>
  <c r="T24" i="4"/>
  <c r="S24" i="4"/>
  <c r="R24" i="4"/>
  <c r="Q24" i="4"/>
  <c r="P24" i="4"/>
  <c r="Y23" i="4"/>
  <c r="X23" i="4"/>
  <c r="W23" i="4"/>
  <c r="V23" i="4"/>
  <c r="U23" i="4"/>
  <c r="T23" i="4"/>
  <c r="S23" i="4"/>
  <c r="R23" i="4"/>
  <c r="Q23" i="4"/>
  <c r="P23" i="4"/>
  <c r="Y22" i="4"/>
  <c r="X22" i="4"/>
  <c r="W22" i="4"/>
  <c r="V22" i="4"/>
  <c r="U22" i="4"/>
  <c r="T22" i="4"/>
  <c r="S22" i="4"/>
  <c r="R22" i="4"/>
  <c r="Q22" i="4"/>
  <c r="P22" i="4"/>
  <c r="Y21" i="4"/>
  <c r="X21" i="4"/>
  <c r="W21" i="4"/>
  <c r="V21" i="4"/>
  <c r="U21" i="4"/>
  <c r="T21" i="4"/>
  <c r="S21" i="4"/>
  <c r="R21" i="4"/>
  <c r="R2" i="4" s="1"/>
  <c r="Q21" i="4"/>
  <c r="P21" i="4"/>
  <c r="Y20" i="4"/>
  <c r="X20" i="4"/>
  <c r="W20" i="4"/>
  <c r="V20" i="4"/>
  <c r="U20" i="4"/>
  <c r="T20" i="4"/>
  <c r="S20" i="4"/>
  <c r="R20" i="4"/>
  <c r="Q20" i="4"/>
  <c r="P20" i="4"/>
  <c r="Y19" i="4"/>
  <c r="X19" i="4"/>
  <c r="W19" i="4"/>
  <c r="V19" i="4"/>
  <c r="U19" i="4"/>
  <c r="T19" i="4"/>
  <c r="S19" i="4"/>
  <c r="R19" i="4"/>
  <c r="Q19" i="4"/>
  <c r="P19" i="4"/>
  <c r="Y18" i="4"/>
  <c r="X18" i="4"/>
  <c r="W18" i="4"/>
  <c r="V18" i="4"/>
  <c r="U18" i="4"/>
  <c r="T18" i="4"/>
  <c r="S18" i="4"/>
  <c r="R18" i="4"/>
  <c r="Q18" i="4"/>
  <c r="P18" i="4"/>
  <c r="Y17" i="4"/>
  <c r="X17" i="4"/>
  <c r="W17" i="4"/>
  <c r="V17" i="4"/>
  <c r="U17" i="4"/>
  <c r="T17" i="4"/>
  <c r="S17" i="4"/>
  <c r="R17" i="4"/>
  <c r="Q17" i="4"/>
  <c r="P17" i="4"/>
  <c r="Y16" i="4"/>
  <c r="X16" i="4"/>
  <c r="W16" i="4"/>
  <c r="V16" i="4"/>
  <c r="U16" i="4"/>
  <c r="T16" i="4"/>
  <c r="S16" i="4"/>
  <c r="R16" i="4"/>
  <c r="Q16" i="4"/>
  <c r="P16" i="4"/>
  <c r="Y15" i="4"/>
  <c r="X15" i="4"/>
  <c r="W15" i="4"/>
  <c r="V15" i="4"/>
  <c r="U15" i="4"/>
  <c r="T15" i="4"/>
  <c r="S15" i="4"/>
  <c r="R15" i="4"/>
  <c r="Q15" i="4"/>
  <c r="P15" i="4"/>
  <c r="Y14" i="4"/>
  <c r="X14" i="4"/>
  <c r="W14" i="4"/>
  <c r="V14" i="4"/>
  <c r="U14" i="4"/>
  <c r="T14" i="4"/>
  <c r="S14" i="4"/>
  <c r="R14" i="4"/>
  <c r="Q14" i="4"/>
  <c r="P14" i="4"/>
  <c r="Y13" i="4"/>
  <c r="X13" i="4"/>
  <c r="W13" i="4"/>
  <c r="V13" i="4"/>
  <c r="U13" i="4"/>
  <c r="T13" i="4"/>
  <c r="S13" i="4"/>
  <c r="R13" i="4"/>
  <c r="Q13" i="4"/>
  <c r="P13" i="4"/>
  <c r="Y12" i="4"/>
  <c r="X12" i="4"/>
  <c r="W12" i="4"/>
  <c r="V12" i="4"/>
  <c r="U12" i="4"/>
  <c r="T12" i="4"/>
  <c r="S12" i="4"/>
  <c r="R12" i="4"/>
  <c r="Q12" i="4"/>
  <c r="P12" i="4"/>
  <c r="Z11" i="4"/>
  <c r="Y11" i="4"/>
  <c r="X11" i="4"/>
  <c r="W11" i="4"/>
  <c r="V11" i="4"/>
  <c r="U11" i="4"/>
  <c r="T11" i="4"/>
  <c r="S11" i="4"/>
  <c r="R11" i="4"/>
  <c r="Q11" i="4"/>
  <c r="P11" i="4"/>
  <c r="Y10" i="4"/>
  <c r="X10" i="4"/>
  <c r="W10" i="4"/>
  <c r="V10" i="4"/>
  <c r="U10" i="4"/>
  <c r="T10" i="4"/>
  <c r="S10" i="4"/>
  <c r="R10" i="4"/>
  <c r="Q10" i="4"/>
  <c r="P10" i="4"/>
  <c r="Y9" i="4"/>
  <c r="X9" i="4"/>
  <c r="W9" i="4"/>
  <c r="V9" i="4"/>
  <c r="U9" i="4"/>
  <c r="T9" i="4"/>
  <c r="S9" i="4"/>
  <c r="S4" i="4" s="1"/>
  <c r="R9" i="4"/>
  <c r="Q9" i="4"/>
  <c r="P9" i="4"/>
  <c r="Y8" i="4"/>
  <c r="X8" i="4"/>
  <c r="W8" i="4"/>
  <c r="V8" i="4"/>
  <c r="V2" i="4" s="1"/>
  <c r="U8" i="4"/>
  <c r="U2" i="4" s="1"/>
  <c r="T8" i="4"/>
  <c r="S8" i="4"/>
  <c r="R8" i="4"/>
  <c r="Q8" i="4"/>
  <c r="P8" i="4"/>
  <c r="Y7" i="4"/>
  <c r="X7" i="4"/>
  <c r="W7" i="4"/>
  <c r="W2" i="4" s="1"/>
  <c r="V7" i="4"/>
  <c r="U7" i="4"/>
  <c r="T7" i="4"/>
  <c r="S7" i="4"/>
  <c r="R7" i="4"/>
  <c r="Q7" i="4"/>
  <c r="P7" i="4"/>
  <c r="P4" i="4" s="1"/>
  <c r="Y6" i="4"/>
  <c r="X6" i="4"/>
  <c r="W6" i="4"/>
  <c r="V6" i="4"/>
  <c r="U6" i="4"/>
  <c r="T6" i="4"/>
  <c r="T4" i="4" s="1"/>
  <c r="S6" i="4"/>
  <c r="R6" i="4"/>
  <c r="R4" i="4" s="1"/>
  <c r="Q6" i="4"/>
  <c r="P6" i="4"/>
  <c r="Q4" i="4"/>
  <c r="C4" i="4"/>
  <c r="Y23" i="3"/>
  <c r="X23" i="3"/>
  <c r="W23" i="3"/>
  <c r="V23" i="3"/>
  <c r="U23" i="3"/>
  <c r="T23" i="3"/>
  <c r="S23" i="3"/>
  <c r="R23" i="3"/>
  <c r="Q23" i="3"/>
  <c r="P23" i="3"/>
  <c r="Y41" i="3"/>
  <c r="X41" i="3"/>
  <c r="W41" i="3"/>
  <c r="V41" i="3"/>
  <c r="U41" i="3"/>
  <c r="T41" i="3"/>
  <c r="S41" i="3"/>
  <c r="R41" i="3"/>
  <c r="Q41" i="3"/>
  <c r="P41" i="3"/>
  <c r="Y37" i="3"/>
  <c r="X37" i="3"/>
  <c r="W37" i="3"/>
  <c r="V37" i="3"/>
  <c r="U37" i="3"/>
  <c r="T37" i="3"/>
  <c r="S37" i="3"/>
  <c r="R37" i="3"/>
  <c r="Q37" i="3"/>
  <c r="P37" i="3"/>
  <c r="Y20" i="3"/>
  <c r="X20" i="3"/>
  <c r="W20" i="3"/>
  <c r="V20" i="3"/>
  <c r="U20" i="3"/>
  <c r="T20" i="3"/>
  <c r="S20" i="3"/>
  <c r="R20" i="3"/>
  <c r="Q20" i="3"/>
  <c r="P20" i="3"/>
  <c r="Y44" i="3"/>
  <c r="X44" i="3"/>
  <c r="W44" i="3"/>
  <c r="V44" i="3"/>
  <c r="U44" i="3"/>
  <c r="T44" i="3"/>
  <c r="S44" i="3"/>
  <c r="R44" i="3"/>
  <c r="Q44" i="3"/>
  <c r="P44" i="3"/>
  <c r="Y31" i="3"/>
  <c r="X31" i="3"/>
  <c r="W31" i="3"/>
  <c r="V31" i="3"/>
  <c r="U31" i="3"/>
  <c r="T31" i="3"/>
  <c r="S31" i="3"/>
  <c r="R31" i="3"/>
  <c r="Q31" i="3"/>
  <c r="P31" i="3"/>
  <c r="Y16" i="3"/>
  <c r="X16" i="3"/>
  <c r="W16" i="3"/>
  <c r="V16" i="3"/>
  <c r="U16" i="3"/>
  <c r="T16" i="3"/>
  <c r="S16" i="3"/>
  <c r="R16" i="3"/>
  <c r="Q16" i="3"/>
  <c r="P16" i="3"/>
  <c r="Y18" i="3"/>
  <c r="X18" i="3"/>
  <c r="W18" i="3"/>
  <c r="V18" i="3"/>
  <c r="U18" i="3"/>
  <c r="T18" i="3"/>
  <c r="S18" i="3"/>
  <c r="R18" i="3"/>
  <c r="Q18" i="3"/>
  <c r="P18" i="3"/>
  <c r="Y33" i="3"/>
  <c r="X33" i="3"/>
  <c r="W33" i="3"/>
  <c r="V33" i="3"/>
  <c r="U33" i="3"/>
  <c r="T33" i="3"/>
  <c r="S33" i="3"/>
  <c r="R33" i="3"/>
  <c r="Q33" i="3"/>
  <c r="P33" i="3"/>
  <c r="Y13" i="3"/>
  <c r="X13" i="3"/>
  <c r="W13" i="3"/>
  <c r="V13" i="3"/>
  <c r="U13" i="3"/>
  <c r="T13" i="3"/>
  <c r="S13" i="3"/>
  <c r="R13" i="3"/>
  <c r="Q13" i="3"/>
  <c r="P13" i="3"/>
  <c r="Y12" i="3"/>
  <c r="X12" i="3"/>
  <c r="W12" i="3"/>
  <c r="V12" i="3"/>
  <c r="U12" i="3"/>
  <c r="T12" i="3"/>
  <c r="S12" i="3"/>
  <c r="R12" i="3"/>
  <c r="Q12" i="3"/>
  <c r="P12" i="3"/>
  <c r="Y21" i="3"/>
  <c r="X21" i="3"/>
  <c r="W21" i="3"/>
  <c r="V21" i="3"/>
  <c r="U21" i="3"/>
  <c r="T21" i="3"/>
  <c r="S21" i="3"/>
  <c r="R21" i="3"/>
  <c r="Q21" i="3"/>
  <c r="P21" i="3"/>
  <c r="Y22" i="3"/>
  <c r="X22" i="3"/>
  <c r="W22" i="3"/>
  <c r="V22" i="3"/>
  <c r="U22" i="3"/>
  <c r="T22" i="3"/>
  <c r="S22" i="3"/>
  <c r="R22" i="3"/>
  <c r="Q22" i="3"/>
  <c r="P22" i="3"/>
  <c r="Y30" i="3"/>
  <c r="X30" i="3"/>
  <c r="W30" i="3"/>
  <c r="V30" i="3"/>
  <c r="U30" i="3"/>
  <c r="T30" i="3"/>
  <c r="S30" i="3"/>
  <c r="R30" i="3"/>
  <c r="Q30" i="3"/>
  <c r="P30" i="3"/>
  <c r="Y28" i="3"/>
  <c r="X28" i="3"/>
  <c r="W28" i="3"/>
  <c r="V28" i="3"/>
  <c r="U28" i="3"/>
  <c r="T28" i="3"/>
  <c r="S28" i="3"/>
  <c r="R28" i="3"/>
  <c r="Q28" i="3"/>
  <c r="P28" i="3"/>
  <c r="Y42" i="3"/>
  <c r="X42" i="3"/>
  <c r="W42" i="3"/>
  <c r="V42" i="3"/>
  <c r="U42" i="3"/>
  <c r="T42" i="3"/>
  <c r="S42" i="3"/>
  <c r="R42" i="3"/>
  <c r="Q42" i="3"/>
  <c r="P42" i="3"/>
  <c r="Y40" i="3"/>
  <c r="X40" i="3"/>
  <c r="W40" i="3"/>
  <c r="V40" i="3"/>
  <c r="U40" i="3"/>
  <c r="T40" i="3"/>
  <c r="S40" i="3"/>
  <c r="R40" i="3"/>
  <c r="Q40" i="3"/>
  <c r="P40" i="3"/>
  <c r="Y6" i="3"/>
  <c r="X6" i="3"/>
  <c r="W6" i="3"/>
  <c r="V6" i="3"/>
  <c r="U6" i="3"/>
  <c r="T6" i="3"/>
  <c r="S6" i="3"/>
  <c r="R6" i="3"/>
  <c r="Q6" i="3"/>
  <c r="P6" i="3"/>
  <c r="Y8" i="3"/>
  <c r="X8" i="3"/>
  <c r="W8" i="3"/>
  <c r="V8" i="3"/>
  <c r="U8" i="3"/>
  <c r="T8" i="3"/>
  <c r="S8" i="3"/>
  <c r="R8" i="3"/>
  <c r="Q8" i="3"/>
  <c r="P8" i="3"/>
  <c r="Y36" i="3"/>
  <c r="X36" i="3"/>
  <c r="W36" i="3"/>
  <c r="V36" i="3"/>
  <c r="U36" i="3"/>
  <c r="T36" i="3"/>
  <c r="S36" i="3"/>
  <c r="R36" i="3"/>
  <c r="Q36" i="3"/>
  <c r="P36" i="3"/>
  <c r="Y32" i="3"/>
  <c r="X32" i="3"/>
  <c r="W32" i="3"/>
  <c r="V32" i="3"/>
  <c r="U32" i="3"/>
  <c r="T32" i="3"/>
  <c r="S32" i="3"/>
  <c r="R32" i="3"/>
  <c r="Q32" i="3"/>
  <c r="P32" i="3"/>
  <c r="Y38" i="3"/>
  <c r="X38" i="3"/>
  <c r="W38" i="3"/>
  <c r="V38" i="3"/>
  <c r="U38" i="3"/>
  <c r="T38" i="3"/>
  <c r="S38" i="3"/>
  <c r="R38" i="3"/>
  <c r="Q38" i="3"/>
  <c r="P38" i="3"/>
  <c r="Y19" i="3"/>
  <c r="X19" i="3"/>
  <c r="W19" i="3"/>
  <c r="V19" i="3"/>
  <c r="U19" i="3"/>
  <c r="T19" i="3"/>
  <c r="S19" i="3"/>
  <c r="R19" i="3"/>
  <c r="Q19" i="3"/>
  <c r="P19" i="3"/>
  <c r="Y14" i="3"/>
  <c r="X14" i="3"/>
  <c r="W14" i="3"/>
  <c r="V14" i="3"/>
  <c r="U14" i="3"/>
  <c r="T14" i="3"/>
  <c r="S14" i="3"/>
  <c r="R14" i="3"/>
  <c r="Q14" i="3"/>
  <c r="P14" i="3"/>
  <c r="Y7" i="3"/>
  <c r="X7" i="3"/>
  <c r="W7" i="3"/>
  <c r="V7" i="3"/>
  <c r="U7" i="3"/>
  <c r="T7" i="3"/>
  <c r="S7" i="3"/>
  <c r="R7" i="3"/>
  <c r="Q7" i="3"/>
  <c r="P7" i="3"/>
  <c r="Y27" i="3"/>
  <c r="X27" i="3"/>
  <c r="W27" i="3"/>
  <c r="V27" i="3"/>
  <c r="U27" i="3"/>
  <c r="T27" i="3"/>
  <c r="S27" i="3"/>
  <c r="R27" i="3"/>
  <c r="Q27" i="3"/>
  <c r="P27" i="3"/>
  <c r="Y43" i="3"/>
  <c r="X43" i="3"/>
  <c r="W43" i="3"/>
  <c r="V43" i="3"/>
  <c r="U43" i="3"/>
  <c r="T43" i="3"/>
  <c r="S43" i="3"/>
  <c r="R43" i="3"/>
  <c r="Q43" i="3"/>
  <c r="P43" i="3"/>
  <c r="Y17" i="3"/>
  <c r="X17" i="3"/>
  <c r="W17" i="3"/>
  <c r="V17" i="3"/>
  <c r="U17" i="3"/>
  <c r="T17" i="3"/>
  <c r="S17" i="3"/>
  <c r="R17" i="3"/>
  <c r="Q17" i="3"/>
  <c r="P17" i="3"/>
  <c r="Z21" i="3"/>
  <c r="Y24" i="3"/>
  <c r="X24" i="3"/>
  <c r="W24" i="3"/>
  <c r="V24" i="3"/>
  <c r="U24" i="3"/>
  <c r="T24" i="3"/>
  <c r="S24" i="3"/>
  <c r="R24" i="3"/>
  <c r="Q24" i="3"/>
  <c r="P24" i="3"/>
  <c r="Y11" i="3"/>
  <c r="X11" i="3"/>
  <c r="W11" i="3"/>
  <c r="V11" i="3"/>
  <c r="U11" i="3"/>
  <c r="T11" i="3"/>
  <c r="S11" i="3"/>
  <c r="R11" i="3"/>
  <c r="Q11" i="3"/>
  <c r="P11" i="3"/>
  <c r="Y35" i="3"/>
  <c r="X35" i="3"/>
  <c r="W35" i="3"/>
  <c r="V35" i="3"/>
  <c r="U35" i="3"/>
  <c r="T35" i="3"/>
  <c r="S35" i="3"/>
  <c r="R35" i="3"/>
  <c r="Q35" i="3"/>
  <c r="P35" i="3"/>
  <c r="Y9" i="3"/>
  <c r="X9" i="3"/>
  <c r="W9" i="3"/>
  <c r="V9" i="3"/>
  <c r="U9" i="3"/>
  <c r="T9" i="3"/>
  <c r="S9" i="3"/>
  <c r="R9" i="3"/>
  <c r="Q9" i="3"/>
  <c r="P9" i="3"/>
  <c r="Y26" i="3"/>
  <c r="X26" i="3"/>
  <c r="W26" i="3"/>
  <c r="V26" i="3"/>
  <c r="U26" i="3"/>
  <c r="T26" i="3"/>
  <c r="S26" i="3"/>
  <c r="R26" i="3"/>
  <c r="Q26" i="3"/>
  <c r="P26" i="3"/>
  <c r="Y29" i="3"/>
  <c r="X29" i="3"/>
  <c r="W29" i="3"/>
  <c r="V29" i="3"/>
  <c r="U29" i="3"/>
  <c r="T29" i="3"/>
  <c r="S29" i="3"/>
  <c r="R29" i="3"/>
  <c r="Q29" i="3"/>
  <c r="P29" i="3"/>
  <c r="C4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X51" i="1"/>
  <c r="X35" i="1"/>
  <c r="X27" i="1"/>
  <c r="X34" i="1"/>
  <c r="X18" i="1"/>
  <c r="X7" i="1"/>
  <c r="X20" i="1"/>
  <c r="X43" i="1"/>
  <c r="X44" i="1"/>
  <c r="X29" i="1"/>
  <c r="X10" i="1"/>
  <c r="X48" i="1"/>
  <c r="X25" i="1"/>
  <c r="X22" i="1"/>
  <c r="X45" i="1"/>
  <c r="X12" i="1"/>
  <c r="X28" i="1"/>
  <c r="X47" i="1"/>
  <c r="X30" i="1"/>
  <c r="X13" i="1"/>
  <c r="X52" i="1"/>
  <c r="X15" i="1"/>
  <c r="X42" i="1"/>
  <c r="X40" i="1"/>
  <c r="X55" i="1"/>
  <c r="X6" i="1"/>
  <c r="X21" i="1"/>
  <c r="X9" i="1"/>
  <c r="X17" i="1"/>
  <c r="X26" i="1"/>
  <c r="X41" i="1"/>
  <c r="X38" i="1"/>
  <c r="X23" i="1"/>
  <c r="X16" i="1"/>
  <c r="X39" i="1"/>
  <c r="X49" i="1"/>
  <c r="X32" i="1"/>
  <c r="X46" i="1"/>
  <c r="X8" i="1"/>
  <c r="X19" i="1"/>
  <c r="X33" i="1"/>
  <c r="X53" i="1"/>
  <c r="X31" i="1"/>
  <c r="X11" i="1"/>
  <c r="X36" i="1"/>
  <c r="X54" i="1"/>
  <c r="X37" i="1"/>
  <c r="X24" i="1"/>
  <c r="X50" i="1"/>
  <c r="X14" i="1"/>
  <c r="Z21" i="1"/>
  <c r="C4" i="1"/>
  <c r="W44" i="1"/>
  <c r="W29" i="1"/>
  <c r="W10" i="1"/>
  <c r="W48" i="1"/>
  <c r="W55" i="1"/>
  <c r="W6" i="1"/>
  <c r="W21" i="1"/>
  <c r="W9" i="1"/>
  <c r="W17" i="1"/>
  <c r="W26" i="1"/>
  <c r="W41" i="1"/>
  <c r="W38" i="1"/>
  <c r="W33" i="1"/>
  <c r="W53" i="1"/>
  <c r="W31" i="1"/>
  <c r="W11" i="1"/>
  <c r="W36" i="1"/>
  <c r="W54" i="1"/>
  <c r="W37" i="1"/>
  <c r="W24" i="1"/>
  <c r="W7" i="1"/>
  <c r="W20" i="1"/>
  <c r="W16" i="1"/>
  <c r="W15" i="1"/>
  <c r="W22" i="1"/>
  <c r="W19" i="1"/>
  <c r="W12" i="1"/>
  <c r="W25" i="1"/>
  <c r="W30" i="1"/>
  <c r="W14" i="1"/>
  <c r="W13" i="1"/>
  <c r="W42" i="1"/>
  <c r="W32" i="1"/>
  <c r="W39" i="1"/>
  <c r="W40" i="1"/>
  <c r="W35" i="1"/>
  <c r="W28" i="1"/>
  <c r="W27" i="1"/>
  <c r="W43" i="1"/>
  <c r="W49" i="1"/>
  <c r="W45" i="1"/>
  <c r="W51" i="1"/>
  <c r="W47" i="1"/>
  <c r="W46" i="1"/>
  <c r="W50" i="1"/>
  <c r="W52" i="1"/>
  <c r="W23" i="1"/>
  <c r="W18" i="1"/>
  <c r="W34" i="1"/>
  <c r="W8" i="1"/>
  <c r="T44" i="1"/>
  <c r="T29" i="1"/>
  <c r="T10" i="1"/>
  <c r="T48" i="1"/>
  <c r="T55" i="1"/>
  <c r="T6" i="1"/>
  <c r="T21" i="1"/>
  <c r="T9" i="1"/>
  <c r="T17" i="1"/>
  <c r="T26" i="1"/>
  <c r="T41" i="1"/>
  <c r="T38" i="1"/>
  <c r="T33" i="1"/>
  <c r="T53" i="1"/>
  <c r="T31" i="1"/>
  <c r="T11" i="1"/>
  <c r="T36" i="1"/>
  <c r="T54" i="1"/>
  <c r="T37" i="1"/>
  <c r="T24" i="1"/>
  <c r="T7" i="1"/>
  <c r="T20" i="1"/>
  <c r="T16" i="1"/>
  <c r="T15" i="1"/>
  <c r="T22" i="1"/>
  <c r="T19" i="1"/>
  <c r="T12" i="1"/>
  <c r="T25" i="1"/>
  <c r="T30" i="1"/>
  <c r="T14" i="1"/>
  <c r="T13" i="1"/>
  <c r="T42" i="1"/>
  <c r="T32" i="1"/>
  <c r="T39" i="1"/>
  <c r="T40" i="1"/>
  <c r="T35" i="1"/>
  <c r="T28" i="1"/>
  <c r="T27" i="1"/>
  <c r="T43" i="1"/>
  <c r="T49" i="1"/>
  <c r="T45" i="1"/>
  <c r="T51" i="1"/>
  <c r="T47" i="1"/>
  <c r="T46" i="1"/>
  <c r="T50" i="1"/>
  <c r="T52" i="1"/>
  <c r="T23" i="1"/>
  <c r="T18" i="1"/>
  <c r="T34" i="1"/>
  <c r="T8" i="1"/>
  <c r="V51" i="1"/>
  <c r="V35" i="1"/>
  <c r="V27" i="1"/>
  <c r="V34" i="1"/>
  <c r="V18" i="1"/>
  <c r="V7" i="1"/>
  <c r="V20" i="1"/>
  <c r="V43" i="1"/>
  <c r="V44" i="1"/>
  <c r="V29" i="1"/>
  <c r="V10" i="1"/>
  <c r="V48" i="1"/>
  <c r="V25" i="1"/>
  <c r="V22" i="1"/>
  <c r="V45" i="1"/>
  <c r="V12" i="1"/>
  <c r="V28" i="1"/>
  <c r="V47" i="1"/>
  <c r="V30" i="1"/>
  <c r="V13" i="1"/>
  <c r="V52" i="1"/>
  <c r="V15" i="1"/>
  <c r="V42" i="1"/>
  <c r="V40" i="1"/>
  <c r="V55" i="1"/>
  <c r="V6" i="1"/>
  <c r="V21" i="1"/>
  <c r="V9" i="1"/>
  <c r="V17" i="1"/>
  <c r="V26" i="1"/>
  <c r="V41" i="1"/>
  <c r="V38" i="1"/>
  <c r="V23" i="1"/>
  <c r="V16" i="1"/>
  <c r="V39" i="1"/>
  <c r="V49" i="1"/>
  <c r="V32" i="1"/>
  <c r="V46" i="1"/>
  <c r="V8" i="1"/>
  <c r="V19" i="1"/>
  <c r="V33" i="1"/>
  <c r="V53" i="1"/>
  <c r="V31" i="1"/>
  <c r="V11" i="1"/>
  <c r="V36" i="1"/>
  <c r="V54" i="1"/>
  <c r="V37" i="1"/>
  <c r="V24" i="1"/>
  <c r="V50" i="1"/>
  <c r="V14" i="1"/>
  <c r="U51" i="1"/>
  <c r="U35" i="1"/>
  <c r="U27" i="1"/>
  <c r="U34" i="1"/>
  <c r="U18" i="1"/>
  <c r="U7" i="1"/>
  <c r="U20" i="1"/>
  <c r="U43" i="1"/>
  <c r="U44" i="1"/>
  <c r="U29" i="1"/>
  <c r="U10" i="1"/>
  <c r="U48" i="1"/>
  <c r="U25" i="1"/>
  <c r="U22" i="1"/>
  <c r="U45" i="1"/>
  <c r="U12" i="1"/>
  <c r="U28" i="1"/>
  <c r="U47" i="1"/>
  <c r="U30" i="1"/>
  <c r="U13" i="1"/>
  <c r="U52" i="1"/>
  <c r="U15" i="1"/>
  <c r="U42" i="1"/>
  <c r="U40" i="1"/>
  <c r="U55" i="1"/>
  <c r="U6" i="1"/>
  <c r="U21" i="1"/>
  <c r="U9" i="1"/>
  <c r="U17" i="1"/>
  <c r="U26" i="1"/>
  <c r="U41" i="1"/>
  <c r="U38" i="1"/>
  <c r="U23" i="1"/>
  <c r="U16" i="1"/>
  <c r="U39" i="1"/>
  <c r="U49" i="1"/>
  <c r="U32" i="1"/>
  <c r="U46" i="1"/>
  <c r="U8" i="1"/>
  <c r="U19" i="1"/>
  <c r="U33" i="1"/>
  <c r="U53" i="1"/>
  <c r="U31" i="1"/>
  <c r="U11" i="1"/>
  <c r="U36" i="1"/>
  <c r="U54" i="1"/>
  <c r="U37" i="1"/>
  <c r="U24" i="1"/>
  <c r="U50" i="1"/>
  <c r="U14" i="1"/>
  <c r="S51" i="1"/>
  <c r="S35" i="1"/>
  <c r="S27" i="1"/>
  <c r="S34" i="1"/>
  <c r="S18" i="1"/>
  <c r="S7" i="1"/>
  <c r="S20" i="1"/>
  <c r="S43" i="1"/>
  <c r="S44" i="1"/>
  <c r="S29" i="1"/>
  <c r="S10" i="1"/>
  <c r="S48" i="1"/>
  <c r="S25" i="1"/>
  <c r="S22" i="1"/>
  <c r="S45" i="1"/>
  <c r="S12" i="1"/>
  <c r="S28" i="1"/>
  <c r="S47" i="1"/>
  <c r="S30" i="1"/>
  <c r="S13" i="1"/>
  <c r="S52" i="1"/>
  <c r="S15" i="1"/>
  <c r="S42" i="1"/>
  <c r="S40" i="1"/>
  <c r="S55" i="1"/>
  <c r="S6" i="1"/>
  <c r="S21" i="1"/>
  <c r="S9" i="1"/>
  <c r="S17" i="1"/>
  <c r="S26" i="1"/>
  <c r="S41" i="1"/>
  <c r="S38" i="1"/>
  <c r="S23" i="1"/>
  <c r="S16" i="1"/>
  <c r="S39" i="1"/>
  <c r="S49" i="1"/>
  <c r="S32" i="1"/>
  <c r="S46" i="1"/>
  <c r="S8" i="1"/>
  <c r="S19" i="1"/>
  <c r="S33" i="1"/>
  <c r="S53" i="1"/>
  <c r="S31" i="1"/>
  <c r="S11" i="1"/>
  <c r="S36" i="1"/>
  <c r="S54" i="1"/>
  <c r="S37" i="1"/>
  <c r="S24" i="1"/>
  <c r="S50" i="1"/>
  <c r="S14" i="1"/>
  <c r="R51" i="1"/>
  <c r="R35" i="1"/>
  <c r="R27" i="1"/>
  <c r="R34" i="1"/>
  <c r="R18" i="1"/>
  <c r="R7" i="1"/>
  <c r="R20" i="1"/>
  <c r="R43" i="1"/>
  <c r="R44" i="1"/>
  <c r="R29" i="1"/>
  <c r="R10" i="1"/>
  <c r="R48" i="1"/>
  <c r="R25" i="1"/>
  <c r="R22" i="1"/>
  <c r="R45" i="1"/>
  <c r="R12" i="1"/>
  <c r="R28" i="1"/>
  <c r="R47" i="1"/>
  <c r="R30" i="1"/>
  <c r="R13" i="1"/>
  <c r="R52" i="1"/>
  <c r="R15" i="1"/>
  <c r="R42" i="1"/>
  <c r="R40" i="1"/>
  <c r="R55" i="1"/>
  <c r="R6" i="1"/>
  <c r="R21" i="1"/>
  <c r="R9" i="1"/>
  <c r="R17" i="1"/>
  <c r="R26" i="1"/>
  <c r="R41" i="1"/>
  <c r="R38" i="1"/>
  <c r="R23" i="1"/>
  <c r="R16" i="1"/>
  <c r="R39" i="1"/>
  <c r="R49" i="1"/>
  <c r="R32" i="1"/>
  <c r="R46" i="1"/>
  <c r="R8" i="1"/>
  <c r="R19" i="1"/>
  <c r="R33" i="1"/>
  <c r="R53" i="1"/>
  <c r="R31" i="1"/>
  <c r="R11" i="1"/>
  <c r="R36" i="1"/>
  <c r="R54" i="1"/>
  <c r="R37" i="1"/>
  <c r="R24" i="1"/>
  <c r="R50" i="1"/>
  <c r="R14" i="1"/>
  <c r="Q51" i="1"/>
  <c r="Q35" i="1"/>
  <c r="Q27" i="1"/>
  <c r="Q34" i="1"/>
  <c r="Q18" i="1"/>
  <c r="Q7" i="1"/>
  <c r="Q20" i="1"/>
  <c r="Q43" i="1"/>
  <c r="Q44" i="1"/>
  <c r="Q29" i="1"/>
  <c r="Q10" i="1"/>
  <c r="Q48" i="1"/>
  <c r="Q25" i="1"/>
  <c r="Q22" i="1"/>
  <c r="Q45" i="1"/>
  <c r="Q12" i="1"/>
  <c r="Q28" i="1"/>
  <c r="Q47" i="1"/>
  <c r="Q30" i="1"/>
  <c r="Q13" i="1"/>
  <c r="Q52" i="1"/>
  <c r="Q15" i="1"/>
  <c r="Q42" i="1"/>
  <c r="Q40" i="1"/>
  <c r="Q55" i="1"/>
  <c r="Q6" i="1"/>
  <c r="Q21" i="1"/>
  <c r="Q9" i="1"/>
  <c r="Q17" i="1"/>
  <c r="Q26" i="1"/>
  <c r="Q41" i="1"/>
  <c r="Q38" i="1"/>
  <c r="Q23" i="1"/>
  <c r="Q16" i="1"/>
  <c r="Q39" i="1"/>
  <c r="Q49" i="1"/>
  <c r="Q32" i="1"/>
  <c r="Q46" i="1"/>
  <c r="Q8" i="1"/>
  <c r="Q19" i="1"/>
  <c r="Q33" i="1"/>
  <c r="Q53" i="1"/>
  <c r="Q31" i="1"/>
  <c r="Q11" i="1"/>
  <c r="Q36" i="1"/>
  <c r="Q54" i="1"/>
  <c r="Q37" i="1"/>
  <c r="Q24" i="1"/>
  <c r="Q50" i="1"/>
  <c r="Q14" i="1"/>
  <c r="P51" i="1"/>
  <c r="P35" i="1"/>
  <c r="P27" i="1"/>
  <c r="P34" i="1"/>
  <c r="P18" i="1"/>
  <c r="P7" i="1"/>
  <c r="P20" i="1"/>
  <c r="P43" i="1"/>
  <c r="P44" i="1"/>
  <c r="P29" i="1"/>
  <c r="P10" i="1"/>
  <c r="P48" i="1"/>
  <c r="P25" i="1"/>
  <c r="P22" i="1"/>
  <c r="P45" i="1"/>
  <c r="P12" i="1"/>
  <c r="P28" i="1"/>
  <c r="P47" i="1"/>
  <c r="P30" i="1"/>
  <c r="P13" i="1"/>
  <c r="P52" i="1"/>
  <c r="P15" i="1"/>
  <c r="P42" i="1"/>
  <c r="P40" i="1"/>
  <c r="P55" i="1"/>
  <c r="P6" i="1"/>
  <c r="P21" i="1"/>
  <c r="P9" i="1"/>
  <c r="P17" i="1"/>
  <c r="P26" i="1"/>
  <c r="P41" i="1"/>
  <c r="P38" i="1"/>
  <c r="P23" i="1"/>
  <c r="P16" i="1"/>
  <c r="P39" i="1"/>
  <c r="P49" i="1"/>
  <c r="P32" i="1"/>
  <c r="P46" i="1"/>
  <c r="P8" i="1"/>
  <c r="P19" i="1"/>
  <c r="P33" i="1"/>
  <c r="P53" i="1"/>
  <c r="P31" i="1"/>
  <c r="P11" i="1"/>
  <c r="P36" i="1"/>
  <c r="P54" i="1"/>
  <c r="P37" i="1"/>
  <c r="P24" i="1"/>
  <c r="P50" i="1"/>
  <c r="P14" i="1"/>
  <c r="U2" i="3" l="1"/>
  <c r="R2" i="3"/>
  <c r="P4" i="3"/>
  <c r="S4" i="3"/>
  <c r="V4" i="3"/>
  <c r="W4" i="3"/>
  <c r="U4" i="3"/>
  <c r="S2" i="3"/>
  <c r="Q4" i="3"/>
  <c r="T2" i="3"/>
  <c r="V2" i="3"/>
  <c r="W2" i="3"/>
  <c r="R4" i="3"/>
  <c r="T4" i="3"/>
  <c r="S2" i="4"/>
  <c r="U4" i="4"/>
  <c r="T2" i="4"/>
  <c r="V4" i="4"/>
  <c r="W4" i="4"/>
  <c r="T2" i="1"/>
  <c r="R2" i="1"/>
  <c r="W2" i="1"/>
  <c r="S2" i="1"/>
  <c r="U2" i="1"/>
  <c r="V2" i="1"/>
  <c r="V4" i="1"/>
  <c r="W4" i="1"/>
  <c r="U4" i="1"/>
  <c r="T4" i="1"/>
  <c r="R4" i="1"/>
  <c r="S4" i="1"/>
  <c r="P4" i="1"/>
  <c r="Q4" i="1"/>
</calcChain>
</file>

<file path=xl/sharedStrings.xml><?xml version="1.0" encoding="utf-8"?>
<sst xmlns="http://schemas.openxmlformats.org/spreadsheetml/2006/main" count="382" uniqueCount="55">
  <si>
    <t>R-stock-med</t>
  </si>
  <si>
    <t>R-bond-med</t>
  </si>
  <si>
    <t>R-500-med</t>
  </si>
  <si>
    <t>D-stock-med</t>
  </si>
  <si>
    <t>D-bond-med</t>
  </si>
  <si>
    <t>D-500-med</t>
  </si>
  <si>
    <t>yr-ct</t>
  </si>
  <si>
    <t>R-ct</t>
  </si>
  <si>
    <t>D-ct</t>
  </si>
  <si>
    <t>R-stock-avg</t>
  </si>
  <si>
    <t>R-bond-avg</t>
  </si>
  <si>
    <t>R-500-avg</t>
  </si>
  <si>
    <t>D-stock-avg</t>
  </si>
  <si>
    <t>D-bond-avg</t>
  </si>
  <si>
    <t>D-500-avg</t>
  </si>
  <si>
    <t>President</t>
  </si>
  <si>
    <t>Party</t>
  </si>
  <si>
    <r>
      <t> </t>
    </r>
    <r>
      <rPr>
        <sz val="12"/>
        <color theme="1"/>
        <rFont val="Calibri"/>
        <family val="2"/>
        <scheme val="minor"/>
      </rPr>
      <t>Year</t>
    </r>
  </si>
  <si>
    <t>100% Bonds </t>
  </si>
  <si>
    <t>10/90 </t>
  </si>
  <si>
    <t>20/80</t>
  </si>
  <si>
    <t>30/70 </t>
  </si>
  <si>
    <t>40/60</t>
  </si>
  <si>
    <t>50/50 </t>
  </si>
  <si>
    <t>60/40</t>
  </si>
  <si>
    <t>70/30</t>
  </si>
  <si>
    <t>80/20 </t>
  </si>
  <si>
    <t>90/10</t>
  </si>
  <si>
    <t>100%Stock</t>
  </si>
  <si>
    <t>S&amp;P 500 Index </t>
  </si>
  <si>
    <t>R</t>
  </si>
  <si>
    <t>D</t>
  </si>
  <si>
    <t>R-stock</t>
  </si>
  <si>
    <t>R-bond</t>
  </si>
  <si>
    <t>R-500</t>
  </si>
  <si>
    <t>D-stock</t>
  </si>
  <si>
    <t>D-bond</t>
  </si>
  <si>
    <t>D-500</t>
  </si>
  <si>
    <t>abs-val-sp500</t>
  </si>
  <si>
    <t>abs-val-bond</t>
  </si>
  <si>
    <t>Bill Clinton</t>
  </si>
  <si>
    <t>Democratic</t>
  </si>
  <si>
    <t>Gerald Ford</t>
  </si>
  <si>
    <t>Republican</t>
  </si>
  <si>
    <t>George W. Bush</t>
  </si>
  <si>
    <t>Jimmy Carter</t>
  </si>
  <si>
    <t>Barack Obama</t>
  </si>
  <si>
    <t>Ronald Reagan</t>
  </si>
  <si>
    <t>George H.W. Bush</t>
  </si>
  <si>
    <t>Donald Trump</t>
  </si>
  <si>
    <t>Richard Nixon</t>
  </si>
  <si>
    <t>The Merriman Financial Education Foundation</t>
  </si>
  <si>
    <t>https://paulmerriman.com/wp-content/uploads/2020/03/2020-Fine-Tuning-Table-4-Fund-Combox-4.pdf</t>
  </si>
  <si>
    <t>Year</t>
  </si>
  <si>
    <t>100%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</si>
</sst>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10" fontId="0" fillId="0" borderId="0" xfId="0" applyNumberFormat="1" applyFont="1"/>
    <xf numFmtId="10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164" fontId="0" fillId="0" borderId="0" xfId="1" applyNumberFormat="1" applyFont="1"/>
    <xf numFmtId="0" fontId="3" fillId="2" borderId="2" xfId="0" applyFont="1" applyFill="1" applyBorder="1"/>
    <xf numFmtId="164" fontId="0" fillId="3" borderId="1" xfId="1" applyNumberFormat="1" applyFont="1" applyFill="1" applyBorder="1"/>
  </cellXfs>
  <cellStyles count="2">
    <cellStyle name="Normal" xfId="0" builtinId="0"/>
    <cellStyle name="Percent" xfId="1" builtinId="5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C46BB-78A9-CB46-930C-F42456178ECB}" name="Table1" displayName="Table1" ref="A5:Y55" totalsRowShown="0" headerRowDxfId="119" dataDxfId="118">
  <autoFilter ref="A5:Y55" xr:uid="{EE991C96-FDAE-2144-8D6C-D2D25D938DC6}"/>
  <sortState xmlns:xlrd2="http://schemas.microsoft.com/office/spreadsheetml/2017/richdata2" ref="A6:X55">
    <sortCondition descending="1" ref="X5:X55"/>
  </sortState>
  <tableColumns count="25">
    <tableColumn id="1" xr3:uid="{91823644-EF50-F84D-B930-423FAF417A0C}" name="President" dataDxfId="117"/>
    <tableColumn id="2" xr3:uid="{BA344219-91AA-E043-9862-3070CBB0E173}" name="Party" dataDxfId="116"/>
    <tableColumn id="3" xr3:uid="{BB09E826-F606-3842-943B-DD751344355D}" name=" Year" dataDxfId="115"/>
    <tableColumn id="4" xr3:uid="{950CF3A4-B02D-204B-BC15-2312731655A6}" name="100% Bonds " dataDxfId="114"/>
    <tableColumn id="5" xr3:uid="{77087B00-DB86-5E47-8A8B-26141ED20E8C}" name="10/90 " dataDxfId="113"/>
    <tableColumn id="6" xr3:uid="{72416AEF-CBDF-404C-BC0C-F1A01F246CDD}" name="20/80" dataDxfId="112"/>
    <tableColumn id="7" xr3:uid="{AEC62FE0-0BC7-4644-B9C8-2EB384322267}" name="30/70 " dataDxfId="111"/>
    <tableColumn id="8" xr3:uid="{68646A6B-6FC9-C94B-9DCD-03CD4C8C60F5}" name="40/60" dataDxfId="110"/>
    <tableColumn id="9" xr3:uid="{8C65D555-7449-054B-8D1A-BCFE9E066C9F}" name="50/50 " dataDxfId="109"/>
    <tableColumn id="10" xr3:uid="{23A10E8F-07E1-2946-BB89-C365D1D48DDD}" name="60/40" dataDxfId="108"/>
    <tableColumn id="11" xr3:uid="{6E544DED-F1A4-C942-9852-16F342E10567}" name="70/30" dataDxfId="107"/>
    <tableColumn id="12" xr3:uid="{D4E40E01-A397-684C-9B7D-463478FF3B73}" name="80/20 " dataDxfId="106"/>
    <tableColumn id="13" xr3:uid="{409A4409-BF11-9845-9611-679AC5D4062E}" name="90/10" dataDxfId="105"/>
    <tableColumn id="14" xr3:uid="{15FB0974-3FBB-8C4C-AFF4-B81B1B0E3FDD}" name="100%Stock" dataDxfId="104"/>
    <tableColumn id="15" xr3:uid="{A9E6C933-B0FC-9541-A87E-8B336883C2EA}" name="S&amp;P 500 Index " dataDxfId="103"/>
    <tableColumn id="16" xr3:uid="{DA8992EA-4385-8644-A76A-B49D4D2F7E37}" name="R" dataDxfId="102">
      <calculatedColumnFormula>IF(Table1[[#This Row],[Party]]="Republican",1,0)</calculatedColumnFormula>
    </tableColumn>
    <tableColumn id="17" xr3:uid="{A8805A7B-D7EC-694D-8EFC-78EE4244BE47}" name="D" dataDxfId="101">
      <calculatedColumnFormula>IF(Table1[[#This Row],[Party]]="Democratic",1,0)</calculatedColumnFormula>
    </tableColumn>
    <tableColumn id="18" xr3:uid="{E666A804-C73B-1D4D-986D-9184435D27C9}" name="R-stock" dataDxfId="100">
      <calculatedColumnFormula>IF(Table1[[#This Row],[Party]]="Republican",Table1[[#This Row],[100%Stock]],"null")</calculatedColumnFormula>
    </tableColumn>
    <tableColumn id="19" xr3:uid="{83E11D4D-9E44-BE4A-97C1-24526D78894F}" name="R-bond" dataDxfId="99">
      <calculatedColumnFormula>IF(Table1[[#This Row],[Party]]="Republican",Table1[[#This Row],[100% Bonds ]],"null")</calculatedColumnFormula>
    </tableColumn>
    <tableColumn id="22" xr3:uid="{BF969A8C-5738-504B-B811-2A712597FACD}" name="R-500" dataDxfId="98">
      <calculatedColumnFormula>IF(Table1[[#This Row],[Party]]="Republican",Table1[[#This Row],[S&amp;P 500 Index ]],"null")</calculatedColumnFormula>
    </tableColumn>
    <tableColumn id="20" xr3:uid="{FD9B6304-380C-8041-BC53-8427F4C1A75D}" name="D-stock" dataDxfId="97">
      <calculatedColumnFormula>IF(Table1[[#This Row],[Party]]="Democratic",Table1[[#This Row],[100%Stock]],"null")</calculatedColumnFormula>
    </tableColumn>
    <tableColumn id="21" xr3:uid="{07C78B9B-CE03-084B-AB18-7E0E52A4D683}" name="D-bond" dataDxfId="96">
      <calculatedColumnFormula>IF(Table1[[#This Row],[Party]]="Democratic",Table1[[#This Row],[100% Bonds ]],"null")</calculatedColumnFormula>
    </tableColumn>
    <tableColumn id="23" xr3:uid="{3197A961-C831-5C4C-A2DC-7E11DCBC751F}" name="D-500" dataDxfId="95">
      <calculatedColumnFormula>IF(Table1[[#This Row],[Party]]="Democratic",Table1[[#This Row],[S&amp;P 500 Index ]],"null")</calculatedColumnFormula>
    </tableColumn>
    <tableColumn id="24" xr3:uid="{4FBF773A-A863-1F4E-B596-4A23490FA4F9}" name="abs-val-sp500" dataDxfId="94">
      <calculatedColumnFormula>ABS(Table1[[#This Row],[S&amp;P 500 Index ]])</calculatedColumnFormula>
    </tableColumn>
    <tableColumn id="25" xr3:uid="{DF304A0E-FF82-8C45-9B34-3F1C200E9900}" name="abs-val-bond" dataDxfId="93">
      <calculatedColumnFormula>ABS(Table1[[#This Row],[100% Bonds 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62B652-7FC2-D34C-8859-F3D2C210C3B1}" name="Table28" displayName="Table28" ref="P3:W4" totalsRowShown="0">
  <autoFilter ref="P3:W4" xr:uid="{96975430-94FF-8B42-8DE7-660F0C87FC2F}"/>
  <tableColumns count="8">
    <tableColumn id="1" xr3:uid="{5F320FA6-FFFE-D14F-907B-49EA51F2A783}" name="R-ct">
      <calculatedColumnFormula>SUM(Table17[R])</calculatedColumnFormula>
    </tableColumn>
    <tableColumn id="2" xr3:uid="{F0BB98ED-1B2A-6B4E-B07B-ED7FF2829423}" name="D-ct">
      <calculatedColumnFormula>SUM(Table17[D])</calculatedColumnFormula>
    </tableColumn>
    <tableColumn id="3" xr3:uid="{A1C7A009-2A47-024C-BDE7-F675BDE6E5FE}" name="R-stock-avg" dataDxfId="12" dataCellStyle="Percent">
      <calculatedColumnFormula>AVERAGE(Table17[R-stock])</calculatedColumnFormula>
    </tableColumn>
    <tableColumn id="4" xr3:uid="{DD1CAC8E-DA8E-7641-B33F-13ECA0383234}" name="R-bond-avg" dataDxfId="11" dataCellStyle="Percent">
      <calculatedColumnFormula>AVERAGE(Table17[R-bond])</calculatedColumnFormula>
    </tableColumn>
    <tableColumn id="7" xr3:uid="{DC3E5010-481E-8345-89AB-B0D9257EA17A}" name="R-500-avg" dataDxfId="10" dataCellStyle="Percent">
      <calculatedColumnFormula>AVERAGE(Table17[R-500])</calculatedColumnFormula>
    </tableColumn>
    <tableColumn id="5" xr3:uid="{44F565BD-F2FD-4541-9955-D0BD28D339CA}" name="D-stock-avg" dataDxfId="9" dataCellStyle="Percent">
      <calculatedColumnFormula>AVERAGE(Table17[D-stock])</calculatedColumnFormula>
    </tableColumn>
    <tableColumn id="6" xr3:uid="{1D435D4C-77D0-F146-BB14-D66BE3CEAC4D}" name="D-bond-avg" dataDxfId="8" dataCellStyle="Percent">
      <calculatedColumnFormula>AVERAGE(Table17[D-bond])</calculatedColumnFormula>
    </tableColumn>
    <tableColumn id="8" xr3:uid="{FF076DC4-8045-7A43-B951-6BDA8604ACFB}" name="D-500-avg" dataDxfId="7" dataCellStyle="Percent">
      <calculatedColumnFormula>AVERAGE(Table17[D-500])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AA0EAB-508B-E74A-AABD-191346E3A5F4}" name="Table39" displayName="Table39" ref="C3:C4" totalsRowShown="0">
  <autoFilter ref="C3:C4" xr:uid="{08043EEC-99B4-A14F-A667-720E53F3522A}"/>
  <tableColumns count="1">
    <tableColumn id="1" xr3:uid="{94167E6B-F149-B145-85F2-8AA118974F67}" name="yr-ct">
      <calculatedColumnFormula>COUNTA(Table17[Year])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5E19B0-EA0D-B54C-B8B0-3FF4EA3EF800}" name="Table510" displayName="Table510" ref="R1:W2" totalsRowShown="0" dataDxfId="6" dataCellStyle="Percent">
  <autoFilter ref="R1:W2" xr:uid="{9935C466-4B50-2D4E-AA86-AA8519215681}"/>
  <tableColumns count="6">
    <tableColumn id="1" xr3:uid="{3473A318-AD0E-4D4F-9D67-5545874248BB}" name="R-stock-med" dataDxfId="5" dataCellStyle="Percent">
      <calculatedColumnFormula>MEDIAN(Table17[R-stock])</calculatedColumnFormula>
    </tableColumn>
    <tableColumn id="2" xr3:uid="{B05026C0-1828-4640-B70F-C1BDE0BE593A}" name="R-bond-med" dataDxfId="4" dataCellStyle="Percent">
      <calculatedColumnFormula>MEDIAN(Table17[R-bond])</calculatedColumnFormula>
    </tableColumn>
    <tableColumn id="3" xr3:uid="{9122BB85-621B-F140-932E-13EDE1E3B1E2}" name="R-500-med" dataDxfId="3" dataCellStyle="Percent">
      <calculatedColumnFormula>MEDIAN(Table17[R-500])</calculatedColumnFormula>
    </tableColumn>
    <tableColumn id="4" xr3:uid="{19FDEA84-CE95-764A-9E65-1512C71BC26F}" name="D-stock-med" dataDxfId="2" dataCellStyle="Percent">
      <calculatedColumnFormula>MEDIAN(Table17[D-stock])</calculatedColumnFormula>
    </tableColumn>
    <tableColumn id="5" xr3:uid="{CBD72AC2-7CC2-1640-8768-9CD8A9E634CE}" name="D-bond-med" dataDxfId="1" dataCellStyle="Percent">
      <calculatedColumnFormula>MEDIAN(Table17[D-bond])</calculatedColumnFormula>
    </tableColumn>
    <tableColumn id="6" xr3:uid="{A3D2BCAD-A45B-E54A-AD07-616245501659}" name="D-500-med" dataDxfId="0" dataCellStyle="Percent">
      <calculatedColumnFormula>MEDIAN(Table17[D-500])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4B1C71-3195-4042-A74E-CF2603DB1BF6}" name="Table2" displayName="Table2" ref="P3:W4" totalsRowShown="0">
  <autoFilter ref="P3:W4" xr:uid="{96975430-94FF-8B42-8DE7-660F0C87FC2F}"/>
  <tableColumns count="8">
    <tableColumn id="1" xr3:uid="{21C48BF4-9D7A-0E4A-A7C7-AE1AACFBEECE}" name="R-ct">
      <calculatedColumnFormula>SUM(Table1[R])</calculatedColumnFormula>
    </tableColumn>
    <tableColumn id="2" xr3:uid="{95002B6A-230C-D549-B87D-F5E275939A46}" name="D-ct">
      <calculatedColumnFormula>SUM(Table1[D])</calculatedColumnFormula>
    </tableColumn>
    <tableColumn id="3" xr3:uid="{58408025-9329-E845-A024-CA1B675D9B95}" name="R-stock-avg" dataDxfId="92" dataCellStyle="Percent">
      <calculatedColumnFormula>AVERAGE(Table1[R-stock])</calculatedColumnFormula>
    </tableColumn>
    <tableColumn id="4" xr3:uid="{7886EA65-A28C-464E-8ED6-AE00828F87AC}" name="R-bond-avg" dataDxfId="91" dataCellStyle="Percent">
      <calculatedColumnFormula>AVERAGE(Table1[R-bond])</calculatedColumnFormula>
    </tableColumn>
    <tableColumn id="7" xr3:uid="{E58DBA7F-CA22-0344-BB5C-B406C5CE80D6}" name="R-500-avg" dataDxfId="90" dataCellStyle="Percent">
      <calculatedColumnFormula>AVERAGE(Table1[R-500])</calculatedColumnFormula>
    </tableColumn>
    <tableColumn id="5" xr3:uid="{E826EF07-DA11-E743-9DE9-62F6298AA284}" name="D-stock-avg" dataDxfId="89" dataCellStyle="Percent">
      <calculatedColumnFormula>AVERAGE(Table1[D-stock])</calculatedColumnFormula>
    </tableColumn>
    <tableColumn id="6" xr3:uid="{B3CBCB19-61F9-5C4A-A90E-7E505FDC07F1}" name="D-bond-avg" dataDxfId="88" dataCellStyle="Percent">
      <calculatedColumnFormula>AVERAGE(Table1[D-bond])</calculatedColumnFormula>
    </tableColumn>
    <tableColumn id="8" xr3:uid="{6F607D2E-8323-A743-A9E8-93899AE875A4}" name="D-500-avg" dataDxfId="87" dataCellStyle="Percent">
      <calculatedColumnFormula>AVERAGE(Table1[D-500])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A25224-1E64-3C4B-8F2D-0A088F5C2871}" name="Table3" displayName="Table3" ref="C3:C4" totalsRowShown="0">
  <autoFilter ref="C3:C4" xr:uid="{08043EEC-99B4-A14F-A667-720E53F3522A}"/>
  <tableColumns count="1">
    <tableColumn id="1" xr3:uid="{47D1F9E6-98EC-3B43-B29F-6D0F3D411ED7}" name="yr-ct">
      <calculatedColumnFormula>COUNTA(Table1[ Year])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E8093-13C6-8A49-997F-D3890D8626BA}" name="Table5" displayName="Table5" ref="R1:W2" totalsRowShown="0" dataDxfId="86" dataCellStyle="Percent">
  <autoFilter ref="R1:W2" xr:uid="{9935C466-4B50-2D4E-AA86-AA8519215681}"/>
  <tableColumns count="6">
    <tableColumn id="1" xr3:uid="{602BCA64-BE08-474F-9107-8B583276EEAE}" name="R-stock-med" dataDxfId="85" dataCellStyle="Percent">
      <calculatedColumnFormula>MEDIAN(Table1[R-stock])</calculatedColumnFormula>
    </tableColumn>
    <tableColumn id="2" xr3:uid="{B2EA0CAD-0DAB-0D45-A8F8-486F824864DF}" name="R-bond-med" dataDxfId="84" dataCellStyle="Percent">
      <calculatedColumnFormula>MEDIAN(Table1[R-bond])</calculatedColumnFormula>
    </tableColumn>
    <tableColumn id="3" xr3:uid="{FEA56091-7D54-E24F-806B-47CF063D40CA}" name="R-500-med" dataDxfId="83" dataCellStyle="Percent">
      <calculatedColumnFormula>MEDIAN(Table1[R-500])</calculatedColumnFormula>
    </tableColumn>
    <tableColumn id="4" xr3:uid="{BF4EC1D0-5ED7-2846-A5E0-F7212749EF83}" name="D-stock-med" dataDxfId="82" dataCellStyle="Percent">
      <calculatedColumnFormula>MEDIAN(Table1[D-stock])</calculatedColumnFormula>
    </tableColumn>
    <tableColumn id="5" xr3:uid="{C86180F2-ACFD-9542-94D9-3FBB58D0CB64}" name="D-bond-med" dataDxfId="81" dataCellStyle="Percent">
      <calculatedColumnFormula>MEDIAN(Table1[D-bond])</calculatedColumnFormula>
    </tableColumn>
    <tableColumn id="6" xr3:uid="{A1967CC6-12B7-7C42-AF74-075711C54D7A}" name="D-500-med" dataDxfId="80" dataCellStyle="Percent">
      <calculatedColumnFormula>MEDIAN(Table1[D-500])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46F381-5B75-2F43-BE2D-4DD7BC5AC460}" name="Table1711" displayName="Table1711" ref="A5:Y45" totalsRowShown="0" headerRowDxfId="79" dataDxfId="78">
  <autoFilter ref="A5:Y45" xr:uid="{EE991C96-FDAE-2144-8D6C-D2D25D938DC6}"/>
  <sortState xmlns:xlrd2="http://schemas.microsoft.com/office/spreadsheetml/2017/richdata2" ref="A6:X45">
    <sortCondition descending="1" ref="X5:X45"/>
  </sortState>
  <tableColumns count="25">
    <tableColumn id="1" xr3:uid="{FBEA8423-0063-9544-B67C-95C73A78A3BD}" name="President" dataDxfId="77"/>
    <tableColumn id="2" xr3:uid="{265D2937-0E99-A142-9380-465A0B817D24}" name="Party" dataDxfId="76"/>
    <tableColumn id="3" xr3:uid="{E0A70C4B-A2A3-4945-BC25-1809A81A1BA9}" name=" Year" dataDxfId="75"/>
    <tableColumn id="4" xr3:uid="{D010B56A-A664-8F4C-8DDA-F6E116CD0E99}" name="100% Bonds " dataDxfId="74"/>
    <tableColumn id="5" xr3:uid="{DC8787ED-C0DB-1B45-84DB-5C562FABF55D}" name="10/90 " dataDxfId="73"/>
    <tableColumn id="6" xr3:uid="{49E10808-D5E7-754B-9CEC-F566C0FFC4CE}" name="20/80" dataDxfId="72"/>
    <tableColumn id="7" xr3:uid="{9E0446B1-EC9C-D84C-B921-77C9407F9E9C}" name="30/70 " dataDxfId="71"/>
    <tableColumn id="8" xr3:uid="{18472BF7-129D-1145-91E4-A39798693808}" name="40/60" dataDxfId="70"/>
    <tableColumn id="9" xr3:uid="{056393F6-95EF-2543-A59C-9C7083EA7857}" name="50/50 " dataDxfId="69"/>
    <tableColumn id="10" xr3:uid="{3C72CCF5-2061-494C-9F57-FDF8C7A0F47A}" name="60/40" dataDxfId="68"/>
    <tableColumn id="11" xr3:uid="{2A24DC77-B75D-5946-A0F8-08D85851A1B3}" name="70/30" dataDxfId="67"/>
    <tableColumn id="12" xr3:uid="{5EC96983-04F9-3B41-A901-54B8C2D913E6}" name="80/20 " dataDxfId="66"/>
    <tableColumn id="13" xr3:uid="{4238310A-4225-DE44-8BED-29AAFA897EF6}" name="90/10" dataDxfId="65"/>
    <tableColumn id="14" xr3:uid="{59840B51-A2B8-B843-B631-01F338DB31D5}" name="100%Stock" dataDxfId="64"/>
    <tableColumn id="15" xr3:uid="{F55F2F55-CAD8-6743-84B6-ECBFC35978CB}" name="S&amp;P 500 Index " dataDxfId="63"/>
    <tableColumn id="16" xr3:uid="{CA910983-04E4-C944-B2DC-C844DB293122}" name="R" dataDxfId="62">
      <calculatedColumnFormula>IF(Table1711[[#This Row],[Party]]="Republican",1,0)</calculatedColumnFormula>
    </tableColumn>
    <tableColumn id="17" xr3:uid="{6032225B-F376-F448-ADF4-254BBC1C584F}" name="D" dataDxfId="61">
      <calculatedColumnFormula>IF(Table1711[[#This Row],[Party]]="Democratic",1,0)</calculatedColumnFormula>
    </tableColumn>
    <tableColumn id="18" xr3:uid="{46725DCE-DBC7-2D42-BD08-024780F04BEF}" name="R-stock" dataDxfId="60">
      <calculatedColumnFormula>IF(Table1711[[#This Row],[Party]]="Republican",Table1711[[#This Row],[100%Stock]],"null")</calculatedColumnFormula>
    </tableColumn>
    <tableColumn id="19" xr3:uid="{906ED836-DB3D-9C42-8C93-EB7172B64AC3}" name="R-bond" dataDxfId="59">
      <calculatedColumnFormula>IF(Table1711[[#This Row],[Party]]="Republican",Table1711[[#This Row],[100% Bonds ]],"null")</calculatedColumnFormula>
    </tableColumn>
    <tableColumn id="22" xr3:uid="{4B5BB07E-9701-704F-8552-0AAE9A1277D5}" name="R-500" dataDxfId="58">
      <calculatedColumnFormula>IF(Table1711[[#This Row],[Party]]="Republican",Table1711[[#This Row],[S&amp;P 500 Index ]],"null")</calculatedColumnFormula>
    </tableColumn>
    <tableColumn id="20" xr3:uid="{16854100-98A1-9E42-B8D1-A1C977EAA0BF}" name="D-stock" dataDxfId="57">
      <calculatedColumnFormula>IF(Table1711[[#This Row],[Party]]="Democratic",Table1711[[#This Row],[100%Stock]],"null")</calculatedColumnFormula>
    </tableColumn>
    <tableColumn id="21" xr3:uid="{DA56D9F0-F2B4-9E4E-A5D9-81FAFC4B9AAE}" name="D-bond" dataDxfId="56">
      <calculatedColumnFormula>IF(Table1711[[#This Row],[Party]]="Democratic",Table1711[[#This Row],[100% Bonds ]],"null")</calculatedColumnFormula>
    </tableColumn>
    <tableColumn id="23" xr3:uid="{20CCCC9F-A768-AD42-B66F-1EB96D2A9BB4}" name="D-500" dataDxfId="55">
      <calculatedColumnFormula>IF(Table1711[[#This Row],[Party]]="Democratic",Table1711[[#This Row],[S&amp;P 500 Index ]],"null")</calculatedColumnFormula>
    </tableColumn>
    <tableColumn id="24" xr3:uid="{69ADC15B-2CB4-1F4B-86D6-28DE4FB88BEB}" name="abs-val-sp500" dataDxfId="54">
      <calculatedColumnFormula>ABS(Table1711[[#This Row],[S&amp;P 500 Index ]])</calculatedColumnFormula>
    </tableColumn>
    <tableColumn id="25" xr3:uid="{602E7F54-633D-5849-A41C-35007E08BCA7}" name="abs-val-bond" dataDxfId="53">
      <calculatedColumnFormula>ABS(Table1711[[#This Row],[100% Bonds 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0995CF-4621-2B49-BBF6-7F736E29A9D1}" name="Table2812" displayName="Table2812" ref="P3:W4" totalsRowShown="0">
  <autoFilter ref="P3:W4" xr:uid="{96975430-94FF-8B42-8DE7-660F0C87FC2F}"/>
  <tableColumns count="8">
    <tableColumn id="1" xr3:uid="{B8A5F0D1-86DB-214A-8A16-339285C97C2E}" name="R-ct">
      <calculatedColumnFormula>SUM(Table1711[R])</calculatedColumnFormula>
    </tableColumn>
    <tableColumn id="2" xr3:uid="{417E77CB-8689-6A44-AAE2-2CD9A1098EA8}" name="D-ct">
      <calculatedColumnFormula>SUM(Table1711[D])</calculatedColumnFormula>
    </tableColumn>
    <tableColumn id="3" xr3:uid="{A60B7EDB-36D2-9B48-A736-7011440170B3}" name="R-stock-avg" dataDxfId="52" dataCellStyle="Percent">
      <calculatedColumnFormula>AVERAGE(Table1711[R-stock])</calculatedColumnFormula>
    </tableColumn>
    <tableColumn id="4" xr3:uid="{58FD1978-E453-4847-ADE2-9B476655D400}" name="R-bond-avg" dataDxfId="51" dataCellStyle="Percent">
      <calculatedColumnFormula>AVERAGE(Table1711[R-bond])</calculatedColumnFormula>
    </tableColumn>
    <tableColumn id="7" xr3:uid="{6D4E604D-8F88-6D42-8860-CB3269DE18DB}" name="R-500-avg" dataDxfId="50" dataCellStyle="Percent">
      <calculatedColumnFormula>AVERAGE(Table1711[R-500])</calculatedColumnFormula>
    </tableColumn>
    <tableColumn id="5" xr3:uid="{62C262E0-6C34-B844-85BA-63DF840A2900}" name="D-stock-avg" dataDxfId="49" dataCellStyle="Percent">
      <calculatedColumnFormula>AVERAGE(Table1711[D-stock])</calculatedColumnFormula>
    </tableColumn>
    <tableColumn id="6" xr3:uid="{C4A4462D-9541-CD4E-9BD2-F607DB9674E0}" name="D-bond-avg" dataDxfId="48" dataCellStyle="Percent">
      <calculatedColumnFormula>AVERAGE(Table1711[D-bond])</calculatedColumnFormula>
    </tableColumn>
    <tableColumn id="8" xr3:uid="{75ADA551-62BF-4445-BDF3-7F316EBEF7DD}" name="D-500-avg" dataDxfId="47" dataCellStyle="Percent">
      <calculatedColumnFormula>AVERAGE(Table1711[D-500])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6AC7B1-7448-1848-B688-4F18184AFCC5}" name="Table3913" displayName="Table3913" ref="C3:C4" totalsRowShown="0">
  <autoFilter ref="C3:C4" xr:uid="{08043EEC-99B4-A14F-A667-720E53F3522A}"/>
  <tableColumns count="1">
    <tableColumn id="1" xr3:uid="{C2EEF376-C432-AD44-9565-59B21F91F142}" name="yr-ct">
      <calculatedColumnFormula>COUNTA(Table1711[ Year])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DCAA02-2A24-1D4C-8BFA-FA600C14AEEF}" name="Table51014" displayName="Table51014" ref="R1:W2" totalsRowShown="0" dataDxfId="46" dataCellStyle="Percent">
  <autoFilter ref="R1:W2" xr:uid="{9935C466-4B50-2D4E-AA86-AA8519215681}"/>
  <tableColumns count="6">
    <tableColumn id="1" xr3:uid="{9A287E74-74CF-6B48-9E4C-B56FF626C263}" name="R-stock-med" dataDxfId="45" dataCellStyle="Percent">
      <calculatedColumnFormula>MEDIAN(Table1711[R-stock])</calculatedColumnFormula>
    </tableColumn>
    <tableColumn id="2" xr3:uid="{A128C6B4-198C-2249-AB3B-D292F057500D}" name="R-bond-med" dataDxfId="44" dataCellStyle="Percent">
      <calculatedColumnFormula>MEDIAN(Table1711[R-bond])</calculatedColumnFormula>
    </tableColumn>
    <tableColumn id="3" xr3:uid="{21575590-CE4F-0F43-879A-5AF35FE19859}" name="R-500-med" dataDxfId="43" dataCellStyle="Percent">
      <calculatedColumnFormula>MEDIAN(Table1711[R-500])</calculatedColumnFormula>
    </tableColumn>
    <tableColumn id="4" xr3:uid="{9BB31206-67E3-4442-B0D1-FD3E19D26AF4}" name="D-stock-med" dataDxfId="42" dataCellStyle="Percent">
      <calculatedColumnFormula>MEDIAN(Table1711[D-stock])</calculatedColumnFormula>
    </tableColumn>
    <tableColumn id="5" xr3:uid="{42393BA5-9E38-DE4C-9B6B-4E6C3B05976F}" name="D-bond-med" dataDxfId="41" dataCellStyle="Percent">
      <calculatedColumnFormula>MEDIAN(Table1711[D-bond])</calculatedColumnFormula>
    </tableColumn>
    <tableColumn id="6" xr3:uid="{1A15BDF5-577D-7F4C-BB79-10F261D2C1FA}" name="D-500-med" dataDxfId="40" dataCellStyle="Percent">
      <calculatedColumnFormula>MEDIAN(Table1711[D-500])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3B766D-4DB0-A442-A1B0-C2D5DF8D65AD}" name="Table17" displayName="Table17" ref="A5:Y45" totalsRowShown="0" headerRowDxfId="39" dataDxfId="38">
  <autoFilter ref="A5:Y45" xr:uid="{EE991C96-FDAE-2144-8D6C-D2D25D938DC6}"/>
  <sortState xmlns:xlrd2="http://schemas.microsoft.com/office/spreadsheetml/2017/richdata2" ref="A6:Y45">
    <sortCondition ref="C5:C45"/>
  </sortState>
  <tableColumns count="25">
    <tableColumn id="1" xr3:uid="{D25B2FAF-7871-FE4D-AA80-5EC896617C74}" name="President" dataDxfId="37"/>
    <tableColumn id="2" xr3:uid="{700F6BAB-1873-6B4E-82FA-73AD45F62317}" name="Party" dataDxfId="36"/>
    <tableColumn id="3" xr3:uid="{4866E2B4-AFFA-E745-A09A-7C17AF59C13D}" name="Year" dataDxfId="35"/>
    <tableColumn id="4" xr3:uid="{1D155B63-B4E8-F04C-9BDE-3144841D3CC3}" name="100% Bonds" dataDxfId="34"/>
    <tableColumn id="5" xr3:uid="{C4C4322B-CE1B-8B4B-86AC-558D914ACFB5}" name="10/90 " dataDxfId="33"/>
    <tableColumn id="6" xr3:uid="{921519FC-29BE-6C40-A5F5-61BEAF2FED81}" name="20/80" dataDxfId="32"/>
    <tableColumn id="7" xr3:uid="{082D5DA4-E28E-4846-9640-4A0859A69197}" name="30/70 " dataDxfId="31"/>
    <tableColumn id="8" xr3:uid="{EBFDFDF0-46C4-A44B-905F-432D3C7B63F1}" name="40/60" dataDxfId="30"/>
    <tableColumn id="9" xr3:uid="{A006F982-6406-4843-9451-EF671945CFD3}" name="50/50 " dataDxfId="29"/>
    <tableColumn id="10" xr3:uid="{BA4632E5-5F95-0743-B001-EDF1532EDCC3}" name="60/40" dataDxfId="28"/>
    <tableColumn id="11" xr3:uid="{B6747984-202D-D241-8A89-34FC1EAB552F}" name="70/30" dataDxfId="27"/>
    <tableColumn id="12" xr3:uid="{BF774187-BC19-F542-AB71-51A8F85C5433}" name="80/20 " dataDxfId="26"/>
    <tableColumn id="13" xr3:uid="{9D613FF5-09AB-0E4A-9242-6AEDF9147ACD}" name="90/10" dataDxfId="25"/>
    <tableColumn id="14" xr3:uid="{EFC97259-A972-FE4B-95DC-16702CC42B9E}" name="100%Stock" dataDxfId="24"/>
    <tableColumn id="15" xr3:uid="{56B64B36-6414-7A42-81CD-2B34AA5DDFCF}" name="S&amp;P 500 Index " dataDxfId="23"/>
    <tableColumn id="16" xr3:uid="{BB02E224-B2FA-A742-83C0-2DE5A3823079}" name="R" dataDxfId="22">
      <calculatedColumnFormula>IF(Table17[[#This Row],[Party]]="Republican",1,0)</calculatedColumnFormula>
    </tableColumn>
    <tableColumn id="17" xr3:uid="{2B99A8D0-E909-4042-BE21-C66BA13326FB}" name="D" dataDxfId="21">
      <calculatedColumnFormula>IF(Table17[[#This Row],[Party]]="Democratic",1,0)</calculatedColumnFormula>
    </tableColumn>
    <tableColumn id="18" xr3:uid="{57BB7550-EBBC-054F-A3E5-63AEE3B5E83B}" name="R-stock" dataDxfId="20">
      <calculatedColumnFormula>IF(Table17[[#This Row],[Party]]="Republican",Table17[[#This Row],[100%Stock]],"null")</calculatedColumnFormula>
    </tableColumn>
    <tableColumn id="19" xr3:uid="{4D41479A-CD4A-E84A-9AD9-139928A646FA}" name="R-bond" dataDxfId="19">
      <calculatedColumnFormula>IF(Table17[[#This Row],[Party]]="Republican",Table17[[#This Row],[100% Bonds]],"null")</calculatedColumnFormula>
    </tableColumn>
    <tableColumn id="22" xr3:uid="{72E2BEAA-CFF1-BC4C-999E-B883269563B2}" name="R-500" dataDxfId="18">
      <calculatedColumnFormula>IF(Table17[[#This Row],[Party]]="Republican",Table17[[#This Row],[S&amp;P 500 Index ]],"null")</calculatedColumnFormula>
    </tableColumn>
    <tableColumn id="20" xr3:uid="{06117ABB-654C-4744-AE35-A077042E77A2}" name="D-stock" dataDxfId="17">
      <calculatedColumnFormula>IF(Table17[[#This Row],[Party]]="Democratic",Table17[[#This Row],[100%Stock]],"null")</calculatedColumnFormula>
    </tableColumn>
    <tableColumn id="21" xr3:uid="{B30DF4ED-2F5F-D944-8050-FD46FB46EBF0}" name="D-bond" dataDxfId="16">
      <calculatedColumnFormula>IF(Table17[[#This Row],[Party]]="Democratic",Table17[[#This Row],[100% Bonds]],"null")</calculatedColumnFormula>
    </tableColumn>
    <tableColumn id="23" xr3:uid="{F3413F0F-396B-BD43-8097-08A7DF5D6CFD}" name="D-500" dataDxfId="15">
      <calculatedColumnFormula>IF(Table17[[#This Row],[Party]]="Democratic",Table17[[#This Row],[S&amp;P 500 Index ]],"null")</calculatedColumnFormula>
    </tableColumn>
    <tableColumn id="24" xr3:uid="{E864FF59-28ED-064C-9B33-62F1739922B6}" name="abs-val-sp500" dataDxfId="14">
      <calculatedColumnFormula>ABS(Table17[[#This Row],[S&amp;P 500 Index ]])</calculatedColumnFormula>
    </tableColumn>
    <tableColumn id="25" xr3:uid="{969C8E3E-B265-7C4D-B2BA-933C39CCCFFB}" name="abs-val-bond" dataDxfId="13">
      <calculatedColumnFormula>ABS(Table17[[#This Row],[100% Bonds]])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62EA-B3D8-B344-B4C0-8F3722319822}">
  <dimension ref="A1:Z55"/>
  <sheetViews>
    <sheetView workbookViewId="0">
      <selection activeCell="X6" sqref="X6"/>
    </sheetView>
  </sheetViews>
  <sheetFormatPr defaultColWidth="11" defaultRowHeight="15.6" x14ac:dyDescent="0.6"/>
  <cols>
    <col min="1" max="1" width="16.34765625" bestFit="1" customWidth="1"/>
    <col min="2" max="2" width="10.5" bestFit="1" customWidth="1"/>
    <col min="3" max="3" width="7.84765625" bestFit="1" customWidth="1"/>
    <col min="4" max="4" width="14.09765625" bestFit="1" customWidth="1"/>
    <col min="5" max="5" width="9" bestFit="1" customWidth="1"/>
    <col min="6" max="6" width="8.5" bestFit="1" customWidth="1"/>
    <col min="7" max="7" width="9" bestFit="1" customWidth="1"/>
    <col min="8" max="8" width="8.5" bestFit="1" customWidth="1"/>
    <col min="9" max="9" width="9" bestFit="1" customWidth="1"/>
    <col min="10" max="11" width="8.5" bestFit="1" customWidth="1"/>
    <col min="12" max="12" width="9" bestFit="1" customWidth="1"/>
    <col min="13" max="13" width="8.5" bestFit="1" customWidth="1"/>
    <col min="14" max="14" width="12.59765625" bestFit="1" customWidth="1"/>
    <col min="15" max="15" width="16.09765625" bestFit="1" customWidth="1"/>
    <col min="16" max="16" width="7" bestFit="1" customWidth="1"/>
    <col min="17" max="17" width="7.09765625" bestFit="1" customWidth="1"/>
    <col min="18" max="18" width="13.59765625" customWidth="1"/>
    <col min="19" max="19" width="14.59765625" customWidth="1"/>
    <col min="20" max="20" width="12.59765625" customWidth="1"/>
    <col min="21" max="21" width="14.34765625" bestFit="1" customWidth="1"/>
    <col min="22" max="22" width="13.84765625" customWidth="1"/>
    <col min="23" max="23" width="13" bestFit="1" customWidth="1"/>
    <col min="24" max="24" width="15.09765625" bestFit="1" customWidth="1"/>
  </cols>
  <sheetData>
    <row r="1" spans="1:25" x14ac:dyDescent="0.6">
      <c r="R1" t="s">
        <v>0</v>
      </c>
      <c r="S1" t="s">
        <v>1</v>
      </c>
      <c r="T1" s="7" t="s">
        <v>2</v>
      </c>
      <c r="U1" t="s">
        <v>3</v>
      </c>
      <c r="V1" t="s">
        <v>4</v>
      </c>
      <c r="W1" t="s">
        <v>5</v>
      </c>
    </row>
    <row r="2" spans="1:25" x14ac:dyDescent="0.6">
      <c r="R2" s="8">
        <f>MEDIAN(Table1[R-stock])</f>
        <v>0.13500000000000001</v>
      </c>
      <c r="S2" s="8">
        <f>MEDIAN(Table1[R-bond])</f>
        <v>7.6999999999999999E-2</v>
      </c>
      <c r="T2" s="8">
        <f>MEDIAN(Table1[R-500])</f>
        <v>0.109</v>
      </c>
      <c r="U2" s="6">
        <f>MEDIAN(Table1[D-stock])</f>
        <v>0.19500000000000001</v>
      </c>
      <c r="V2" s="6">
        <f>MEDIAN(Table1[D-bond])</f>
        <v>3.4000000000000002E-2</v>
      </c>
      <c r="W2" s="6">
        <f>MEDIAN(Table1[D-500])</f>
        <v>0.16</v>
      </c>
    </row>
    <row r="3" spans="1:25" x14ac:dyDescent="0.6">
      <c r="C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</row>
    <row r="4" spans="1:25" x14ac:dyDescent="0.6">
      <c r="C4">
        <f>COUNTA(Table1[ Year])</f>
        <v>50</v>
      </c>
      <c r="P4" s="5">
        <f>SUM(Table1[R])</f>
        <v>31</v>
      </c>
      <c r="Q4" s="5">
        <f>SUM(Table1[D])</f>
        <v>19</v>
      </c>
      <c r="R4" s="6">
        <f>AVERAGE(Table1[R-stock])</f>
        <v>0.11525806451612905</v>
      </c>
      <c r="S4" s="6">
        <f>AVERAGE(Table1[R-bond])</f>
        <v>8.4838709677419341E-2</v>
      </c>
      <c r="T4" s="6">
        <f>AVERAGE(Table1[R-500])</f>
        <v>8.970967741935483E-2</v>
      </c>
      <c r="U4" s="6">
        <f>AVERAGE(Table1[D-stock])</f>
        <v>0.17678947368421052</v>
      </c>
      <c r="V4" s="6">
        <f>AVERAGE(Table1[D-bond])</f>
        <v>4.6736842105263167E-2</v>
      </c>
      <c r="W4" s="6">
        <f>AVERAGE(Table1[D-500])</f>
        <v>0.16973684210526313</v>
      </c>
    </row>
    <row r="5" spans="1:25" x14ac:dyDescent="0.6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34</v>
      </c>
      <c r="U5" s="1" t="s">
        <v>35</v>
      </c>
      <c r="V5" s="1" t="s">
        <v>36</v>
      </c>
      <c r="W5" s="1" t="s">
        <v>37</v>
      </c>
      <c r="X5" s="1" t="s">
        <v>38</v>
      </c>
      <c r="Y5" s="1" t="s">
        <v>39</v>
      </c>
    </row>
    <row r="6" spans="1:25" x14ac:dyDescent="0.6">
      <c r="A6" s="1" t="s">
        <v>40</v>
      </c>
      <c r="B6" s="1" t="s">
        <v>41</v>
      </c>
      <c r="C6" s="1">
        <v>1995</v>
      </c>
      <c r="D6" s="2">
        <v>0.16600000000000001</v>
      </c>
      <c r="E6" s="2">
        <v>0.182</v>
      </c>
      <c r="F6" s="2">
        <v>0.19900000000000001</v>
      </c>
      <c r="G6" s="2">
        <v>0.216</v>
      </c>
      <c r="H6" s="2">
        <v>0.23300000000000001</v>
      </c>
      <c r="I6" s="2">
        <v>0.25</v>
      </c>
      <c r="J6" s="2">
        <v>0.26800000000000002</v>
      </c>
      <c r="K6" s="2">
        <v>0.28499999999999998</v>
      </c>
      <c r="L6" s="2">
        <v>0.30299999999999999</v>
      </c>
      <c r="M6" s="2">
        <v>0.32100000000000001</v>
      </c>
      <c r="N6" s="2">
        <v>0.33900000000000002</v>
      </c>
      <c r="O6" s="2">
        <v>0.376</v>
      </c>
      <c r="P6" s="4">
        <f>IF(Table1[[#This Row],[Party]]="Republican",1,0)</f>
        <v>0</v>
      </c>
      <c r="Q6" s="4">
        <f>IF(Table1[[#This Row],[Party]]="Democratic",1,0)</f>
        <v>1</v>
      </c>
      <c r="R6" s="2" t="str">
        <f>IF(Table1[[#This Row],[Party]]="Republican",Table1[[#This Row],[100%Stock]],"null")</f>
        <v>null</v>
      </c>
      <c r="S6" s="2" t="str">
        <f>IF(Table1[[#This Row],[Party]]="Republican",Table1[[#This Row],[100% Bonds ]],"null")</f>
        <v>null</v>
      </c>
      <c r="T6" s="2" t="str">
        <f>IF(Table1[[#This Row],[Party]]="Republican",Table1[[#This Row],[S&amp;P 500 Index ]],"null")</f>
        <v>null</v>
      </c>
      <c r="U6" s="2">
        <f>IF(Table1[[#This Row],[Party]]="Democratic",Table1[[#This Row],[100%Stock]],"null")</f>
        <v>0.33900000000000002</v>
      </c>
      <c r="V6" s="2">
        <f>IF(Table1[[#This Row],[Party]]="Democratic",Table1[[#This Row],[100% Bonds ]],"null")</f>
        <v>0.16600000000000001</v>
      </c>
      <c r="W6" s="2">
        <f>IF(Table1[[#This Row],[Party]]="Democratic",Table1[[#This Row],[S&amp;P 500 Index ]],"null")</f>
        <v>0.376</v>
      </c>
      <c r="X6" s="2">
        <f>ABS(Table1[[#This Row],[S&amp;P 500 Index ]])</f>
        <v>0.376</v>
      </c>
      <c r="Y6" s="2">
        <f>ABS(Table1[[#This Row],[100% Bonds ]])</f>
        <v>0.16600000000000001</v>
      </c>
    </row>
    <row r="7" spans="1:25" x14ac:dyDescent="0.6">
      <c r="A7" s="1" t="s">
        <v>42</v>
      </c>
      <c r="B7" s="1" t="s">
        <v>43</v>
      </c>
      <c r="C7" s="1">
        <v>1975</v>
      </c>
      <c r="D7" s="2">
        <v>7.8E-2</v>
      </c>
      <c r="E7" s="2">
        <v>0.11799999999999999</v>
      </c>
      <c r="F7" s="2">
        <v>0.159</v>
      </c>
      <c r="G7" s="2">
        <v>0.20100000000000001</v>
      </c>
      <c r="H7" s="2">
        <v>0.24299999999999999</v>
      </c>
      <c r="I7" s="2">
        <v>0.28599999999999998</v>
      </c>
      <c r="J7" s="2">
        <v>0.33</v>
      </c>
      <c r="K7" s="2">
        <v>0.375</v>
      </c>
      <c r="L7" s="2">
        <v>0.42099999999999999</v>
      </c>
      <c r="M7" s="2">
        <v>0.46700000000000003</v>
      </c>
      <c r="N7" s="2">
        <v>0.51400000000000001</v>
      </c>
      <c r="O7" s="2">
        <v>0.372</v>
      </c>
      <c r="P7" s="4">
        <f>IF(Table1[[#This Row],[Party]]="Republican",1,0)</f>
        <v>1</v>
      </c>
      <c r="Q7" s="4">
        <f>IF(Table1[[#This Row],[Party]]="Democratic",1,0)</f>
        <v>0</v>
      </c>
      <c r="R7" s="2">
        <f>IF(Table1[[#This Row],[Party]]="Republican",Table1[[#This Row],[100%Stock]],"null")</f>
        <v>0.51400000000000001</v>
      </c>
      <c r="S7" s="2">
        <f>IF(Table1[[#This Row],[Party]]="Republican",Table1[[#This Row],[100% Bonds ]],"null")</f>
        <v>7.8E-2</v>
      </c>
      <c r="T7" s="2">
        <f>IF(Table1[[#This Row],[Party]]="Republican",Table1[[#This Row],[S&amp;P 500 Index ]],"null")</f>
        <v>0.372</v>
      </c>
      <c r="U7" s="2" t="str">
        <f>IF(Table1[[#This Row],[Party]]="Democratic",Table1[[#This Row],[100%Stock]],"null")</f>
        <v>null</v>
      </c>
      <c r="V7" s="2" t="str">
        <f>IF(Table1[[#This Row],[Party]]="Democratic",Table1[[#This Row],[100% Bonds ]],"null")</f>
        <v>null</v>
      </c>
      <c r="W7" s="2" t="str">
        <f>IF(Table1[[#This Row],[Party]]="Democratic",Table1[[#This Row],[S&amp;P 500 Index ]],"null")</f>
        <v>null</v>
      </c>
      <c r="X7" s="2">
        <f>ABS(Table1[[#This Row],[S&amp;P 500 Index ]])</f>
        <v>0.372</v>
      </c>
      <c r="Y7" s="2">
        <f>ABS(Table1[[#This Row],[100% Bonds ]])</f>
        <v>7.8E-2</v>
      </c>
    </row>
    <row r="8" spans="1:25" x14ac:dyDescent="0.6">
      <c r="A8" s="1" t="s">
        <v>44</v>
      </c>
      <c r="B8" s="1" t="s">
        <v>43</v>
      </c>
      <c r="C8" s="1">
        <v>2008</v>
      </c>
      <c r="D8" s="2">
        <v>8.1000000000000003E-2</v>
      </c>
      <c r="E8" s="2">
        <v>2.8000000000000001E-2</v>
      </c>
      <c r="F8" s="3">
        <v>-2.4E-2</v>
      </c>
      <c r="G8" s="3">
        <v>-7.3999999999999996E-2</v>
      </c>
      <c r="H8" s="3">
        <v>-0.122</v>
      </c>
      <c r="I8" s="3">
        <v>-0.16900000000000001</v>
      </c>
      <c r="J8" s="3">
        <v>-0.21299999999999999</v>
      </c>
      <c r="K8" s="3">
        <v>-0.25600000000000001</v>
      </c>
      <c r="L8" s="3">
        <v>-0.29799999999999999</v>
      </c>
      <c r="M8" s="3">
        <v>-0.33800000000000002</v>
      </c>
      <c r="N8" s="3">
        <v>-0.376</v>
      </c>
      <c r="O8" s="3">
        <v>-0.37</v>
      </c>
      <c r="P8" s="4">
        <f>IF(Table1[[#This Row],[Party]]="Republican",1,0)</f>
        <v>1</v>
      </c>
      <c r="Q8" s="4">
        <f>IF(Table1[[#This Row],[Party]]="Democratic",1,0)</f>
        <v>0</v>
      </c>
      <c r="R8" s="2">
        <f>IF(Table1[[#This Row],[Party]]="Republican",Table1[[#This Row],[100%Stock]],"null")</f>
        <v>-0.376</v>
      </c>
      <c r="S8" s="2">
        <f>IF(Table1[[#This Row],[Party]]="Republican",Table1[[#This Row],[100% Bonds ]],"null")</f>
        <v>8.1000000000000003E-2</v>
      </c>
      <c r="T8" s="2">
        <f>IF(Table1[[#This Row],[Party]]="Republican",Table1[[#This Row],[S&amp;P 500 Index ]],"null")</f>
        <v>-0.37</v>
      </c>
      <c r="U8" s="2" t="str">
        <f>IF(Table1[[#This Row],[Party]]="Democratic",Table1[[#This Row],[100%Stock]],"null")</f>
        <v>null</v>
      </c>
      <c r="V8" s="2" t="str">
        <f>IF(Table1[[#This Row],[Party]]="Democratic",Table1[[#This Row],[100% Bonds ]],"null")</f>
        <v>null</v>
      </c>
      <c r="W8" s="2" t="str">
        <f>IF(Table1[[#This Row],[Party]]="Democratic",Table1[[#This Row],[S&amp;P 500 Index ]],"null")</f>
        <v>null</v>
      </c>
      <c r="X8" s="2">
        <f>ABS(Table1[[#This Row],[S&amp;P 500 Index ]])</f>
        <v>0.37</v>
      </c>
      <c r="Y8" s="2">
        <f>ABS(Table1[[#This Row],[100% Bonds ]])</f>
        <v>8.1000000000000003E-2</v>
      </c>
    </row>
    <row r="9" spans="1:25" x14ac:dyDescent="0.6">
      <c r="A9" s="1" t="s">
        <v>40</v>
      </c>
      <c r="B9" s="1" t="s">
        <v>41</v>
      </c>
      <c r="C9" s="1">
        <v>1997</v>
      </c>
      <c r="D9" s="2">
        <v>7.0000000000000007E-2</v>
      </c>
      <c r="E9" s="2">
        <v>9.0999999999999998E-2</v>
      </c>
      <c r="F9" s="2">
        <v>0.113</v>
      </c>
      <c r="G9" s="2">
        <v>0.13500000000000001</v>
      </c>
      <c r="H9" s="2">
        <v>0.157</v>
      </c>
      <c r="I9" s="2">
        <v>0.17899999999999999</v>
      </c>
      <c r="J9" s="2">
        <v>0.20100000000000001</v>
      </c>
      <c r="K9" s="2">
        <v>0.224</v>
      </c>
      <c r="L9" s="2">
        <v>0.247</v>
      </c>
      <c r="M9" s="2">
        <v>0.27</v>
      </c>
      <c r="N9" s="2">
        <v>0.29299999999999998</v>
      </c>
      <c r="O9" s="2">
        <v>0.33400000000000002</v>
      </c>
      <c r="P9" s="4">
        <f>IF(Table1[[#This Row],[Party]]="Republican",1,0)</f>
        <v>0</v>
      </c>
      <c r="Q9" s="4">
        <f>IF(Table1[[#This Row],[Party]]="Democratic",1,0)</f>
        <v>1</v>
      </c>
      <c r="R9" s="2" t="str">
        <f>IF(Table1[[#This Row],[Party]]="Republican",Table1[[#This Row],[100%Stock]],"null")</f>
        <v>null</v>
      </c>
      <c r="S9" s="2" t="str">
        <f>IF(Table1[[#This Row],[Party]]="Republican",Table1[[#This Row],[100% Bonds ]],"null")</f>
        <v>null</v>
      </c>
      <c r="T9" s="2" t="str">
        <f>IF(Table1[[#This Row],[Party]]="Republican",Table1[[#This Row],[S&amp;P 500 Index ]],"null")</f>
        <v>null</v>
      </c>
      <c r="U9" s="2">
        <f>IF(Table1[[#This Row],[Party]]="Democratic",Table1[[#This Row],[100%Stock]],"null")</f>
        <v>0.29299999999999998</v>
      </c>
      <c r="V9" s="2">
        <f>IF(Table1[[#This Row],[Party]]="Democratic",Table1[[#This Row],[100% Bonds ]],"null")</f>
        <v>7.0000000000000007E-2</v>
      </c>
      <c r="W9" s="2">
        <f>IF(Table1[[#This Row],[Party]]="Democratic",Table1[[#This Row],[S&amp;P 500 Index ]],"null")</f>
        <v>0.33400000000000002</v>
      </c>
      <c r="X9" s="2">
        <f>ABS(Table1[[#This Row],[S&amp;P 500 Index ]])</f>
        <v>0.33400000000000002</v>
      </c>
      <c r="Y9" s="2">
        <f>ABS(Table1[[#This Row],[100% Bonds ]])</f>
        <v>7.0000000000000007E-2</v>
      </c>
    </row>
    <row r="10" spans="1:25" x14ac:dyDescent="0.6">
      <c r="A10" s="1" t="s">
        <v>45</v>
      </c>
      <c r="B10" s="1" t="s">
        <v>41</v>
      </c>
      <c r="C10" s="1">
        <v>1980</v>
      </c>
      <c r="D10" s="2">
        <v>6.4000000000000001E-2</v>
      </c>
      <c r="E10" s="2">
        <v>8.6999999999999994E-2</v>
      </c>
      <c r="F10" s="2">
        <v>0.11</v>
      </c>
      <c r="G10" s="2">
        <v>0.13200000000000001</v>
      </c>
      <c r="H10" s="2">
        <v>0.155</v>
      </c>
      <c r="I10" s="2">
        <v>0.17699999999999999</v>
      </c>
      <c r="J10" s="2">
        <v>0.19900000000000001</v>
      </c>
      <c r="K10" s="2">
        <v>0.221</v>
      </c>
      <c r="L10" s="2">
        <v>0.24199999999999999</v>
      </c>
      <c r="M10" s="2">
        <v>0.26300000000000001</v>
      </c>
      <c r="N10" s="2">
        <v>0.28399999999999997</v>
      </c>
      <c r="O10" s="2">
        <v>0.32400000000000001</v>
      </c>
      <c r="P10" s="4">
        <f>IF(Table1[[#This Row],[Party]]="Republican",1,0)</f>
        <v>0</v>
      </c>
      <c r="Q10" s="4">
        <f>IF(Table1[[#This Row],[Party]]="Democratic",1,0)</f>
        <v>1</v>
      </c>
      <c r="R10" s="2" t="str">
        <f>IF(Table1[[#This Row],[Party]]="Republican",Table1[[#This Row],[100%Stock]],"null")</f>
        <v>null</v>
      </c>
      <c r="S10" s="2" t="str">
        <f>IF(Table1[[#This Row],[Party]]="Republican",Table1[[#This Row],[100% Bonds ]],"null")</f>
        <v>null</v>
      </c>
      <c r="T10" s="2" t="str">
        <f>IF(Table1[[#This Row],[Party]]="Republican",Table1[[#This Row],[S&amp;P 500 Index ]],"null")</f>
        <v>null</v>
      </c>
      <c r="U10" s="2">
        <f>IF(Table1[[#This Row],[Party]]="Democratic",Table1[[#This Row],[100%Stock]],"null")</f>
        <v>0.28399999999999997</v>
      </c>
      <c r="V10" s="2">
        <f>IF(Table1[[#This Row],[Party]]="Democratic",Table1[[#This Row],[100% Bonds ]],"null")</f>
        <v>6.4000000000000001E-2</v>
      </c>
      <c r="W10" s="2">
        <f>IF(Table1[[#This Row],[Party]]="Democratic",Table1[[#This Row],[S&amp;P 500 Index ]],"null")</f>
        <v>0.32400000000000001</v>
      </c>
      <c r="X10" s="2">
        <f>ABS(Table1[[#This Row],[S&amp;P 500 Index ]])</f>
        <v>0.32400000000000001</v>
      </c>
      <c r="Y10" s="2">
        <f>ABS(Table1[[#This Row],[100% Bonds ]])</f>
        <v>6.4000000000000001E-2</v>
      </c>
    </row>
    <row r="11" spans="1:25" x14ac:dyDescent="0.6">
      <c r="A11" s="1" t="s">
        <v>46</v>
      </c>
      <c r="B11" s="1" t="s">
        <v>41</v>
      </c>
      <c r="C11" s="1">
        <v>2013</v>
      </c>
      <c r="D11" s="3">
        <v>-3.5999999999999997E-2</v>
      </c>
      <c r="E11" s="2">
        <v>1E-3</v>
      </c>
      <c r="F11" s="2">
        <v>0.04</v>
      </c>
      <c r="G11" s="2">
        <v>7.9000000000000001E-2</v>
      </c>
      <c r="H11" s="2">
        <v>0.12</v>
      </c>
      <c r="I11" s="2">
        <v>0.16200000000000001</v>
      </c>
      <c r="J11" s="2">
        <v>0.20499999999999999</v>
      </c>
      <c r="K11" s="2">
        <v>0.25</v>
      </c>
      <c r="L11" s="2">
        <v>0.29599999999999999</v>
      </c>
      <c r="M11" s="2">
        <v>0.34399999999999997</v>
      </c>
      <c r="N11" s="2">
        <v>0.39300000000000002</v>
      </c>
      <c r="O11" s="2">
        <v>0.32400000000000001</v>
      </c>
      <c r="P11" s="4">
        <f>IF(Table1[[#This Row],[Party]]="Republican",1,0)</f>
        <v>0</v>
      </c>
      <c r="Q11" s="4">
        <f>IF(Table1[[#This Row],[Party]]="Democratic",1,0)</f>
        <v>1</v>
      </c>
      <c r="R11" s="2" t="str">
        <f>IF(Table1[[#This Row],[Party]]="Republican",Table1[[#This Row],[100%Stock]],"null")</f>
        <v>null</v>
      </c>
      <c r="S11" s="2" t="str">
        <f>IF(Table1[[#This Row],[Party]]="Republican",Table1[[#This Row],[100% Bonds ]],"null")</f>
        <v>null</v>
      </c>
      <c r="T11" s="2" t="str">
        <f>IF(Table1[[#This Row],[Party]]="Republican",Table1[[#This Row],[S&amp;P 500 Index ]],"null")</f>
        <v>null</v>
      </c>
      <c r="U11" s="2">
        <f>IF(Table1[[#This Row],[Party]]="Democratic",Table1[[#This Row],[100%Stock]],"null")</f>
        <v>0.39300000000000002</v>
      </c>
      <c r="V11" s="2">
        <f>IF(Table1[[#This Row],[Party]]="Democratic",Table1[[#This Row],[100% Bonds ]],"null")</f>
        <v>-3.5999999999999997E-2</v>
      </c>
      <c r="W11" s="2">
        <f>IF(Table1[[#This Row],[Party]]="Democratic",Table1[[#This Row],[S&amp;P 500 Index ]],"null")</f>
        <v>0.32400000000000001</v>
      </c>
      <c r="X11" s="2">
        <f>ABS(Table1[[#This Row],[S&amp;P 500 Index ]])</f>
        <v>0.32400000000000001</v>
      </c>
      <c r="Y11" s="2">
        <f>ABS(Table1[[#This Row],[100% Bonds ]])</f>
        <v>3.5999999999999997E-2</v>
      </c>
    </row>
    <row r="12" spans="1:25" x14ac:dyDescent="0.6">
      <c r="A12" s="1" t="s">
        <v>47</v>
      </c>
      <c r="B12" s="1" t="s">
        <v>43</v>
      </c>
      <c r="C12" s="1">
        <v>1985</v>
      </c>
      <c r="D12" s="2">
        <v>0.187</v>
      </c>
      <c r="E12" s="2">
        <v>0.19900000000000001</v>
      </c>
      <c r="F12" s="2">
        <v>0.21199999999999999</v>
      </c>
      <c r="G12" s="2">
        <v>0.22500000000000001</v>
      </c>
      <c r="H12" s="2">
        <v>0.23699999999999999</v>
      </c>
      <c r="I12" s="2">
        <v>0.25</v>
      </c>
      <c r="J12" s="2">
        <v>0.26200000000000001</v>
      </c>
      <c r="K12" s="2">
        <v>0.27400000000000002</v>
      </c>
      <c r="L12" s="2">
        <v>0.28699999999999998</v>
      </c>
      <c r="M12" s="2">
        <v>0.29899999999999999</v>
      </c>
      <c r="N12" s="2">
        <v>0.311</v>
      </c>
      <c r="O12" s="2">
        <v>0.32200000000000001</v>
      </c>
      <c r="P12" s="4">
        <f>IF(Table1[[#This Row],[Party]]="Republican",1,0)</f>
        <v>1</v>
      </c>
      <c r="Q12" s="4">
        <f>IF(Table1[[#This Row],[Party]]="Democratic",1,0)</f>
        <v>0</v>
      </c>
      <c r="R12" s="2">
        <f>IF(Table1[[#This Row],[Party]]="Republican",Table1[[#This Row],[100%Stock]],"null")</f>
        <v>0.311</v>
      </c>
      <c r="S12" s="2">
        <f>IF(Table1[[#This Row],[Party]]="Republican",Table1[[#This Row],[100% Bonds ]],"null")</f>
        <v>0.187</v>
      </c>
      <c r="T12" s="2">
        <f>IF(Table1[[#This Row],[Party]]="Republican",Table1[[#This Row],[S&amp;P 500 Index ]],"null")</f>
        <v>0.32200000000000001</v>
      </c>
      <c r="U12" s="2" t="str">
        <f>IF(Table1[[#This Row],[Party]]="Democratic",Table1[[#This Row],[100%Stock]],"null")</f>
        <v>null</v>
      </c>
      <c r="V12" s="2" t="str">
        <f>IF(Table1[[#This Row],[Party]]="Democratic",Table1[[#This Row],[100% Bonds ]],"null")</f>
        <v>null</v>
      </c>
      <c r="W12" s="2" t="str">
        <f>IF(Table1[[#This Row],[Party]]="Democratic",Table1[[#This Row],[S&amp;P 500 Index ]],"null")</f>
        <v>null</v>
      </c>
      <c r="X12" s="2">
        <f>ABS(Table1[[#This Row],[S&amp;P 500 Index ]])</f>
        <v>0.32200000000000001</v>
      </c>
      <c r="Y12" s="2">
        <f>ABS(Table1[[#This Row],[100% Bonds ]])</f>
        <v>0.187</v>
      </c>
    </row>
    <row r="13" spans="1:25" x14ac:dyDescent="0.6">
      <c r="A13" s="1" t="s">
        <v>48</v>
      </c>
      <c r="B13" s="1" t="s">
        <v>43</v>
      </c>
      <c r="C13" s="1">
        <v>1989</v>
      </c>
      <c r="D13" s="2">
        <v>0.13200000000000001</v>
      </c>
      <c r="E13" s="2">
        <v>0.14099999999999999</v>
      </c>
      <c r="F13" s="2">
        <v>0.151</v>
      </c>
      <c r="G13" s="2">
        <v>0.16</v>
      </c>
      <c r="H13" s="2">
        <v>0.16900000000000001</v>
      </c>
      <c r="I13" s="2">
        <v>0.17799999999999999</v>
      </c>
      <c r="J13" s="2">
        <v>0.187</v>
      </c>
      <c r="K13" s="2">
        <v>0.19600000000000001</v>
      </c>
      <c r="L13" s="2">
        <v>0.20499999999999999</v>
      </c>
      <c r="M13" s="2">
        <v>0.21299999999999999</v>
      </c>
      <c r="N13" s="2">
        <v>0.222</v>
      </c>
      <c r="O13" s="2">
        <v>0.315</v>
      </c>
      <c r="P13" s="4">
        <f>IF(Table1[[#This Row],[Party]]="Republican",1,0)</f>
        <v>1</v>
      </c>
      <c r="Q13" s="4">
        <f>IF(Table1[[#This Row],[Party]]="Democratic",1,0)</f>
        <v>0</v>
      </c>
      <c r="R13" s="2">
        <f>IF(Table1[[#This Row],[Party]]="Republican",Table1[[#This Row],[100%Stock]],"null")</f>
        <v>0.222</v>
      </c>
      <c r="S13" s="2">
        <f>IF(Table1[[#This Row],[Party]]="Republican",Table1[[#This Row],[100% Bonds ]],"null")</f>
        <v>0.13200000000000001</v>
      </c>
      <c r="T13" s="2">
        <f>IF(Table1[[#This Row],[Party]]="Republican",Table1[[#This Row],[S&amp;P 500 Index ]],"null")</f>
        <v>0.315</v>
      </c>
      <c r="U13" s="2" t="str">
        <f>IF(Table1[[#This Row],[Party]]="Democratic",Table1[[#This Row],[100%Stock]],"null")</f>
        <v>null</v>
      </c>
      <c r="V13" s="2" t="str">
        <f>IF(Table1[[#This Row],[Party]]="Democratic",Table1[[#This Row],[100% Bonds ]],"null")</f>
        <v>null</v>
      </c>
      <c r="W13" s="2" t="str">
        <f>IF(Table1[[#This Row],[Party]]="Democratic",Table1[[#This Row],[S&amp;P 500 Index ]],"null")</f>
        <v>null</v>
      </c>
      <c r="X13" s="2">
        <f>ABS(Table1[[#This Row],[S&amp;P 500 Index ]])</f>
        <v>0.315</v>
      </c>
      <c r="Y13" s="2">
        <f>ABS(Table1[[#This Row],[100% Bonds ]])</f>
        <v>0.13200000000000001</v>
      </c>
    </row>
    <row r="14" spans="1:25" x14ac:dyDescent="0.6">
      <c r="A14" s="1" t="s">
        <v>49</v>
      </c>
      <c r="B14" s="1" t="s">
        <v>43</v>
      </c>
      <c r="C14" s="1">
        <v>2019</v>
      </c>
      <c r="D14" s="2">
        <v>6.3E-2</v>
      </c>
      <c r="E14" s="2">
        <v>8.2000000000000003E-2</v>
      </c>
      <c r="F14" s="2">
        <v>0.1</v>
      </c>
      <c r="G14" s="2">
        <v>0.11799999999999999</v>
      </c>
      <c r="H14" s="2">
        <v>0.13700000000000001</v>
      </c>
      <c r="I14" s="2">
        <v>0.155</v>
      </c>
      <c r="J14" s="2">
        <v>0.17299999999999999</v>
      </c>
      <c r="K14" s="2">
        <v>0.19</v>
      </c>
      <c r="L14" s="2">
        <v>0.20799999999999999</v>
      </c>
      <c r="M14" s="2">
        <v>0.22500000000000001</v>
      </c>
      <c r="N14" s="2">
        <v>0.24199999999999999</v>
      </c>
      <c r="O14" s="2">
        <v>0.315</v>
      </c>
      <c r="P14" s="4">
        <f>IF(Table1[[#This Row],[Party]]="Republican",1,0)</f>
        <v>1</v>
      </c>
      <c r="Q14" s="4">
        <f>IF(Table1[[#This Row],[Party]]="Democratic",1,0)</f>
        <v>0</v>
      </c>
      <c r="R14" s="2">
        <f>IF(Table1[[#This Row],[Party]]="Republican",Table1[[#This Row],[100%Stock]],"null")</f>
        <v>0.24199999999999999</v>
      </c>
      <c r="S14" s="2">
        <f>IF(Table1[[#This Row],[Party]]="Republican",Table1[[#This Row],[100% Bonds ]],"null")</f>
        <v>6.3E-2</v>
      </c>
      <c r="T14" s="2">
        <f>IF(Table1[[#This Row],[Party]]="Republican",Table1[[#This Row],[S&amp;P 500 Index ]],"null")</f>
        <v>0.315</v>
      </c>
      <c r="U14" s="2" t="str">
        <f>IF(Table1[[#This Row],[Party]]="Democratic",Table1[[#This Row],[100%Stock]],"null")</f>
        <v>null</v>
      </c>
      <c r="V14" s="2" t="str">
        <f>IF(Table1[[#This Row],[Party]]="Democratic",Table1[[#This Row],[100% Bonds ]],"null")</f>
        <v>null</v>
      </c>
      <c r="W14" s="2" t="str">
        <f>IF(Table1[[#This Row],[Party]]="Democratic",Table1[[#This Row],[S&amp;P 500 Index ]],"null")</f>
        <v>null</v>
      </c>
      <c r="X14" s="2">
        <f>ABS(Table1[[#This Row],[S&amp;P 500 Index ]])</f>
        <v>0.315</v>
      </c>
      <c r="Y14" s="2">
        <f>ABS(Table1[[#This Row],[100% Bonds ]])</f>
        <v>6.3E-2</v>
      </c>
    </row>
    <row r="15" spans="1:25" x14ac:dyDescent="0.6">
      <c r="A15" s="1" t="s">
        <v>48</v>
      </c>
      <c r="B15" s="1" t="s">
        <v>43</v>
      </c>
      <c r="C15" s="1">
        <v>1991</v>
      </c>
      <c r="D15" s="2">
        <v>0.153</v>
      </c>
      <c r="E15" s="2">
        <v>0.17599999999999999</v>
      </c>
      <c r="F15" s="2">
        <v>0.19900000000000001</v>
      </c>
      <c r="G15" s="2">
        <v>0.222</v>
      </c>
      <c r="H15" s="2">
        <v>0.245</v>
      </c>
      <c r="I15" s="2">
        <v>0.26800000000000002</v>
      </c>
      <c r="J15" s="2">
        <v>0.29199999999999998</v>
      </c>
      <c r="K15" s="2">
        <v>0.316</v>
      </c>
      <c r="L15" s="2">
        <v>0.34</v>
      </c>
      <c r="M15" s="2">
        <v>0.36299999999999999</v>
      </c>
      <c r="N15" s="2">
        <v>0.38700000000000001</v>
      </c>
      <c r="O15" s="2">
        <v>0.30499999999999999</v>
      </c>
      <c r="P15" s="4">
        <f>IF(Table1[[#This Row],[Party]]="Republican",1,0)</f>
        <v>1</v>
      </c>
      <c r="Q15" s="4">
        <f>IF(Table1[[#This Row],[Party]]="Democratic",1,0)</f>
        <v>0</v>
      </c>
      <c r="R15" s="2">
        <f>IF(Table1[[#This Row],[Party]]="Republican",Table1[[#This Row],[100%Stock]],"null")</f>
        <v>0.38700000000000001</v>
      </c>
      <c r="S15" s="2">
        <f>IF(Table1[[#This Row],[Party]]="Republican",Table1[[#This Row],[100% Bonds ]],"null")</f>
        <v>0.153</v>
      </c>
      <c r="T15" s="2">
        <f>IF(Table1[[#This Row],[Party]]="Republican",Table1[[#This Row],[S&amp;P 500 Index ]],"null")</f>
        <v>0.30499999999999999</v>
      </c>
      <c r="U15" s="2" t="str">
        <f>IF(Table1[[#This Row],[Party]]="Democratic",Table1[[#This Row],[100%Stock]],"null")</f>
        <v>null</v>
      </c>
      <c r="V15" s="2" t="str">
        <f>IF(Table1[[#This Row],[Party]]="Democratic",Table1[[#This Row],[100% Bonds ]],"null")</f>
        <v>null</v>
      </c>
      <c r="W15" s="2" t="str">
        <f>IF(Table1[[#This Row],[Party]]="Democratic",Table1[[#This Row],[S&amp;P 500 Index ]],"null")</f>
        <v>null</v>
      </c>
      <c r="X15" s="2">
        <f>ABS(Table1[[#This Row],[S&amp;P 500 Index ]])</f>
        <v>0.30499999999999999</v>
      </c>
      <c r="Y15" s="2">
        <f>ABS(Table1[[#This Row],[100% Bonds ]])</f>
        <v>0.153</v>
      </c>
    </row>
    <row r="16" spans="1:25" x14ac:dyDescent="0.6">
      <c r="A16" s="1" t="s">
        <v>44</v>
      </c>
      <c r="B16" s="1" t="s">
        <v>43</v>
      </c>
      <c r="C16" s="1">
        <v>2003</v>
      </c>
      <c r="D16" s="2">
        <v>3.5000000000000003E-2</v>
      </c>
      <c r="E16" s="2">
        <v>7.0000000000000007E-2</v>
      </c>
      <c r="F16" s="2">
        <v>0.107</v>
      </c>
      <c r="G16" s="2">
        <v>0.14499999999999999</v>
      </c>
      <c r="H16" s="2">
        <v>0.183</v>
      </c>
      <c r="I16" s="2">
        <v>0.222</v>
      </c>
      <c r="J16" s="2">
        <v>0.26200000000000001</v>
      </c>
      <c r="K16" s="2">
        <v>0.30299999999999999</v>
      </c>
      <c r="L16" s="2">
        <v>0.34499999999999997</v>
      </c>
      <c r="M16" s="2">
        <v>0.38800000000000001</v>
      </c>
      <c r="N16" s="2">
        <v>0.43099999999999999</v>
      </c>
      <c r="O16" s="2">
        <v>0.28699999999999998</v>
      </c>
      <c r="P16" s="4">
        <f>IF(Table1[[#This Row],[Party]]="Republican",1,0)</f>
        <v>1</v>
      </c>
      <c r="Q16" s="4">
        <f>IF(Table1[[#This Row],[Party]]="Democratic",1,0)</f>
        <v>0</v>
      </c>
      <c r="R16" s="2">
        <f>IF(Table1[[#This Row],[Party]]="Republican",Table1[[#This Row],[100%Stock]],"null")</f>
        <v>0.43099999999999999</v>
      </c>
      <c r="S16" s="2">
        <f>IF(Table1[[#This Row],[Party]]="Republican",Table1[[#This Row],[100% Bonds ]],"null")</f>
        <v>3.5000000000000003E-2</v>
      </c>
      <c r="T16" s="2">
        <f>IF(Table1[[#This Row],[Party]]="Republican",Table1[[#This Row],[S&amp;P 500 Index ]],"null")</f>
        <v>0.28699999999999998</v>
      </c>
      <c r="U16" s="2" t="str">
        <f>IF(Table1[[#This Row],[Party]]="Democratic",Table1[[#This Row],[100%Stock]],"null")</f>
        <v>null</v>
      </c>
      <c r="V16" s="2" t="str">
        <f>IF(Table1[[#This Row],[Party]]="Democratic",Table1[[#This Row],[100% Bonds ]],"null")</f>
        <v>null</v>
      </c>
      <c r="W16" s="2" t="str">
        <f>IF(Table1[[#This Row],[Party]]="Democratic",Table1[[#This Row],[S&amp;P 500 Index ]],"null")</f>
        <v>null</v>
      </c>
      <c r="X16" s="2">
        <f>ABS(Table1[[#This Row],[S&amp;P 500 Index ]])</f>
        <v>0.28699999999999998</v>
      </c>
      <c r="Y16" s="2">
        <f>ABS(Table1[[#This Row],[100% Bonds ]])</f>
        <v>3.5000000000000003E-2</v>
      </c>
    </row>
    <row r="17" spans="1:26" x14ac:dyDescent="0.6">
      <c r="A17" s="1" t="s">
        <v>40</v>
      </c>
      <c r="B17" s="1" t="s">
        <v>41</v>
      </c>
      <c r="C17" s="1">
        <v>1998</v>
      </c>
      <c r="D17" s="2">
        <v>8.1000000000000003E-2</v>
      </c>
      <c r="E17" s="2">
        <v>8.2000000000000003E-2</v>
      </c>
      <c r="F17" s="2">
        <v>8.3000000000000004E-2</v>
      </c>
      <c r="G17" s="2">
        <v>8.2000000000000003E-2</v>
      </c>
      <c r="H17" s="2">
        <v>8.2000000000000003E-2</v>
      </c>
      <c r="I17" s="2">
        <v>0.08</v>
      </c>
      <c r="J17" s="2">
        <v>7.8E-2</v>
      </c>
      <c r="K17" s="2">
        <v>7.4999999999999997E-2</v>
      </c>
      <c r="L17" s="2">
        <v>7.0999999999999994E-2</v>
      </c>
      <c r="M17" s="2">
        <v>6.7000000000000004E-2</v>
      </c>
      <c r="N17" s="2">
        <v>6.0999999999999999E-2</v>
      </c>
      <c r="O17" s="2">
        <v>0.28599999999999998</v>
      </c>
      <c r="P17" s="4">
        <f>IF(Table1[[#This Row],[Party]]="Republican",1,0)</f>
        <v>0</v>
      </c>
      <c r="Q17" s="4">
        <f>IF(Table1[[#This Row],[Party]]="Democratic",1,0)</f>
        <v>1</v>
      </c>
      <c r="R17" s="2" t="str">
        <f>IF(Table1[[#This Row],[Party]]="Republican",Table1[[#This Row],[100%Stock]],"null")</f>
        <v>null</v>
      </c>
      <c r="S17" s="2" t="str">
        <f>IF(Table1[[#This Row],[Party]]="Republican",Table1[[#This Row],[100% Bonds ]],"null")</f>
        <v>null</v>
      </c>
      <c r="T17" s="2" t="str">
        <f>IF(Table1[[#This Row],[Party]]="Republican",Table1[[#This Row],[S&amp;P 500 Index ]],"null")</f>
        <v>null</v>
      </c>
      <c r="U17" s="2">
        <f>IF(Table1[[#This Row],[Party]]="Democratic",Table1[[#This Row],[100%Stock]],"null")</f>
        <v>6.0999999999999999E-2</v>
      </c>
      <c r="V17" s="2">
        <f>IF(Table1[[#This Row],[Party]]="Democratic",Table1[[#This Row],[100% Bonds ]],"null")</f>
        <v>8.1000000000000003E-2</v>
      </c>
      <c r="W17" s="2">
        <f>IF(Table1[[#This Row],[Party]]="Democratic",Table1[[#This Row],[S&amp;P 500 Index ]],"null")</f>
        <v>0.28599999999999998</v>
      </c>
      <c r="X17" s="2">
        <f>ABS(Table1[[#This Row],[S&amp;P 500 Index ]])</f>
        <v>0.28599999999999998</v>
      </c>
      <c r="Y17" s="2">
        <f>ABS(Table1[[#This Row],[100% Bonds ]])</f>
        <v>8.1000000000000003E-2</v>
      </c>
    </row>
    <row r="18" spans="1:26" x14ac:dyDescent="0.6">
      <c r="A18" s="1" t="s">
        <v>50</v>
      </c>
      <c r="B18" s="1" t="s">
        <v>43</v>
      </c>
      <c r="C18" s="1">
        <v>1974</v>
      </c>
      <c r="D18" s="2">
        <v>7.3999999999999996E-2</v>
      </c>
      <c r="E18" s="2">
        <v>4.2999999999999997E-2</v>
      </c>
      <c r="F18" s="2">
        <v>1.0999999999999999E-2</v>
      </c>
      <c r="G18" s="3">
        <v>-0.02</v>
      </c>
      <c r="H18" s="3">
        <v>-0.05</v>
      </c>
      <c r="I18" s="3">
        <v>-0.08</v>
      </c>
      <c r="J18" s="3">
        <v>-0.109</v>
      </c>
      <c r="K18" s="3">
        <v>-0.13800000000000001</v>
      </c>
      <c r="L18" s="3">
        <v>-0.16700000000000001</v>
      </c>
      <c r="M18" s="3">
        <v>-0.19500000000000001</v>
      </c>
      <c r="N18" s="3">
        <v>-0.222</v>
      </c>
      <c r="O18" s="3">
        <v>-0.26500000000000001</v>
      </c>
      <c r="P18" s="4">
        <f>IF(Table1[[#This Row],[Party]]="Republican",1,0)</f>
        <v>1</v>
      </c>
      <c r="Q18" s="4">
        <f>IF(Table1[[#This Row],[Party]]="Democratic",1,0)</f>
        <v>0</v>
      </c>
      <c r="R18" s="2">
        <f>IF(Table1[[#This Row],[Party]]="Republican",Table1[[#This Row],[100%Stock]],"null")</f>
        <v>-0.222</v>
      </c>
      <c r="S18" s="2">
        <f>IF(Table1[[#This Row],[Party]]="Republican",Table1[[#This Row],[100% Bonds ]],"null")</f>
        <v>7.3999999999999996E-2</v>
      </c>
      <c r="T18" s="2">
        <f>IF(Table1[[#This Row],[Party]]="Republican",Table1[[#This Row],[S&amp;P 500 Index ]],"null")</f>
        <v>-0.26500000000000001</v>
      </c>
      <c r="U18" s="2" t="str">
        <f>IF(Table1[[#This Row],[Party]]="Democratic",Table1[[#This Row],[100%Stock]],"null")</f>
        <v>null</v>
      </c>
      <c r="V18" s="2" t="str">
        <f>IF(Table1[[#This Row],[Party]]="Democratic",Table1[[#This Row],[100% Bonds ]],"null")</f>
        <v>null</v>
      </c>
      <c r="W18" s="2" t="str">
        <f>IF(Table1[[#This Row],[Party]]="Democratic",Table1[[#This Row],[S&amp;P 500 Index ]],"null")</f>
        <v>null</v>
      </c>
      <c r="X18" s="2">
        <f>ABS(Table1[[#This Row],[S&amp;P 500 Index ]])</f>
        <v>0.26500000000000001</v>
      </c>
      <c r="Y18" s="2">
        <f>ABS(Table1[[#This Row],[100% Bonds ]])</f>
        <v>7.3999999999999996E-2</v>
      </c>
    </row>
    <row r="19" spans="1:26" x14ac:dyDescent="0.6">
      <c r="A19" s="1" t="s">
        <v>46</v>
      </c>
      <c r="B19" s="1" t="s">
        <v>41</v>
      </c>
      <c r="C19" s="1">
        <v>2009</v>
      </c>
      <c r="D19" s="2">
        <v>0.02</v>
      </c>
      <c r="E19" s="2">
        <v>0.05</v>
      </c>
      <c r="F19" s="2">
        <v>8.1000000000000003E-2</v>
      </c>
      <c r="G19" s="2">
        <v>0.111</v>
      </c>
      <c r="H19" s="2">
        <v>0.14099999999999999</v>
      </c>
      <c r="I19" s="2">
        <v>0.17199999999999999</v>
      </c>
      <c r="J19" s="2">
        <v>0.20200000000000001</v>
      </c>
      <c r="K19" s="2">
        <v>0.23100000000000001</v>
      </c>
      <c r="L19" s="2">
        <v>0.26100000000000001</v>
      </c>
      <c r="M19" s="2">
        <v>0.28999999999999998</v>
      </c>
      <c r="N19" s="2">
        <v>0.31900000000000001</v>
      </c>
      <c r="O19" s="2">
        <v>0.26500000000000001</v>
      </c>
      <c r="P19" s="4">
        <f>IF(Table1[[#This Row],[Party]]="Republican",1,0)</f>
        <v>0</v>
      </c>
      <c r="Q19" s="4">
        <f>IF(Table1[[#This Row],[Party]]="Democratic",1,0)</f>
        <v>1</v>
      </c>
      <c r="R19" s="2" t="str">
        <f>IF(Table1[[#This Row],[Party]]="Republican",Table1[[#This Row],[100%Stock]],"null")</f>
        <v>null</v>
      </c>
      <c r="S19" s="2" t="str">
        <f>IF(Table1[[#This Row],[Party]]="Republican",Table1[[#This Row],[100% Bonds ]],"null")</f>
        <v>null</v>
      </c>
      <c r="T19" s="2" t="str">
        <f>IF(Table1[[#This Row],[Party]]="Republican",Table1[[#This Row],[S&amp;P 500 Index ]],"null")</f>
        <v>null</v>
      </c>
      <c r="U19" s="2">
        <f>IF(Table1[[#This Row],[Party]]="Democratic",Table1[[#This Row],[100%Stock]],"null")</f>
        <v>0.31900000000000001</v>
      </c>
      <c r="V19" s="2">
        <f>IF(Table1[[#This Row],[Party]]="Democratic",Table1[[#This Row],[100% Bonds ]],"null")</f>
        <v>0.02</v>
      </c>
      <c r="W19" s="2">
        <f>IF(Table1[[#This Row],[Party]]="Democratic",Table1[[#This Row],[S&amp;P 500 Index ]],"null")</f>
        <v>0.26500000000000001</v>
      </c>
      <c r="X19" s="2">
        <f>ABS(Table1[[#This Row],[S&amp;P 500 Index ]])</f>
        <v>0.26500000000000001</v>
      </c>
      <c r="Y19" s="2">
        <f>ABS(Table1[[#This Row],[100% Bonds ]])</f>
        <v>0.02</v>
      </c>
    </row>
    <row r="20" spans="1:26" x14ac:dyDescent="0.6">
      <c r="A20" s="1" t="s">
        <v>42</v>
      </c>
      <c r="B20" s="1" t="s">
        <v>43</v>
      </c>
      <c r="C20" s="1">
        <v>1976</v>
      </c>
      <c r="D20" s="2">
        <v>0.1</v>
      </c>
      <c r="E20" s="2">
        <v>0.13100000000000001</v>
      </c>
      <c r="F20" s="2">
        <v>0.16300000000000001</v>
      </c>
      <c r="G20" s="2">
        <v>0.19500000000000001</v>
      </c>
      <c r="H20" s="2">
        <v>0.22800000000000001</v>
      </c>
      <c r="I20" s="2">
        <v>0.26100000000000001</v>
      </c>
      <c r="J20" s="2">
        <v>0.29399999999999998</v>
      </c>
      <c r="K20" s="2">
        <v>0.32800000000000001</v>
      </c>
      <c r="L20" s="2">
        <v>0.36199999999999999</v>
      </c>
      <c r="M20" s="2">
        <v>0.39700000000000002</v>
      </c>
      <c r="N20" s="2">
        <v>0.432</v>
      </c>
      <c r="O20" s="2">
        <v>0.23799999999999999</v>
      </c>
      <c r="P20" s="4">
        <f>IF(Table1[[#This Row],[Party]]="Republican",1,0)</f>
        <v>1</v>
      </c>
      <c r="Q20" s="4">
        <f>IF(Table1[[#This Row],[Party]]="Democratic",1,0)</f>
        <v>0</v>
      </c>
      <c r="R20" s="2">
        <f>IF(Table1[[#This Row],[Party]]="Republican",Table1[[#This Row],[100%Stock]],"null")</f>
        <v>0.432</v>
      </c>
      <c r="S20" s="2">
        <f>IF(Table1[[#This Row],[Party]]="Republican",Table1[[#This Row],[100% Bonds ]],"null")</f>
        <v>0.1</v>
      </c>
      <c r="T20" s="2">
        <f>IF(Table1[[#This Row],[Party]]="Republican",Table1[[#This Row],[S&amp;P 500 Index ]],"null")</f>
        <v>0.23799999999999999</v>
      </c>
      <c r="U20" s="2" t="str">
        <f>IF(Table1[[#This Row],[Party]]="Democratic",Table1[[#This Row],[100%Stock]],"null")</f>
        <v>null</v>
      </c>
      <c r="V20" s="2" t="str">
        <f>IF(Table1[[#This Row],[Party]]="Democratic",Table1[[#This Row],[100% Bonds ]],"null")</f>
        <v>null</v>
      </c>
      <c r="W20" s="2" t="str">
        <f>IF(Table1[[#This Row],[Party]]="Democratic",Table1[[#This Row],[S&amp;P 500 Index ]],"null")</f>
        <v>null</v>
      </c>
      <c r="X20" s="2">
        <f>ABS(Table1[[#This Row],[S&amp;P 500 Index ]])</f>
        <v>0.23799999999999999</v>
      </c>
      <c r="Y20" s="2">
        <f>ABS(Table1[[#This Row],[100% Bonds ]])</f>
        <v>0.1</v>
      </c>
    </row>
    <row r="21" spans="1:26" x14ac:dyDescent="0.6">
      <c r="A21" s="1" t="s">
        <v>40</v>
      </c>
      <c r="B21" s="1" t="s">
        <v>41</v>
      </c>
      <c r="C21" s="1">
        <v>1996</v>
      </c>
      <c r="D21" s="2">
        <v>3.1E-2</v>
      </c>
      <c r="E21" s="2">
        <v>4.9000000000000002E-2</v>
      </c>
      <c r="F21" s="2">
        <v>6.6000000000000003E-2</v>
      </c>
      <c r="G21" s="2">
        <v>8.3000000000000004E-2</v>
      </c>
      <c r="H21" s="2">
        <v>0.10100000000000001</v>
      </c>
      <c r="I21" s="2">
        <v>0.11899999999999999</v>
      </c>
      <c r="J21" s="2">
        <v>0.13700000000000001</v>
      </c>
      <c r="K21" s="2">
        <v>0.155</v>
      </c>
      <c r="L21" s="2">
        <v>0.17299999999999999</v>
      </c>
      <c r="M21" s="2">
        <v>0.191</v>
      </c>
      <c r="N21" s="2">
        <v>0.20899999999999999</v>
      </c>
      <c r="O21" s="2">
        <v>0.23</v>
      </c>
      <c r="P21" s="4">
        <f>IF(Table1[[#This Row],[Party]]="Republican",1,0)</f>
        <v>0</v>
      </c>
      <c r="Q21" s="4">
        <f>IF(Table1[[#This Row],[Party]]="Democratic",1,0)</f>
        <v>1</v>
      </c>
      <c r="R21" s="2" t="str">
        <f>IF(Table1[[#This Row],[Party]]="Republican",Table1[[#This Row],[100%Stock]],"null")</f>
        <v>null</v>
      </c>
      <c r="S21" s="2" t="str">
        <f>IF(Table1[[#This Row],[Party]]="Republican",Table1[[#This Row],[100% Bonds ]],"null")</f>
        <v>null</v>
      </c>
      <c r="T21" s="2" t="str">
        <f>IF(Table1[[#This Row],[Party]]="Republican",Table1[[#This Row],[S&amp;P 500 Index ]],"null")</f>
        <v>null</v>
      </c>
      <c r="U21" s="2">
        <f>IF(Table1[[#This Row],[Party]]="Democratic",Table1[[#This Row],[100%Stock]],"null")</f>
        <v>0.20899999999999999</v>
      </c>
      <c r="V21" s="2">
        <f>IF(Table1[[#This Row],[Party]]="Democratic",Table1[[#This Row],[100% Bonds ]],"null")</f>
        <v>3.1E-2</v>
      </c>
      <c r="W21" s="2">
        <f>IF(Table1[[#This Row],[Party]]="Democratic",Table1[[#This Row],[S&amp;P 500 Index ]],"null")</f>
        <v>0.23</v>
      </c>
      <c r="X21" s="2">
        <f>ABS(Table1[[#This Row],[S&amp;P 500 Index ]])</f>
        <v>0.23</v>
      </c>
      <c r="Y21" s="2">
        <f>ABS(Table1[[#This Row],[100% Bonds ]])</f>
        <v>3.1E-2</v>
      </c>
      <c r="Z21">
        <f>8.5-4.7</f>
        <v>3.8</v>
      </c>
    </row>
    <row r="22" spans="1:26" x14ac:dyDescent="0.6">
      <c r="A22" s="1" t="s">
        <v>47</v>
      </c>
      <c r="B22" s="1" t="s">
        <v>43</v>
      </c>
      <c r="C22" s="1">
        <v>1983</v>
      </c>
      <c r="D22" s="2">
        <v>7.4999999999999997E-2</v>
      </c>
      <c r="E22" s="2">
        <v>0.10100000000000001</v>
      </c>
      <c r="F22" s="2">
        <v>0.127</v>
      </c>
      <c r="G22" s="2">
        <v>0.154</v>
      </c>
      <c r="H22" s="2">
        <v>0.18099999999999999</v>
      </c>
      <c r="I22" s="2">
        <v>0.20899999999999999</v>
      </c>
      <c r="J22" s="2">
        <v>0.23699999999999999</v>
      </c>
      <c r="K22" s="2">
        <v>0.26600000000000001</v>
      </c>
      <c r="L22" s="2">
        <v>0.29499999999999998</v>
      </c>
      <c r="M22" s="2">
        <v>0.32500000000000001</v>
      </c>
      <c r="N22" s="2">
        <v>0.35499999999999998</v>
      </c>
      <c r="O22" s="2">
        <v>0.22500000000000001</v>
      </c>
      <c r="P22" s="4">
        <f>IF(Table1[[#This Row],[Party]]="Republican",1,0)</f>
        <v>1</v>
      </c>
      <c r="Q22" s="4">
        <f>IF(Table1[[#This Row],[Party]]="Democratic",1,0)</f>
        <v>0</v>
      </c>
      <c r="R22" s="2">
        <f>IF(Table1[[#This Row],[Party]]="Republican",Table1[[#This Row],[100%Stock]],"null")</f>
        <v>0.35499999999999998</v>
      </c>
      <c r="S22" s="2">
        <f>IF(Table1[[#This Row],[Party]]="Republican",Table1[[#This Row],[100% Bonds ]],"null")</f>
        <v>7.4999999999999997E-2</v>
      </c>
      <c r="T22" s="2">
        <f>IF(Table1[[#This Row],[Party]]="Republican",Table1[[#This Row],[S&amp;P 500 Index ]],"null")</f>
        <v>0.22500000000000001</v>
      </c>
      <c r="U22" s="2" t="str">
        <f>IF(Table1[[#This Row],[Party]]="Democratic",Table1[[#This Row],[100%Stock]],"null")</f>
        <v>null</v>
      </c>
      <c r="V22" s="2" t="str">
        <f>IF(Table1[[#This Row],[Party]]="Democratic",Table1[[#This Row],[100% Bonds ]],"null")</f>
        <v>null</v>
      </c>
      <c r="W22" s="2" t="str">
        <f>IF(Table1[[#This Row],[Party]]="Democratic",Table1[[#This Row],[S&amp;P 500 Index ]],"null")</f>
        <v>null</v>
      </c>
      <c r="X22" s="2">
        <f>ABS(Table1[[#This Row],[S&amp;P 500 Index ]])</f>
        <v>0.22500000000000001</v>
      </c>
      <c r="Y22" s="2">
        <f>ABS(Table1[[#This Row],[100% Bonds ]])</f>
        <v>7.4999999999999997E-2</v>
      </c>
    </row>
    <row r="23" spans="1:26" x14ac:dyDescent="0.6">
      <c r="A23" s="1" t="s">
        <v>44</v>
      </c>
      <c r="B23" s="1" t="s">
        <v>43</v>
      </c>
      <c r="C23" s="1">
        <v>2002</v>
      </c>
      <c r="D23" s="2">
        <v>0.124</v>
      </c>
      <c r="E23" s="2">
        <v>9.5000000000000001E-2</v>
      </c>
      <c r="F23" s="2">
        <v>6.5000000000000002E-2</v>
      </c>
      <c r="G23" s="2">
        <v>3.5999999999999997E-2</v>
      </c>
      <c r="H23" s="2">
        <v>7.0000000000000001E-3</v>
      </c>
      <c r="I23" s="3">
        <v>-2.1999999999999999E-2</v>
      </c>
      <c r="J23" s="3">
        <v>-0.05</v>
      </c>
      <c r="K23" s="3">
        <v>-7.9000000000000001E-2</v>
      </c>
      <c r="L23" s="3">
        <v>-0.107</v>
      </c>
      <c r="M23" s="3">
        <v>-0.13500000000000001</v>
      </c>
      <c r="N23" s="3">
        <v>-0.16300000000000001</v>
      </c>
      <c r="O23" s="3">
        <v>-0.221</v>
      </c>
      <c r="P23" s="4">
        <f>IF(Table1[[#This Row],[Party]]="Republican",1,0)</f>
        <v>1</v>
      </c>
      <c r="Q23" s="4">
        <f>IF(Table1[[#This Row],[Party]]="Democratic",1,0)</f>
        <v>0</v>
      </c>
      <c r="R23" s="2">
        <f>IF(Table1[[#This Row],[Party]]="Republican",Table1[[#This Row],[100%Stock]],"null")</f>
        <v>-0.16300000000000001</v>
      </c>
      <c r="S23" s="2">
        <f>IF(Table1[[#This Row],[Party]]="Republican",Table1[[#This Row],[100% Bonds ]],"null")</f>
        <v>0.124</v>
      </c>
      <c r="T23" s="2">
        <f>IF(Table1[[#This Row],[Party]]="Republican",Table1[[#This Row],[S&amp;P 500 Index ]],"null")</f>
        <v>-0.221</v>
      </c>
      <c r="U23" s="2" t="str">
        <f>IF(Table1[[#This Row],[Party]]="Democratic",Table1[[#This Row],[100%Stock]],"null")</f>
        <v>null</v>
      </c>
      <c r="V23" s="2" t="str">
        <f>IF(Table1[[#This Row],[Party]]="Democratic",Table1[[#This Row],[100% Bonds ]],"null")</f>
        <v>null</v>
      </c>
      <c r="W23" s="2" t="str">
        <f>IF(Table1[[#This Row],[Party]]="Democratic",Table1[[#This Row],[S&amp;P 500 Index ]],"null")</f>
        <v>null</v>
      </c>
      <c r="X23" s="2">
        <f>ABS(Table1[[#This Row],[S&amp;P 500 Index ]])</f>
        <v>0.221</v>
      </c>
      <c r="Y23" s="2">
        <f>ABS(Table1[[#This Row],[100% Bonds ]])</f>
        <v>0.124</v>
      </c>
    </row>
    <row r="24" spans="1:26" x14ac:dyDescent="0.6">
      <c r="A24" s="1" t="s">
        <v>49</v>
      </c>
      <c r="B24" s="1" t="s">
        <v>43</v>
      </c>
      <c r="C24" s="1">
        <v>2017</v>
      </c>
      <c r="D24" s="2">
        <v>1.9E-2</v>
      </c>
      <c r="E24" s="2">
        <v>3.1E-2</v>
      </c>
      <c r="F24" s="2">
        <v>4.3999999999999997E-2</v>
      </c>
      <c r="G24" s="2">
        <v>5.7000000000000002E-2</v>
      </c>
      <c r="H24" s="2">
        <v>6.9000000000000006E-2</v>
      </c>
      <c r="I24" s="2">
        <v>8.2000000000000003E-2</v>
      </c>
      <c r="J24" s="2">
        <v>9.5000000000000001E-2</v>
      </c>
      <c r="K24" s="2">
        <v>0.108</v>
      </c>
      <c r="L24" s="2">
        <v>0.122</v>
      </c>
      <c r="M24" s="2">
        <v>0.13500000000000001</v>
      </c>
      <c r="N24" s="2">
        <v>0.14799999999999999</v>
      </c>
      <c r="O24" s="2">
        <v>0.218</v>
      </c>
      <c r="P24" s="4">
        <f>IF(Table1[[#This Row],[Party]]="Republican",1,0)</f>
        <v>1</v>
      </c>
      <c r="Q24" s="4">
        <f>IF(Table1[[#This Row],[Party]]="Democratic",1,0)</f>
        <v>0</v>
      </c>
      <c r="R24" s="2">
        <f>IF(Table1[[#This Row],[Party]]="Republican",Table1[[#This Row],[100%Stock]],"null")</f>
        <v>0.14799999999999999</v>
      </c>
      <c r="S24" s="2">
        <f>IF(Table1[[#This Row],[Party]]="Republican",Table1[[#This Row],[100% Bonds ]],"null")</f>
        <v>1.9E-2</v>
      </c>
      <c r="T24" s="2">
        <f>IF(Table1[[#This Row],[Party]]="Republican",Table1[[#This Row],[S&amp;P 500 Index ]],"null")</f>
        <v>0.218</v>
      </c>
      <c r="U24" s="2" t="str">
        <f>IF(Table1[[#This Row],[Party]]="Democratic",Table1[[#This Row],[100%Stock]],"null")</f>
        <v>null</v>
      </c>
      <c r="V24" s="2" t="str">
        <f>IF(Table1[[#This Row],[Party]]="Democratic",Table1[[#This Row],[100% Bonds ]],"null")</f>
        <v>null</v>
      </c>
      <c r="W24" s="2" t="str">
        <f>IF(Table1[[#This Row],[Party]]="Democratic",Table1[[#This Row],[S&amp;P 500 Index ]],"null")</f>
        <v>null</v>
      </c>
      <c r="X24" s="2">
        <f>ABS(Table1[[#This Row],[S&amp;P 500 Index ]])</f>
        <v>0.218</v>
      </c>
      <c r="Y24" s="2">
        <f>ABS(Table1[[#This Row],[100% Bonds ]])</f>
        <v>1.9E-2</v>
      </c>
    </row>
    <row r="25" spans="1:26" x14ac:dyDescent="0.6">
      <c r="A25" s="1" t="s">
        <v>47</v>
      </c>
      <c r="B25" s="1" t="s">
        <v>43</v>
      </c>
      <c r="C25" s="1">
        <v>1982</v>
      </c>
      <c r="D25" s="2">
        <v>0.25700000000000001</v>
      </c>
      <c r="E25" s="2">
        <v>0.25900000000000001</v>
      </c>
      <c r="F25" s="2">
        <v>0.26100000000000001</v>
      </c>
      <c r="G25" s="2">
        <v>0.26300000000000001</v>
      </c>
      <c r="H25" s="2">
        <v>0.26500000000000001</v>
      </c>
      <c r="I25" s="2">
        <v>0.26700000000000002</v>
      </c>
      <c r="J25" s="2">
        <v>0.26800000000000002</v>
      </c>
      <c r="K25" s="2">
        <v>0.26900000000000002</v>
      </c>
      <c r="L25" s="2">
        <v>0.27</v>
      </c>
      <c r="M25" s="2">
        <v>0.27</v>
      </c>
      <c r="N25" s="2">
        <v>0.27</v>
      </c>
      <c r="O25" s="2">
        <v>0.214</v>
      </c>
      <c r="P25" s="4">
        <f>IF(Table1[[#This Row],[Party]]="Republican",1,0)</f>
        <v>1</v>
      </c>
      <c r="Q25" s="4">
        <f>IF(Table1[[#This Row],[Party]]="Democratic",1,0)</f>
        <v>0</v>
      </c>
      <c r="R25" s="2">
        <f>IF(Table1[[#This Row],[Party]]="Republican",Table1[[#This Row],[100%Stock]],"null")</f>
        <v>0.27</v>
      </c>
      <c r="S25" s="2">
        <f>IF(Table1[[#This Row],[Party]]="Republican",Table1[[#This Row],[100% Bonds ]],"null")</f>
        <v>0.25700000000000001</v>
      </c>
      <c r="T25" s="2">
        <f>IF(Table1[[#This Row],[Party]]="Republican",Table1[[#This Row],[S&amp;P 500 Index ]],"null")</f>
        <v>0.214</v>
      </c>
      <c r="U25" s="2" t="str">
        <f>IF(Table1[[#This Row],[Party]]="Democratic",Table1[[#This Row],[100%Stock]],"null")</f>
        <v>null</v>
      </c>
      <c r="V25" s="2" t="str">
        <f>IF(Table1[[#This Row],[Party]]="Democratic",Table1[[#This Row],[100% Bonds ]],"null")</f>
        <v>null</v>
      </c>
      <c r="W25" s="2" t="str">
        <f>IF(Table1[[#This Row],[Party]]="Democratic",Table1[[#This Row],[S&amp;P 500 Index ]],"null")</f>
        <v>null</v>
      </c>
      <c r="X25" s="2">
        <f>ABS(Table1[[#This Row],[S&amp;P 500 Index ]])</f>
        <v>0.214</v>
      </c>
      <c r="Y25" s="2">
        <f>ABS(Table1[[#This Row],[100% Bonds ]])</f>
        <v>0.25700000000000001</v>
      </c>
    </row>
    <row r="26" spans="1:26" x14ac:dyDescent="0.6">
      <c r="A26" s="1" t="s">
        <v>40</v>
      </c>
      <c r="B26" s="1" t="s">
        <v>41</v>
      </c>
      <c r="C26" s="1">
        <v>1999</v>
      </c>
      <c r="D26" s="3">
        <v>-5.0000000000000001E-3</v>
      </c>
      <c r="E26" s="2">
        <v>1.2E-2</v>
      </c>
      <c r="F26" s="2">
        <v>2.8000000000000001E-2</v>
      </c>
      <c r="G26" s="2">
        <v>4.4999999999999998E-2</v>
      </c>
      <c r="H26" s="2">
        <v>6.0999999999999999E-2</v>
      </c>
      <c r="I26" s="2">
        <v>7.8E-2</v>
      </c>
      <c r="J26" s="2">
        <v>9.5000000000000001E-2</v>
      </c>
      <c r="K26" s="2">
        <v>0.112</v>
      </c>
      <c r="L26" s="2">
        <v>0.128</v>
      </c>
      <c r="M26" s="2">
        <v>0.14499999999999999</v>
      </c>
      <c r="N26" s="2">
        <v>0.16200000000000001</v>
      </c>
      <c r="O26" s="2">
        <v>0.21</v>
      </c>
      <c r="P26" s="4">
        <f>IF(Table1[[#This Row],[Party]]="Republican",1,0)</f>
        <v>0</v>
      </c>
      <c r="Q26" s="4">
        <f>IF(Table1[[#This Row],[Party]]="Democratic",1,0)</f>
        <v>1</v>
      </c>
      <c r="R26" s="2" t="str">
        <f>IF(Table1[[#This Row],[Party]]="Republican",Table1[[#This Row],[100%Stock]],"null")</f>
        <v>null</v>
      </c>
      <c r="S26" s="2" t="str">
        <f>IF(Table1[[#This Row],[Party]]="Republican",Table1[[#This Row],[100% Bonds ]],"null")</f>
        <v>null</v>
      </c>
      <c r="T26" s="2" t="str">
        <f>IF(Table1[[#This Row],[Party]]="Republican",Table1[[#This Row],[S&amp;P 500 Index ]],"null")</f>
        <v>null</v>
      </c>
      <c r="U26" s="2">
        <f>IF(Table1[[#This Row],[Party]]="Democratic",Table1[[#This Row],[100%Stock]],"null")</f>
        <v>0.16200000000000001</v>
      </c>
      <c r="V26" s="2">
        <f>IF(Table1[[#This Row],[Party]]="Democratic",Table1[[#This Row],[100% Bonds ]],"null")</f>
        <v>-5.0000000000000001E-3</v>
      </c>
      <c r="W26" s="2">
        <f>IF(Table1[[#This Row],[Party]]="Democratic",Table1[[#This Row],[S&amp;P 500 Index ]],"null")</f>
        <v>0.21</v>
      </c>
      <c r="X26" s="2">
        <f>ABS(Table1[[#This Row],[S&amp;P 500 Index ]])</f>
        <v>0.21</v>
      </c>
      <c r="Y26" s="2">
        <f>ABS(Table1[[#This Row],[100% Bonds ]])</f>
        <v>5.0000000000000001E-3</v>
      </c>
    </row>
    <row r="27" spans="1:26" x14ac:dyDescent="0.6">
      <c r="A27" s="1" t="s">
        <v>50</v>
      </c>
      <c r="B27" s="1" t="s">
        <v>43</v>
      </c>
      <c r="C27" s="1">
        <v>1972</v>
      </c>
      <c r="D27" s="2">
        <v>4.8000000000000001E-2</v>
      </c>
      <c r="E27" s="2">
        <v>5.5E-2</v>
      </c>
      <c r="F27" s="2">
        <v>6.3E-2</v>
      </c>
      <c r="G27" s="2">
        <v>7.0000000000000007E-2</v>
      </c>
      <c r="H27" s="2">
        <v>7.8E-2</v>
      </c>
      <c r="I27" s="2">
        <v>8.5000000000000006E-2</v>
      </c>
      <c r="J27" s="2">
        <v>9.1999999999999998E-2</v>
      </c>
      <c r="K27" s="2">
        <v>9.9000000000000005E-2</v>
      </c>
      <c r="L27" s="2">
        <v>0.106</v>
      </c>
      <c r="M27" s="2">
        <v>0.114</v>
      </c>
      <c r="N27" s="2">
        <v>0.121</v>
      </c>
      <c r="O27" s="2">
        <v>0.19</v>
      </c>
      <c r="P27" s="4">
        <f>IF(Table1[[#This Row],[Party]]="Republican",1,0)</f>
        <v>1</v>
      </c>
      <c r="Q27" s="4">
        <f>IF(Table1[[#This Row],[Party]]="Democratic",1,0)</f>
        <v>0</v>
      </c>
      <c r="R27" s="2">
        <f>IF(Table1[[#This Row],[Party]]="Republican",Table1[[#This Row],[100%Stock]],"null")</f>
        <v>0.121</v>
      </c>
      <c r="S27" s="2">
        <f>IF(Table1[[#This Row],[Party]]="Republican",Table1[[#This Row],[100% Bonds ]],"null")</f>
        <v>4.8000000000000001E-2</v>
      </c>
      <c r="T27" s="2">
        <f>IF(Table1[[#This Row],[Party]]="Republican",Table1[[#This Row],[S&amp;P 500 Index ]],"null")</f>
        <v>0.19</v>
      </c>
      <c r="U27" s="2" t="str">
        <f>IF(Table1[[#This Row],[Party]]="Democratic",Table1[[#This Row],[100%Stock]],"null")</f>
        <v>null</v>
      </c>
      <c r="V27" s="2" t="str">
        <f>IF(Table1[[#This Row],[Party]]="Democratic",Table1[[#This Row],[100% Bonds ]],"null")</f>
        <v>null</v>
      </c>
      <c r="W27" s="2" t="str">
        <f>IF(Table1[[#This Row],[Party]]="Democratic",Table1[[#This Row],[S&amp;P 500 Index ]],"null")</f>
        <v>null</v>
      </c>
      <c r="X27" s="2">
        <f>ABS(Table1[[#This Row],[S&amp;P 500 Index ]])</f>
        <v>0.19</v>
      </c>
      <c r="Y27" s="2">
        <f>ABS(Table1[[#This Row],[100% Bonds ]])</f>
        <v>4.8000000000000001E-2</v>
      </c>
    </row>
    <row r="28" spans="1:26" x14ac:dyDescent="0.6">
      <c r="A28" s="1" t="s">
        <v>47</v>
      </c>
      <c r="B28" s="1" t="s">
        <v>43</v>
      </c>
      <c r="C28" s="1">
        <v>1986</v>
      </c>
      <c r="D28" s="2">
        <v>0.13900000000000001</v>
      </c>
      <c r="E28" s="2">
        <v>0.14000000000000001</v>
      </c>
      <c r="F28" s="2">
        <v>0.14000000000000001</v>
      </c>
      <c r="G28" s="2">
        <v>0.14000000000000001</v>
      </c>
      <c r="H28" s="2">
        <v>0.14000000000000001</v>
      </c>
      <c r="I28" s="2">
        <v>0.13900000000000001</v>
      </c>
      <c r="J28" s="2">
        <v>0.13900000000000001</v>
      </c>
      <c r="K28" s="2">
        <v>0.13800000000000001</v>
      </c>
      <c r="L28" s="2">
        <v>0.13700000000000001</v>
      </c>
      <c r="M28" s="2">
        <v>0.13600000000000001</v>
      </c>
      <c r="N28" s="2">
        <v>0.13500000000000001</v>
      </c>
      <c r="O28" s="2">
        <v>0.185</v>
      </c>
      <c r="P28" s="4">
        <f>IF(Table1[[#This Row],[Party]]="Republican",1,0)</f>
        <v>1</v>
      </c>
      <c r="Q28" s="4">
        <f>IF(Table1[[#This Row],[Party]]="Democratic",1,0)</f>
        <v>0</v>
      </c>
      <c r="R28" s="2">
        <f>IF(Table1[[#This Row],[Party]]="Republican",Table1[[#This Row],[100%Stock]],"null")</f>
        <v>0.13500000000000001</v>
      </c>
      <c r="S28" s="2">
        <f>IF(Table1[[#This Row],[Party]]="Republican",Table1[[#This Row],[100% Bonds ]],"null")</f>
        <v>0.13900000000000001</v>
      </c>
      <c r="T28" s="2">
        <f>IF(Table1[[#This Row],[Party]]="Republican",Table1[[#This Row],[S&amp;P 500 Index ]],"null")</f>
        <v>0.185</v>
      </c>
      <c r="U28" s="2" t="str">
        <f>IF(Table1[[#This Row],[Party]]="Democratic",Table1[[#This Row],[100%Stock]],"null")</f>
        <v>null</v>
      </c>
      <c r="V28" s="2" t="str">
        <f>IF(Table1[[#This Row],[Party]]="Democratic",Table1[[#This Row],[100% Bonds ]],"null")</f>
        <v>null</v>
      </c>
      <c r="W28" s="2" t="str">
        <f>IF(Table1[[#This Row],[Party]]="Democratic",Table1[[#This Row],[S&amp;P 500 Index ]],"null")</f>
        <v>null</v>
      </c>
      <c r="X28" s="2">
        <f>ABS(Table1[[#This Row],[S&amp;P 500 Index ]])</f>
        <v>0.185</v>
      </c>
      <c r="Y28" s="2">
        <f>ABS(Table1[[#This Row],[100% Bonds ]])</f>
        <v>0.13900000000000001</v>
      </c>
    </row>
    <row r="29" spans="1:26" x14ac:dyDescent="0.6">
      <c r="A29" s="1" t="s">
        <v>45</v>
      </c>
      <c r="B29" s="1" t="s">
        <v>41</v>
      </c>
      <c r="C29" s="1">
        <v>1979</v>
      </c>
      <c r="D29" s="2">
        <v>6.3E-2</v>
      </c>
      <c r="E29" s="2">
        <v>8.5000000000000006E-2</v>
      </c>
      <c r="F29" s="2">
        <v>0.107</v>
      </c>
      <c r="G29" s="2">
        <v>0.129</v>
      </c>
      <c r="H29" s="2">
        <v>0.152</v>
      </c>
      <c r="I29" s="2">
        <v>0.17499999999999999</v>
      </c>
      <c r="J29" s="2">
        <v>0.19800000000000001</v>
      </c>
      <c r="K29" s="2">
        <v>0.222</v>
      </c>
      <c r="L29" s="2">
        <v>0.245</v>
      </c>
      <c r="M29" s="2">
        <v>0.26900000000000002</v>
      </c>
      <c r="N29" s="2">
        <v>0.29299999999999998</v>
      </c>
      <c r="O29" s="2">
        <v>0.184</v>
      </c>
      <c r="P29" s="4">
        <f>IF(Table1[[#This Row],[Party]]="Republican",1,0)</f>
        <v>0</v>
      </c>
      <c r="Q29" s="4">
        <f>IF(Table1[[#This Row],[Party]]="Democratic",1,0)</f>
        <v>1</v>
      </c>
      <c r="R29" s="2" t="str">
        <f>IF(Table1[[#This Row],[Party]]="Republican",Table1[[#This Row],[100%Stock]],"null")</f>
        <v>null</v>
      </c>
      <c r="S29" s="2" t="str">
        <f>IF(Table1[[#This Row],[Party]]="Republican",Table1[[#This Row],[100% Bonds ]],"null")</f>
        <v>null</v>
      </c>
      <c r="T29" s="2" t="str">
        <f>IF(Table1[[#This Row],[Party]]="Republican",Table1[[#This Row],[S&amp;P 500 Index ]],"null")</f>
        <v>null</v>
      </c>
      <c r="U29" s="2">
        <f>IF(Table1[[#This Row],[Party]]="Democratic",Table1[[#This Row],[100%Stock]],"null")</f>
        <v>0.29299999999999998</v>
      </c>
      <c r="V29" s="2">
        <f>IF(Table1[[#This Row],[Party]]="Democratic",Table1[[#This Row],[100% Bonds ]],"null")</f>
        <v>6.3E-2</v>
      </c>
      <c r="W29" s="2">
        <f>IF(Table1[[#This Row],[Party]]="Democratic",Table1[[#This Row],[S&amp;P 500 Index ]],"null")</f>
        <v>0.184</v>
      </c>
      <c r="X29" s="2">
        <f>ABS(Table1[[#This Row],[S&amp;P 500 Index ]])</f>
        <v>0.184</v>
      </c>
      <c r="Y29" s="2">
        <f>ABS(Table1[[#This Row],[100% Bonds ]])</f>
        <v>6.3E-2</v>
      </c>
    </row>
    <row r="30" spans="1:26" x14ac:dyDescent="0.6">
      <c r="A30" s="1" t="s">
        <v>47</v>
      </c>
      <c r="B30" s="1" t="s">
        <v>43</v>
      </c>
      <c r="C30" s="1">
        <v>1988</v>
      </c>
      <c r="D30" s="2">
        <v>6.6000000000000003E-2</v>
      </c>
      <c r="E30" s="2">
        <v>8.5000000000000006E-2</v>
      </c>
      <c r="F30" s="2">
        <v>0.104</v>
      </c>
      <c r="G30" s="2">
        <v>0.122</v>
      </c>
      <c r="H30" s="2">
        <v>0.14199999999999999</v>
      </c>
      <c r="I30" s="2">
        <v>0.161</v>
      </c>
      <c r="J30" s="2">
        <v>0.18099999999999999</v>
      </c>
      <c r="K30" s="2">
        <v>0.2</v>
      </c>
      <c r="L30" s="2">
        <v>0.221</v>
      </c>
      <c r="M30" s="2">
        <v>0.24099999999999999</v>
      </c>
      <c r="N30" s="2">
        <v>0.26100000000000001</v>
      </c>
      <c r="O30" s="2">
        <v>0.16800000000000001</v>
      </c>
      <c r="P30" s="4">
        <f>IF(Table1[[#This Row],[Party]]="Republican",1,0)</f>
        <v>1</v>
      </c>
      <c r="Q30" s="4">
        <f>IF(Table1[[#This Row],[Party]]="Democratic",1,0)</f>
        <v>0</v>
      </c>
      <c r="R30" s="2">
        <f>IF(Table1[[#This Row],[Party]]="Republican",Table1[[#This Row],[100%Stock]],"null")</f>
        <v>0.26100000000000001</v>
      </c>
      <c r="S30" s="2">
        <f>IF(Table1[[#This Row],[Party]]="Republican",Table1[[#This Row],[100% Bonds ]],"null")</f>
        <v>6.6000000000000003E-2</v>
      </c>
      <c r="T30" s="2">
        <f>IF(Table1[[#This Row],[Party]]="Republican",Table1[[#This Row],[S&amp;P 500 Index ]],"null")</f>
        <v>0.16800000000000001</v>
      </c>
      <c r="U30" s="2" t="str">
        <f>IF(Table1[[#This Row],[Party]]="Democratic",Table1[[#This Row],[100%Stock]],"null")</f>
        <v>null</v>
      </c>
      <c r="V30" s="2" t="str">
        <f>IF(Table1[[#This Row],[Party]]="Democratic",Table1[[#This Row],[100% Bonds ]],"null")</f>
        <v>null</v>
      </c>
      <c r="W30" s="2" t="str">
        <f>IF(Table1[[#This Row],[Party]]="Democratic",Table1[[#This Row],[S&amp;P 500 Index ]],"null")</f>
        <v>null</v>
      </c>
      <c r="X30" s="2">
        <f>ABS(Table1[[#This Row],[S&amp;P 500 Index ]])</f>
        <v>0.16800000000000001</v>
      </c>
      <c r="Y30" s="2">
        <f>ABS(Table1[[#This Row],[100% Bonds ]])</f>
        <v>6.6000000000000003E-2</v>
      </c>
    </row>
    <row r="31" spans="1:26" x14ac:dyDescent="0.6">
      <c r="A31" s="1" t="s">
        <v>46</v>
      </c>
      <c r="B31" s="1" t="s">
        <v>41</v>
      </c>
      <c r="C31" s="1">
        <v>2012</v>
      </c>
      <c r="D31" s="2">
        <v>3.4000000000000002E-2</v>
      </c>
      <c r="E31" s="2">
        <v>0.05</v>
      </c>
      <c r="F31" s="2">
        <v>6.6000000000000003E-2</v>
      </c>
      <c r="G31" s="2">
        <v>8.2000000000000003E-2</v>
      </c>
      <c r="H31" s="2">
        <v>9.8000000000000004E-2</v>
      </c>
      <c r="I31" s="2">
        <v>0.114</v>
      </c>
      <c r="J31" s="2">
        <v>0.13100000000000001</v>
      </c>
      <c r="K31" s="2">
        <v>0.14699999999999999</v>
      </c>
      <c r="L31" s="2">
        <v>0.16300000000000001</v>
      </c>
      <c r="M31" s="2">
        <v>0.17899999999999999</v>
      </c>
      <c r="N31" s="2">
        <v>0.19500000000000001</v>
      </c>
      <c r="O31" s="2">
        <v>0.16</v>
      </c>
      <c r="P31" s="4">
        <f>IF(Table1[[#This Row],[Party]]="Republican",1,0)</f>
        <v>0</v>
      </c>
      <c r="Q31" s="4">
        <f>IF(Table1[[#This Row],[Party]]="Democratic",1,0)</f>
        <v>1</v>
      </c>
      <c r="R31" s="2" t="str">
        <f>IF(Table1[[#This Row],[Party]]="Republican",Table1[[#This Row],[100%Stock]],"null")</f>
        <v>null</v>
      </c>
      <c r="S31" s="2" t="str">
        <f>IF(Table1[[#This Row],[Party]]="Republican",Table1[[#This Row],[100% Bonds ]],"null")</f>
        <v>null</v>
      </c>
      <c r="T31" s="2" t="str">
        <f>IF(Table1[[#This Row],[Party]]="Republican",Table1[[#This Row],[S&amp;P 500 Index ]],"null")</f>
        <v>null</v>
      </c>
      <c r="U31" s="2">
        <f>IF(Table1[[#This Row],[Party]]="Democratic",Table1[[#This Row],[100%Stock]],"null")</f>
        <v>0.19500000000000001</v>
      </c>
      <c r="V31" s="2">
        <f>IF(Table1[[#This Row],[Party]]="Democratic",Table1[[#This Row],[100% Bonds ]],"null")</f>
        <v>3.4000000000000002E-2</v>
      </c>
      <c r="W31" s="2">
        <f>IF(Table1[[#This Row],[Party]]="Democratic",Table1[[#This Row],[S&amp;P 500 Index ]],"null")</f>
        <v>0.16</v>
      </c>
      <c r="X31" s="2">
        <f>ABS(Table1[[#This Row],[S&amp;P 500 Index ]])</f>
        <v>0.16</v>
      </c>
      <c r="Y31" s="2">
        <f>ABS(Table1[[#This Row],[100% Bonds ]])</f>
        <v>3.4000000000000002E-2</v>
      </c>
    </row>
    <row r="32" spans="1:26" x14ac:dyDescent="0.6">
      <c r="A32" s="1" t="s">
        <v>44</v>
      </c>
      <c r="B32" s="1" t="s">
        <v>43</v>
      </c>
      <c r="C32" s="1">
        <v>2006</v>
      </c>
      <c r="D32" s="2">
        <v>0.03</v>
      </c>
      <c r="E32" s="2">
        <v>4.4999999999999998E-2</v>
      </c>
      <c r="F32" s="2">
        <v>0.06</v>
      </c>
      <c r="G32" s="2">
        <v>7.5999999999999998E-2</v>
      </c>
      <c r="H32" s="2">
        <v>9.0999999999999998E-2</v>
      </c>
      <c r="I32" s="2">
        <v>0.107</v>
      </c>
      <c r="J32" s="2">
        <v>0.123</v>
      </c>
      <c r="K32" s="2">
        <v>0.13800000000000001</v>
      </c>
      <c r="L32" s="2">
        <v>0.154</v>
      </c>
      <c r="M32" s="2">
        <v>0.17</v>
      </c>
      <c r="N32" s="2">
        <v>0.186</v>
      </c>
      <c r="O32" s="2">
        <v>0.158</v>
      </c>
      <c r="P32" s="4">
        <f>IF(Table1[[#This Row],[Party]]="Republican",1,0)</f>
        <v>1</v>
      </c>
      <c r="Q32" s="4">
        <f>IF(Table1[[#This Row],[Party]]="Democratic",1,0)</f>
        <v>0</v>
      </c>
      <c r="R32" s="2">
        <f>IF(Table1[[#This Row],[Party]]="Republican",Table1[[#This Row],[100%Stock]],"null")</f>
        <v>0.186</v>
      </c>
      <c r="S32" s="2">
        <f>IF(Table1[[#This Row],[Party]]="Republican",Table1[[#This Row],[100% Bonds ]],"null")</f>
        <v>0.03</v>
      </c>
      <c r="T32" s="2">
        <f>IF(Table1[[#This Row],[Party]]="Republican",Table1[[#This Row],[S&amp;P 500 Index ]],"null")</f>
        <v>0.158</v>
      </c>
      <c r="U32" s="2" t="str">
        <f>IF(Table1[[#This Row],[Party]]="Democratic",Table1[[#This Row],[100%Stock]],"null")</f>
        <v>null</v>
      </c>
      <c r="V32" s="2" t="str">
        <f>IF(Table1[[#This Row],[Party]]="Democratic",Table1[[#This Row],[100% Bonds ]],"null")</f>
        <v>null</v>
      </c>
      <c r="W32" s="2" t="str">
        <f>IF(Table1[[#This Row],[Party]]="Democratic",Table1[[#This Row],[S&amp;P 500 Index ]],"null")</f>
        <v>null</v>
      </c>
      <c r="X32" s="2">
        <f>ABS(Table1[[#This Row],[S&amp;P 500 Index ]])</f>
        <v>0.158</v>
      </c>
      <c r="Y32" s="2">
        <f>ABS(Table1[[#This Row],[100% Bonds ]])</f>
        <v>0.03</v>
      </c>
    </row>
    <row r="33" spans="1:25" x14ac:dyDescent="0.6">
      <c r="A33" s="1" t="s">
        <v>46</v>
      </c>
      <c r="B33" s="1" t="s">
        <v>41</v>
      </c>
      <c r="C33" s="1">
        <v>2010</v>
      </c>
      <c r="D33" s="2">
        <v>5.5E-2</v>
      </c>
      <c r="E33" s="2">
        <v>7.4999999999999997E-2</v>
      </c>
      <c r="F33" s="2">
        <v>9.5000000000000001E-2</v>
      </c>
      <c r="G33" s="2">
        <v>0.115</v>
      </c>
      <c r="H33" s="2">
        <v>0.13400000000000001</v>
      </c>
      <c r="I33" s="2">
        <v>0.153</v>
      </c>
      <c r="J33" s="2">
        <v>0.17199999999999999</v>
      </c>
      <c r="K33" s="2">
        <v>0.19</v>
      </c>
      <c r="L33" s="2">
        <v>0.20799999999999999</v>
      </c>
      <c r="M33" s="2">
        <v>0.22500000000000001</v>
      </c>
      <c r="N33" s="2">
        <v>0.24199999999999999</v>
      </c>
      <c r="O33" s="2">
        <v>0.151</v>
      </c>
      <c r="P33" s="4">
        <f>IF(Table1[[#This Row],[Party]]="Republican",1,0)</f>
        <v>0</v>
      </c>
      <c r="Q33" s="4">
        <f>IF(Table1[[#This Row],[Party]]="Democratic",1,0)</f>
        <v>1</v>
      </c>
      <c r="R33" s="2" t="str">
        <f>IF(Table1[[#This Row],[Party]]="Republican",Table1[[#This Row],[100%Stock]],"null")</f>
        <v>null</v>
      </c>
      <c r="S33" s="2" t="str">
        <f>IF(Table1[[#This Row],[Party]]="Republican",Table1[[#This Row],[100% Bonds ]],"null")</f>
        <v>null</v>
      </c>
      <c r="T33" s="2" t="str">
        <f>IF(Table1[[#This Row],[Party]]="Republican",Table1[[#This Row],[S&amp;P 500 Index ]],"null")</f>
        <v>null</v>
      </c>
      <c r="U33" s="2">
        <f>IF(Table1[[#This Row],[Party]]="Democratic",Table1[[#This Row],[100%Stock]],"null")</f>
        <v>0.24199999999999999</v>
      </c>
      <c r="V33" s="2">
        <f>IF(Table1[[#This Row],[Party]]="Democratic",Table1[[#This Row],[100% Bonds ]],"null")</f>
        <v>5.5E-2</v>
      </c>
      <c r="W33" s="2">
        <f>IF(Table1[[#This Row],[Party]]="Democratic",Table1[[#This Row],[S&amp;P 500 Index ]],"null")</f>
        <v>0.151</v>
      </c>
      <c r="X33" s="2">
        <f>ABS(Table1[[#This Row],[S&amp;P 500 Index ]])</f>
        <v>0.151</v>
      </c>
      <c r="Y33" s="2">
        <f>ABS(Table1[[#This Row],[100% Bonds ]])</f>
        <v>5.5E-2</v>
      </c>
    </row>
    <row r="34" spans="1:25" x14ac:dyDescent="0.6">
      <c r="A34" s="1" t="s">
        <v>50</v>
      </c>
      <c r="B34" s="1" t="s">
        <v>43</v>
      </c>
      <c r="C34" s="1">
        <v>1973</v>
      </c>
      <c r="D34" s="2">
        <v>4.3999999999999997E-2</v>
      </c>
      <c r="E34" s="2">
        <v>1.4999999999999999E-2</v>
      </c>
      <c r="F34" s="3">
        <v>-1.4E-2</v>
      </c>
      <c r="G34" s="3">
        <v>-4.2999999999999997E-2</v>
      </c>
      <c r="H34" s="3">
        <v>-7.0999999999999994E-2</v>
      </c>
      <c r="I34" s="3">
        <v>-9.9000000000000005E-2</v>
      </c>
      <c r="J34" s="3">
        <v>-0.127</v>
      </c>
      <c r="K34" s="3">
        <v>-0.154</v>
      </c>
      <c r="L34" s="3">
        <v>-0.18</v>
      </c>
      <c r="M34" s="3">
        <v>-0.20699999999999999</v>
      </c>
      <c r="N34" s="3">
        <v>-0.23200000000000001</v>
      </c>
      <c r="O34" s="3">
        <v>-0.14699999999999999</v>
      </c>
      <c r="P34" s="4">
        <f>IF(Table1[[#This Row],[Party]]="Republican",1,0)</f>
        <v>1</v>
      </c>
      <c r="Q34" s="4">
        <f>IF(Table1[[#This Row],[Party]]="Democratic",1,0)</f>
        <v>0</v>
      </c>
      <c r="R34" s="2">
        <f>IF(Table1[[#This Row],[Party]]="Republican",Table1[[#This Row],[100%Stock]],"null")</f>
        <v>-0.23200000000000001</v>
      </c>
      <c r="S34" s="2">
        <f>IF(Table1[[#This Row],[Party]]="Republican",Table1[[#This Row],[100% Bonds ]],"null")</f>
        <v>4.3999999999999997E-2</v>
      </c>
      <c r="T34" s="2">
        <f>IF(Table1[[#This Row],[Party]]="Republican",Table1[[#This Row],[S&amp;P 500 Index ]],"null")</f>
        <v>-0.14699999999999999</v>
      </c>
      <c r="U34" s="2" t="str">
        <f>IF(Table1[[#This Row],[Party]]="Democratic",Table1[[#This Row],[100%Stock]],"null")</f>
        <v>null</v>
      </c>
      <c r="V34" s="2" t="str">
        <f>IF(Table1[[#This Row],[Party]]="Democratic",Table1[[#This Row],[100% Bonds ]],"null")</f>
        <v>null</v>
      </c>
      <c r="W34" s="2" t="str">
        <f>IF(Table1[[#This Row],[Party]]="Democratic",Table1[[#This Row],[S&amp;P 500 Index ]],"null")</f>
        <v>null</v>
      </c>
      <c r="X34" s="2">
        <f>ABS(Table1[[#This Row],[S&amp;P 500 Index ]])</f>
        <v>0.14699999999999999</v>
      </c>
      <c r="Y34" s="2">
        <f>ABS(Table1[[#This Row],[100% Bonds ]])</f>
        <v>4.3999999999999997E-2</v>
      </c>
    </row>
    <row r="35" spans="1:25" x14ac:dyDescent="0.6">
      <c r="A35" s="1" t="s">
        <v>50</v>
      </c>
      <c r="B35" s="1" t="s">
        <v>43</v>
      </c>
      <c r="C35" s="1">
        <v>1971</v>
      </c>
      <c r="D35" s="2">
        <v>7.6999999999999999E-2</v>
      </c>
      <c r="E35" s="2">
        <v>8.5000000000000006E-2</v>
      </c>
      <c r="F35" s="2">
        <v>9.2999999999999999E-2</v>
      </c>
      <c r="G35" s="2">
        <v>0.10100000000000001</v>
      </c>
      <c r="H35" s="2">
        <v>0.109</v>
      </c>
      <c r="I35" s="2">
        <v>0.11600000000000001</v>
      </c>
      <c r="J35" s="2">
        <v>0.123</v>
      </c>
      <c r="K35" s="2">
        <v>0.13</v>
      </c>
      <c r="L35" s="2">
        <v>0.13600000000000001</v>
      </c>
      <c r="M35" s="2">
        <v>0.14199999999999999</v>
      </c>
      <c r="N35" s="2">
        <v>0.14799999999999999</v>
      </c>
      <c r="O35" s="2">
        <v>0.14299999999999999</v>
      </c>
      <c r="P35" s="4">
        <f>IF(Table1[[#This Row],[Party]]="Republican",1,0)</f>
        <v>1</v>
      </c>
      <c r="Q35" s="4">
        <f>IF(Table1[[#This Row],[Party]]="Democratic",1,0)</f>
        <v>0</v>
      </c>
      <c r="R35" s="2">
        <f>IF(Table1[[#This Row],[Party]]="Republican",Table1[[#This Row],[100%Stock]],"null")</f>
        <v>0.14799999999999999</v>
      </c>
      <c r="S35" s="2">
        <f>IF(Table1[[#This Row],[Party]]="Republican",Table1[[#This Row],[100% Bonds ]],"null")</f>
        <v>7.6999999999999999E-2</v>
      </c>
      <c r="T35" s="2">
        <f>IF(Table1[[#This Row],[Party]]="Republican",Table1[[#This Row],[S&amp;P 500 Index ]],"null")</f>
        <v>0.14299999999999999</v>
      </c>
      <c r="U35" s="2" t="str">
        <f>IF(Table1[[#This Row],[Party]]="Democratic",Table1[[#This Row],[100%Stock]],"null")</f>
        <v>null</v>
      </c>
      <c r="V35" s="2" t="str">
        <f>IF(Table1[[#This Row],[Party]]="Democratic",Table1[[#This Row],[100% Bonds ]],"null")</f>
        <v>null</v>
      </c>
      <c r="W35" s="2" t="str">
        <f>IF(Table1[[#This Row],[Party]]="Democratic",Table1[[#This Row],[S&amp;P 500 Index ]],"null")</f>
        <v>null</v>
      </c>
      <c r="X35" s="2">
        <f>ABS(Table1[[#This Row],[S&amp;P 500 Index ]])</f>
        <v>0.14299999999999999</v>
      </c>
      <c r="Y35" s="2">
        <f>ABS(Table1[[#This Row],[100% Bonds ]])</f>
        <v>7.6999999999999999E-2</v>
      </c>
    </row>
    <row r="36" spans="1:25" x14ac:dyDescent="0.6">
      <c r="A36" s="1" t="s">
        <v>46</v>
      </c>
      <c r="B36" s="1" t="s">
        <v>41</v>
      </c>
      <c r="C36" s="1">
        <v>2014</v>
      </c>
      <c r="D36" s="2">
        <v>3.4000000000000002E-2</v>
      </c>
      <c r="E36" s="2">
        <v>3.9E-2</v>
      </c>
      <c r="F36" s="2">
        <v>4.3999999999999997E-2</v>
      </c>
      <c r="G36" s="2">
        <v>4.9000000000000002E-2</v>
      </c>
      <c r="H36" s="2">
        <v>5.3999999999999999E-2</v>
      </c>
      <c r="I36" s="2">
        <v>5.8000000000000003E-2</v>
      </c>
      <c r="J36" s="2">
        <v>6.3E-2</v>
      </c>
      <c r="K36" s="2">
        <v>6.7000000000000004E-2</v>
      </c>
      <c r="L36" s="2">
        <v>7.0999999999999994E-2</v>
      </c>
      <c r="M36" s="2">
        <v>7.5999999999999998E-2</v>
      </c>
      <c r="N36" s="2">
        <v>0.08</v>
      </c>
      <c r="O36" s="2">
        <v>0.13700000000000001</v>
      </c>
      <c r="P36" s="4">
        <f>IF(Table1[[#This Row],[Party]]="Republican",1,0)</f>
        <v>0</v>
      </c>
      <c r="Q36" s="4">
        <f>IF(Table1[[#This Row],[Party]]="Democratic",1,0)</f>
        <v>1</v>
      </c>
      <c r="R36" s="2" t="str">
        <f>IF(Table1[[#This Row],[Party]]="Republican",Table1[[#This Row],[100%Stock]],"null")</f>
        <v>null</v>
      </c>
      <c r="S36" s="2" t="str">
        <f>IF(Table1[[#This Row],[Party]]="Republican",Table1[[#This Row],[100% Bonds ]],"null")</f>
        <v>null</v>
      </c>
      <c r="T36" s="2" t="str">
        <f>IF(Table1[[#This Row],[Party]]="Republican",Table1[[#This Row],[S&amp;P 500 Index ]],"null")</f>
        <v>null</v>
      </c>
      <c r="U36" s="2">
        <f>IF(Table1[[#This Row],[Party]]="Democratic",Table1[[#This Row],[100%Stock]],"null")</f>
        <v>0.08</v>
      </c>
      <c r="V36" s="2">
        <f>IF(Table1[[#This Row],[Party]]="Democratic",Table1[[#This Row],[100% Bonds ]],"null")</f>
        <v>3.4000000000000002E-2</v>
      </c>
      <c r="W36" s="2">
        <f>IF(Table1[[#This Row],[Party]]="Democratic",Table1[[#This Row],[S&amp;P 500 Index ]],"null")</f>
        <v>0.13700000000000001</v>
      </c>
      <c r="X36" s="2">
        <f>ABS(Table1[[#This Row],[S&amp;P 500 Index ]])</f>
        <v>0.13700000000000001</v>
      </c>
      <c r="Y36" s="2">
        <f>ABS(Table1[[#This Row],[100% Bonds ]])</f>
        <v>3.4000000000000002E-2</v>
      </c>
    </row>
    <row r="37" spans="1:25" x14ac:dyDescent="0.6">
      <c r="A37" s="1" t="s">
        <v>46</v>
      </c>
      <c r="B37" s="1" t="s">
        <v>41</v>
      </c>
      <c r="C37" s="1">
        <v>2016</v>
      </c>
      <c r="D37" s="2">
        <v>1.7999999999999999E-2</v>
      </c>
      <c r="E37" s="2">
        <v>3.5999999999999997E-2</v>
      </c>
      <c r="F37" s="2">
        <v>5.5E-2</v>
      </c>
      <c r="G37" s="2">
        <v>7.3999999999999996E-2</v>
      </c>
      <c r="H37" s="2">
        <v>9.2999999999999999E-2</v>
      </c>
      <c r="I37" s="2">
        <v>0.112</v>
      </c>
      <c r="J37" s="2">
        <v>0.13100000000000001</v>
      </c>
      <c r="K37" s="2">
        <v>0.15</v>
      </c>
      <c r="L37" s="2">
        <v>0.16800000000000001</v>
      </c>
      <c r="M37" s="2">
        <v>0.187</v>
      </c>
      <c r="N37" s="2">
        <v>0.20599999999999999</v>
      </c>
      <c r="O37" s="2">
        <v>0.12</v>
      </c>
      <c r="P37" s="4">
        <f>IF(Table1[[#This Row],[Party]]="Republican",1,0)</f>
        <v>0</v>
      </c>
      <c r="Q37" s="4">
        <f>IF(Table1[[#This Row],[Party]]="Democratic",1,0)</f>
        <v>1</v>
      </c>
      <c r="R37" s="2" t="str">
        <f>IF(Table1[[#This Row],[Party]]="Republican",Table1[[#This Row],[100%Stock]],"null")</f>
        <v>null</v>
      </c>
      <c r="S37" s="2" t="str">
        <f>IF(Table1[[#This Row],[Party]]="Republican",Table1[[#This Row],[100% Bonds ]],"null")</f>
        <v>null</v>
      </c>
      <c r="T37" s="2" t="str">
        <f>IF(Table1[[#This Row],[Party]]="Republican",Table1[[#This Row],[S&amp;P 500 Index ]],"null")</f>
        <v>null</v>
      </c>
      <c r="U37" s="2">
        <f>IF(Table1[[#This Row],[Party]]="Democratic",Table1[[#This Row],[100%Stock]],"null")</f>
        <v>0.20599999999999999</v>
      </c>
      <c r="V37" s="2">
        <f>IF(Table1[[#This Row],[Party]]="Democratic",Table1[[#This Row],[100% Bonds ]],"null")</f>
        <v>1.7999999999999999E-2</v>
      </c>
      <c r="W37" s="2">
        <f>IF(Table1[[#This Row],[Party]]="Democratic",Table1[[#This Row],[S&amp;P 500 Index ]],"null")</f>
        <v>0.12</v>
      </c>
      <c r="X37" s="2">
        <f>ABS(Table1[[#This Row],[S&amp;P 500 Index ]])</f>
        <v>0.12</v>
      </c>
      <c r="Y37" s="2">
        <f>ABS(Table1[[#This Row],[100% Bonds ]])</f>
        <v>1.7999999999999999E-2</v>
      </c>
    </row>
    <row r="38" spans="1:25" x14ac:dyDescent="0.6">
      <c r="A38" s="1" t="s">
        <v>44</v>
      </c>
      <c r="B38" s="1" t="s">
        <v>43</v>
      </c>
      <c r="C38" s="1">
        <v>2001</v>
      </c>
      <c r="D38" s="2">
        <v>8.1000000000000003E-2</v>
      </c>
      <c r="E38" s="2">
        <v>8.2000000000000003E-2</v>
      </c>
      <c r="F38" s="2">
        <v>8.2000000000000003E-2</v>
      </c>
      <c r="G38" s="2">
        <v>8.2000000000000003E-2</v>
      </c>
      <c r="H38" s="2">
        <v>8.1000000000000003E-2</v>
      </c>
      <c r="I38" s="2">
        <v>0.08</v>
      </c>
      <c r="J38" s="2">
        <v>7.6999999999999999E-2</v>
      </c>
      <c r="K38" s="2">
        <v>7.4999999999999997E-2</v>
      </c>
      <c r="L38" s="2">
        <v>7.1999999999999995E-2</v>
      </c>
      <c r="M38" s="2">
        <v>6.8000000000000005E-2</v>
      </c>
      <c r="N38" s="2">
        <v>6.4000000000000001E-2</v>
      </c>
      <c r="O38" s="3">
        <v>-0.11899999999999999</v>
      </c>
      <c r="P38" s="4">
        <f>IF(Table1[[#This Row],[Party]]="Republican",1,0)</f>
        <v>1</v>
      </c>
      <c r="Q38" s="4">
        <f>IF(Table1[[#This Row],[Party]]="Democratic",1,0)</f>
        <v>0</v>
      </c>
      <c r="R38" s="2">
        <f>IF(Table1[[#This Row],[Party]]="Republican",Table1[[#This Row],[100%Stock]],"null")</f>
        <v>6.4000000000000001E-2</v>
      </c>
      <c r="S38" s="2">
        <f>IF(Table1[[#This Row],[Party]]="Republican",Table1[[#This Row],[100% Bonds ]],"null")</f>
        <v>8.1000000000000003E-2</v>
      </c>
      <c r="T38" s="2">
        <f>IF(Table1[[#This Row],[Party]]="Republican",Table1[[#This Row],[S&amp;P 500 Index ]],"null")</f>
        <v>-0.11899999999999999</v>
      </c>
      <c r="U38" s="2" t="str">
        <f>IF(Table1[[#This Row],[Party]]="Democratic",Table1[[#This Row],[100%Stock]],"null")</f>
        <v>null</v>
      </c>
      <c r="V38" s="2" t="str">
        <f>IF(Table1[[#This Row],[Party]]="Democratic",Table1[[#This Row],[100% Bonds ]],"null")</f>
        <v>null</v>
      </c>
      <c r="W38" s="2" t="str">
        <f>IF(Table1[[#This Row],[Party]]="Democratic",Table1[[#This Row],[S&amp;P 500 Index ]],"null")</f>
        <v>null</v>
      </c>
      <c r="X38" s="2">
        <f>ABS(Table1[[#This Row],[S&amp;P 500 Index ]])</f>
        <v>0.11899999999999999</v>
      </c>
      <c r="Y38" s="2">
        <f>ABS(Table1[[#This Row],[100% Bonds ]])</f>
        <v>8.1000000000000003E-2</v>
      </c>
    </row>
    <row r="39" spans="1:25" x14ac:dyDescent="0.6">
      <c r="A39" s="1" t="s">
        <v>44</v>
      </c>
      <c r="B39" s="1" t="s">
        <v>43</v>
      </c>
      <c r="C39" s="1">
        <v>2004</v>
      </c>
      <c r="D39" s="2">
        <v>0.04</v>
      </c>
      <c r="E39" s="2">
        <v>5.3999999999999999E-2</v>
      </c>
      <c r="F39" s="2">
        <v>6.8000000000000005E-2</v>
      </c>
      <c r="G39" s="2">
        <v>8.2000000000000003E-2</v>
      </c>
      <c r="H39" s="2">
        <v>9.6000000000000002E-2</v>
      </c>
      <c r="I39" s="2">
        <v>0.11</v>
      </c>
      <c r="J39" s="2">
        <v>0.124</v>
      </c>
      <c r="K39" s="2">
        <v>0.13900000000000001</v>
      </c>
      <c r="L39" s="2">
        <v>0.153</v>
      </c>
      <c r="M39" s="2">
        <v>0.16700000000000001</v>
      </c>
      <c r="N39" s="2">
        <v>0.18099999999999999</v>
      </c>
      <c r="O39" s="2">
        <v>0.109</v>
      </c>
      <c r="P39" s="4">
        <f>IF(Table1[[#This Row],[Party]]="Republican",1,0)</f>
        <v>1</v>
      </c>
      <c r="Q39" s="4">
        <f>IF(Table1[[#This Row],[Party]]="Democratic",1,0)</f>
        <v>0</v>
      </c>
      <c r="R39" s="2">
        <f>IF(Table1[[#This Row],[Party]]="Republican",Table1[[#This Row],[100%Stock]],"null")</f>
        <v>0.18099999999999999</v>
      </c>
      <c r="S39" s="2">
        <f>IF(Table1[[#This Row],[Party]]="Republican",Table1[[#This Row],[100% Bonds ]],"null")</f>
        <v>0.04</v>
      </c>
      <c r="T39" s="2">
        <f>IF(Table1[[#This Row],[Party]]="Republican",Table1[[#This Row],[S&amp;P 500 Index ]],"null")</f>
        <v>0.109</v>
      </c>
      <c r="U39" s="2" t="str">
        <f>IF(Table1[[#This Row],[Party]]="Democratic",Table1[[#This Row],[100%Stock]],"null")</f>
        <v>null</v>
      </c>
      <c r="V39" s="2" t="str">
        <f>IF(Table1[[#This Row],[Party]]="Democratic",Table1[[#This Row],[100% Bonds ]],"null")</f>
        <v>null</v>
      </c>
      <c r="W39" s="2" t="str">
        <f>IF(Table1[[#This Row],[Party]]="Democratic",Table1[[#This Row],[S&amp;P 500 Index ]],"null")</f>
        <v>null</v>
      </c>
      <c r="X39" s="2">
        <f>ABS(Table1[[#This Row],[S&amp;P 500 Index ]])</f>
        <v>0.109</v>
      </c>
      <c r="Y39" s="2">
        <f>ABS(Table1[[#This Row],[100% Bonds ]])</f>
        <v>0.04</v>
      </c>
    </row>
    <row r="40" spans="1:25" x14ac:dyDescent="0.6">
      <c r="A40" s="1" t="s">
        <v>40</v>
      </c>
      <c r="B40" s="1" t="s">
        <v>41</v>
      </c>
      <c r="C40" s="1">
        <v>1993</v>
      </c>
      <c r="D40" s="2">
        <v>9.7000000000000003E-2</v>
      </c>
      <c r="E40" s="2">
        <v>0.104</v>
      </c>
      <c r="F40" s="2">
        <v>0.111</v>
      </c>
      <c r="G40" s="2">
        <v>0.11700000000000001</v>
      </c>
      <c r="H40" s="2">
        <v>0.124</v>
      </c>
      <c r="I40" s="2">
        <v>0.13100000000000001</v>
      </c>
      <c r="J40" s="2">
        <v>0.13800000000000001</v>
      </c>
      <c r="K40" s="2">
        <v>0.14399999999999999</v>
      </c>
      <c r="L40" s="2">
        <v>0.151</v>
      </c>
      <c r="M40" s="2">
        <v>0.158</v>
      </c>
      <c r="N40" s="2">
        <v>0.16500000000000001</v>
      </c>
      <c r="O40" s="2">
        <v>0.10100000000000001</v>
      </c>
      <c r="P40" s="4">
        <f>IF(Table1[[#This Row],[Party]]="Republican",1,0)</f>
        <v>0</v>
      </c>
      <c r="Q40" s="4">
        <f>IF(Table1[[#This Row],[Party]]="Democratic",1,0)</f>
        <v>1</v>
      </c>
      <c r="R40" s="2" t="str">
        <f>IF(Table1[[#This Row],[Party]]="Republican",Table1[[#This Row],[100%Stock]],"null")</f>
        <v>null</v>
      </c>
      <c r="S40" s="2" t="str">
        <f>IF(Table1[[#This Row],[Party]]="Republican",Table1[[#This Row],[100% Bonds ]],"null")</f>
        <v>null</v>
      </c>
      <c r="T40" s="2" t="str">
        <f>IF(Table1[[#This Row],[Party]]="Republican",Table1[[#This Row],[S&amp;P 500 Index ]],"null")</f>
        <v>null</v>
      </c>
      <c r="U40" s="2">
        <f>IF(Table1[[#This Row],[Party]]="Democratic",Table1[[#This Row],[100%Stock]],"null")</f>
        <v>0.16500000000000001</v>
      </c>
      <c r="V40" s="2">
        <f>IF(Table1[[#This Row],[Party]]="Democratic",Table1[[#This Row],[100% Bonds ]],"null")</f>
        <v>9.7000000000000003E-2</v>
      </c>
      <c r="W40" s="2">
        <f>IF(Table1[[#This Row],[Party]]="Democratic",Table1[[#This Row],[S&amp;P 500 Index ]],"null")</f>
        <v>0.10100000000000001</v>
      </c>
      <c r="X40" s="2">
        <f>ABS(Table1[[#This Row],[S&amp;P 500 Index ]])</f>
        <v>0.10100000000000001</v>
      </c>
      <c r="Y40" s="2">
        <f>ABS(Table1[[#This Row],[100% Bonds ]])</f>
        <v>9.7000000000000003E-2</v>
      </c>
    </row>
    <row r="41" spans="1:25" x14ac:dyDescent="0.6">
      <c r="A41" s="1" t="s">
        <v>40</v>
      </c>
      <c r="B41" s="1" t="s">
        <v>41</v>
      </c>
      <c r="C41" s="1">
        <v>2000</v>
      </c>
      <c r="D41" s="2">
        <v>0.11700000000000001</v>
      </c>
      <c r="E41" s="2">
        <v>0.11</v>
      </c>
      <c r="F41" s="2">
        <v>0.10299999999999999</v>
      </c>
      <c r="G41" s="2">
        <v>9.6000000000000002E-2</v>
      </c>
      <c r="H41" s="2">
        <v>8.7999999999999995E-2</v>
      </c>
      <c r="I41" s="2">
        <v>8.1000000000000003E-2</v>
      </c>
      <c r="J41" s="2">
        <v>7.2999999999999995E-2</v>
      </c>
      <c r="K41" s="2">
        <v>6.5000000000000002E-2</v>
      </c>
      <c r="L41" s="2">
        <v>5.7000000000000002E-2</v>
      </c>
      <c r="M41" s="2">
        <v>4.9000000000000002E-2</v>
      </c>
      <c r="N41" s="2">
        <v>4.1000000000000002E-2</v>
      </c>
      <c r="O41" s="3">
        <v>-9.0999999999999998E-2</v>
      </c>
      <c r="P41" s="4">
        <f>IF(Table1[[#This Row],[Party]]="Republican",1,0)</f>
        <v>0</v>
      </c>
      <c r="Q41" s="4">
        <f>IF(Table1[[#This Row],[Party]]="Democratic",1,0)</f>
        <v>1</v>
      </c>
      <c r="R41" s="2" t="str">
        <f>IF(Table1[[#This Row],[Party]]="Republican",Table1[[#This Row],[100%Stock]],"null")</f>
        <v>null</v>
      </c>
      <c r="S41" s="2" t="str">
        <f>IF(Table1[[#This Row],[Party]]="Republican",Table1[[#This Row],[100% Bonds ]],"null")</f>
        <v>null</v>
      </c>
      <c r="T41" s="2" t="str">
        <f>IF(Table1[[#This Row],[Party]]="Republican",Table1[[#This Row],[S&amp;P 500 Index ]],"null")</f>
        <v>null</v>
      </c>
      <c r="U41" s="2">
        <f>IF(Table1[[#This Row],[Party]]="Democratic",Table1[[#This Row],[100%Stock]],"null")</f>
        <v>4.1000000000000002E-2</v>
      </c>
      <c r="V41" s="2">
        <f>IF(Table1[[#This Row],[Party]]="Democratic",Table1[[#This Row],[100% Bonds ]],"null")</f>
        <v>0.11700000000000001</v>
      </c>
      <c r="W41" s="2">
        <f>IF(Table1[[#This Row],[Party]]="Democratic",Table1[[#This Row],[S&amp;P 500 Index ]],"null")</f>
        <v>-9.0999999999999998E-2</v>
      </c>
      <c r="X41" s="2">
        <f>ABS(Table1[[#This Row],[S&amp;P 500 Index ]])</f>
        <v>9.0999999999999998E-2</v>
      </c>
      <c r="Y41" s="2">
        <f>ABS(Table1[[#This Row],[100% Bonds ]])</f>
        <v>0.11700000000000001</v>
      </c>
    </row>
    <row r="42" spans="1:25" x14ac:dyDescent="0.6">
      <c r="A42" s="1" t="s">
        <v>48</v>
      </c>
      <c r="B42" s="1" t="s">
        <v>43</v>
      </c>
      <c r="C42" s="1">
        <v>1992</v>
      </c>
      <c r="D42" s="2">
        <v>7.1999999999999995E-2</v>
      </c>
      <c r="E42" s="2">
        <v>8.5000000000000006E-2</v>
      </c>
      <c r="F42" s="2">
        <v>9.8000000000000004E-2</v>
      </c>
      <c r="G42" s="2">
        <v>0.111</v>
      </c>
      <c r="H42" s="2">
        <v>0.124</v>
      </c>
      <c r="I42" s="2">
        <v>0.13700000000000001</v>
      </c>
      <c r="J42" s="2">
        <v>0.15</v>
      </c>
      <c r="K42" s="2">
        <v>0.16300000000000001</v>
      </c>
      <c r="L42" s="2">
        <v>0.17599999999999999</v>
      </c>
      <c r="M42" s="2">
        <v>0.189</v>
      </c>
      <c r="N42" s="2">
        <v>0.20200000000000001</v>
      </c>
      <c r="O42" s="2">
        <v>7.5999999999999998E-2</v>
      </c>
      <c r="P42" s="4">
        <f>IF(Table1[[#This Row],[Party]]="Republican",1,0)</f>
        <v>1</v>
      </c>
      <c r="Q42" s="4">
        <f>IF(Table1[[#This Row],[Party]]="Democratic",1,0)</f>
        <v>0</v>
      </c>
      <c r="R42" s="2">
        <f>IF(Table1[[#This Row],[Party]]="Republican",Table1[[#This Row],[100%Stock]],"null")</f>
        <v>0.20200000000000001</v>
      </c>
      <c r="S42" s="2">
        <f>IF(Table1[[#This Row],[Party]]="Republican",Table1[[#This Row],[100% Bonds ]],"null")</f>
        <v>7.1999999999999995E-2</v>
      </c>
      <c r="T42" s="2">
        <f>IF(Table1[[#This Row],[Party]]="Republican",Table1[[#This Row],[S&amp;P 500 Index ]],"null")</f>
        <v>7.5999999999999998E-2</v>
      </c>
      <c r="U42" s="2" t="str">
        <f>IF(Table1[[#This Row],[Party]]="Democratic",Table1[[#This Row],[100%Stock]],"null")</f>
        <v>null</v>
      </c>
      <c r="V42" s="2" t="str">
        <f>IF(Table1[[#This Row],[Party]]="Democratic",Table1[[#This Row],[100% Bonds ]],"null")</f>
        <v>null</v>
      </c>
      <c r="W42" s="2" t="str">
        <f>IF(Table1[[#This Row],[Party]]="Democratic",Table1[[#This Row],[S&amp;P 500 Index ]],"null")</f>
        <v>null</v>
      </c>
      <c r="X42" s="2">
        <f>ABS(Table1[[#This Row],[S&amp;P 500 Index ]])</f>
        <v>7.5999999999999998E-2</v>
      </c>
      <c r="Y42" s="2">
        <f>ABS(Table1[[#This Row],[100% Bonds ]])</f>
        <v>7.1999999999999995E-2</v>
      </c>
    </row>
    <row r="43" spans="1:25" x14ac:dyDescent="0.6">
      <c r="A43" s="1" t="s">
        <v>42</v>
      </c>
      <c r="B43" s="1" t="s">
        <v>43</v>
      </c>
      <c r="C43" s="1">
        <v>1977</v>
      </c>
      <c r="D43" s="2">
        <v>0.03</v>
      </c>
      <c r="E43" s="2">
        <v>3.5999999999999997E-2</v>
      </c>
      <c r="F43" s="2">
        <v>4.2000000000000003E-2</v>
      </c>
      <c r="G43" s="2">
        <v>4.8000000000000001E-2</v>
      </c>
      <c r="H43" s="2">
        <v>5.2999999999999999E-2</v>
      </c>
      <c r="I43" s="2">
        <v>5.8999999999999997E-2</v>
      </c>
      <c r="J43" s="2">
        <v>6.5000000000000002E-2</v>
      </c>
      <c r="K43" s="2">
        <v>7.0999999999999994E-2</v>
      </c>
      <c r="L43" s="2">
        <v>7.6999999999999999E-2</v>
      </c>
      <c r="M43" s="2">
        <v>8.2000000000000003E-2</v>
      </c>
      <c r="N43" s="2">
        <v>8.7999999999999995E-2</v>
      </c>
      <c r="O43" s="3">
        <v>-7.1999999999999995E-2</v>
      </c>
      <c r="P43" s="4">
        <f>IF(Table1[[#This Row],[Party]]="Republican",1,0)</f>
        <v>1</v>
      </c>
      <c r="Q43" s="4">
        <f>IF(Table1[[#This Row],[Party]]="Democratic",1,0)</f>
        <v>0</v>
      </c>
      <c r="R43" s="2">
        <f>IF(Table1[[#This Row],[Party]]="Republican",Table1[[#This Row],[100%Stock]],"null")</f>
        <v>8.7999999999999995E-2</v>
      </c>
      <c r="S43" s="2">
        <f>IF(Table1[[#This Row],[Party]]="Republican",Table1[[#This Row],[100% Bonds ]],"null")</f>
        <v>0.03</v>
      </c>
      <c r="T43" s="2">
        <f>IF(Table1[[#This Row],[Party]]="Republican",Table1[[#This Row],[S&amp;P 500 Index ]],"null")</f>
        <v>-7.1999999999999995E-2</v>
      </c>
      <c r="U43" s="2" t="str">
        <f>IF(Table1[[#This Row],[Party]]="Democratic",Table1[[#This Row],[100%Stock]],"null")</f>
        <v>null</v>
      </c>
      <c r="V43" s="2" t="str">
        <f>IF(Table1[[#This Row],[Party]]="Democratic",Table1[[#This Row],[100% Bonds ]],"null")</f>
        <v>null</v>
      </c>
      <c r="W43" s="2" t="str">
        <f>IF(Table1[[#This Row],[Party]]="Democratic",Table1[[#This Row],[S&amp;P 500 Index ]],"null")</f>
        <v>null</v>
      </c>
      <c r="X43" s="2">
        <f>ABS(Table1[[#This Row],[S&amp;P 500 Index ]])</f>
        <v>7.1999999999999995E-2</v>
      </c>
      <c r="Y43" s="2">
        <f>ABS(Table1[[#This Row],[100% Bonds ]])</f>
        <v>0.03</v>
      </c>
    </row>
    <row r="44" spans="1:25" x14ac:dyDescent="0.6">
      <c r="A44" s="1" t="s">
        <v>45</v>
      </c>
      <c r="B44" s="1" t="s">
        <v>41</v>
      </c>
      <c r="C44" s="1">
        <v>1978</v>
      </c>
      <c r="D44" s="2">
        <v>2.3E-2</v>
      </c>
      <c r="E44" s="2">
        <v>3.6999999999999998E-2</v>
      </c>
      <c r="F44" s="2">
        <v>0.05</v>
      </c>
      <c r="G44" s="2">
        <v>6.3E-2</v>
      </c>
      <c r="H44" s="2">
        <v>7.5999999999999998E-2</v>
      </c>
      <c r="I44" s="2">
        <v>8.8999999999999996E-2</v>
      </c>
      <c r="J44" s="2">
        <v>0.10100000000000001</v>
      </c>
      <c r="K44" s="2">
        <v>0.113</v>
      </c>
      <c r="L44" s="2">
        <v>0.125</v>
      </c>
      <c r="M44" s="2">
        <v>0.13600000000000001</v>
      </c>
      <c r="N44" s="2">
        <v>0.14699999999999999</v>
      </c>
      <c r="O44" s="2">
        <v>6.6000000000000003E-2</v>
      </c>
      <c r="P44" s="4">
        <f>IF(Table1[[#This Row],[Party]]="Republican",1,0)</f>
        <v>0</v>
      </c>
      <c r="Q44" s="4">
        <f>IF(Table1[[#This Row],[Party]]="Democratic",1,0)</f>
        <v>1</v>
      </c>
      <c r="R44" s="2" t="str">
        <f>IF(Table1[[#This Row],[Party]]="Republican",Table1[[#This Row],[100%Stock]],"null")</f>
        <v>null</v>
      </c>
      <c r="S44" s="2" t="str">
        <f>IF(Table1[[#This Row],[Party]]="Republican",Table1[[#This Row],[100% Bonds ]],"null")</f>
        <v>null</v>
      </c>
      <c r="T44" s="2" t="str">
        <f>IF(Table1[[#This Row],[Party]]="Republican",Table1[[#This Row],[S&amp;P 500 Index ]],"null")</f>
        <v>null</v>
      </c>
      <c r="U44" s="2">
        <f>IF(Table1[[#This Row],[Party]]="Democratic",Table1[[#This Row],[100%Stock]],"null")</f>
        <v>0.14699999999999999</v>
      </c>
      <c r="V44" s="2">
        <f>IF(Table1[[#This Row],[Party]]="Democratic",Table1[[#This Row],[100% Bonds ]],"null")</f>
        <v>2.3E-2</v>
      </c>
      <c r="W44" s="2">
        <f>IF(Table1[[#This Row],[Party]]="Democratic",Table1[[#This Row],[S&amp;P 500 Index ]],"null")</f>
        <v>6.6000000000000003E-2</v>
      </c>
      <c r="X44" s="2">
        <f>ABS(Table1[[#This Row],[S&amp;P 500 Index ]])</f>
        <v>6.6000000000000003E-2</v>
      </c>
      <c r="Y44" s="2">
        <f>ABS(Table1[[#This Row],[100% Bonds ]])</f>
        <v>2.3E-2</v>
      </c>
    </row>
    <row r="45" spans="1:25" x14ac:dyDescent="0.6">
      <c r="A45" s="1" t="s">
        <v>47</v>
      </c>
      <c r="B45" s="1" t="s">
        <v>43</v>
      </c>
      <c r="C45" s="1">
        <v>1984</v>
      </c>
      <c r="D45" s="2">
        <v>0.14099999999999999</v>
      </c>
      <c r="E45" s="2">
        <v>0.13200000000000001</v>
      </c>
      <c r="F45" s="2">
        <v>0.122</v>
      </c>
      <c r="G45" s="2">
        <v>0.113</v>
      </c>
      <c r="H45" s="2">
        <v>0.10299999999999999</v>
      </c>
      <c r="I45" s="2">
        <v>9.2999999999999999E-2</v>
      </c>
      <c r="J45" s="2">
        <v>8.3000000000000004E-2</v>
      </c>
      <c r="K45" s="2">
        <v>7.1999999999999995E-2</v>
      </c>
      <c r="L45" s="2">
        <v>6.2E-2</v>
      </c>
      <c r="M45" s="2">
        <v>5.1999999999999998E-2</v>
      </c>
      <c r="N45" s="2">
        <v>4.1000000000000002E-2</v>
      </c>
      <c r="O45" s="2">
        <v>6.3E-2</v>
      </c>
      <c r="P45" s="4">
        <f>IF(Table1[[#This Row],[Party]]="Republican",1,0)</f>
        <v>1</v>
      </c>
      <c r="Q45" s="4">
        <f>IF(Table1[[#This Row],[Party]]="Democratic",1,0)</f>
        <v>0</v>
      </c>
      <c r="R45" s="2">
        <f>IF(Table1[[#This Row],[Party]]="Republican",Table1[[#This Row],[100%Stock]],"null")</f>
        <v>4.1000000000000002E-2</v>
      </c>
      <c r="S45" s="2">
        <f>IF(Table1[[#This Row],[Party]]="Republican",Table1[[#This Row],[100% Bonds ]],"null")</f>
        <v>0.14099999999999999</v>
      </c>
      <c r="T45" s="2">
        <f>IF(Table1[[#This Row],[Party]]="Republican",Table1[[#This Row],[S&amp;P 500 Index ]],"null")</f>
        <v>6.3E-2</v>
      </c>
      <c r="U45" s="2" t="str">
        <f>IF(Table1[[#This Row],[Party]]="Democratic",Table1[[#This Row],[100%Stock]],"null")</f>
        <v>null</v>
      </c>
      <c r="V45" s="2" t="str">
        <f>IF(Table1[[#This Row],[Party]]="Democratic",Table1[[#This Row],[100% Bonds ]],"null")</f>
        <v>null</v>
      </c>
      <c r="W45" s="2" t="str">
        <f>IF(Table1[[#This Row],[Party]]="Democratic",Table1[[#This Row],[S&amp;P 500 Index ]],"null")</f>
        <v>null</v>
      </c>
      <c r="X45" s="2">
        <f>ABS(Table1[[#This Row],[S&amp;P 500 Index ]])</f>
        <v>6.3E-2</v>
      </c>
      <c r="Y45" s="2">
        <f>ABS(Table1[[#This Row],[100% Bonds ]])</f>
        <v>0.14099999999999999</v>
      </c>
    </row>
    <row r="46" spans="1:25" x14ac:dyDescent="0.6">
      <c r="A46" s="1" t="s">
        <v>44</v>
      </c>
      <c r="B46" s="1" t="s">
        <v>43</v>
      </c>
      <c r="C46" s="1">
        <v>2007</v>
      </c>
      <c r="D46" s="2">
        <v>9.2999999999999999E-2</v>
      </c>
      <c r="E46" s="2">
        <v>8.1000000000000003E-2</v>
      </c>
      <c r="F46" s="2">
        <v>6.9000000000000006E-2</v>
      </c>
      <c r="G46" s="2">
        <v>5.7000000000000002E-2</v>
      </c>
      <c r="H46" s="2">
        <v>4.4999999999999998E-2</v>
      </c>
      <c r="I46" s="2">
        <v>3.3000000000000002E-2</v>
      </c>
      <c r="J46" s="2">
        <v>2.1000000000000001E-2</v>
      </c>
      <c r="K46" s="2">
        <v>8.0000000000000002E-3</v>
      </c>
      <c r="L46" s="3">
        <v>-4.0000000000000001E-3</v>
      </c>
      <c r="M46" s="3">
        <v>-1.6E-2</v>
      </c>
      <c r="N46" s="3">
        <v>-2.9000000000000001E-2</v>
      </c>
      <c r="O46" s="2">
        <v>5.5E-2</v>
      </c>
      <c r="P46" s="4">
        <f>IF(Table1[[#This Row],[Party]]="Republican",1,0)</f>
        <v>1</v>
      </c>
      <c r="Q46" s="4">
        <f>IF(Table1[[#This Row],[Party]]="Democratic",1,0)</f>
        <v>0</v>
      </c>
      <c r="R46" s="2">
        <f>IF(Table1[[#This Row],[Party]]="Republican",Table1[[#This Row],[100%Stock]],"null")</f>
        <v>-2.9000000000000001E-2</v>
      </c>
      <c r="S46" s="2">
        <f>IF(Table1[[#This Row],[Party]]="Republican",Table1[[#This Row],[100% Bonds ]],"null")</f>
        <v>9.2999999999999999E-2</v>
      </c>
      <c r="T46" s="2">
        <f>IF(Table1[[#This Row],[Party]]="Republican",Table1[[#This Row],[S&amp;P 500 Index ]],"null")</f>
        <v>5.5E-2</v>
      </c>
      <c r="U46" s="2" t="str">
        <f>IF(Table1[[#This Row],[Party]]="Democratic",Table1[[#This Row],[100%Stock]],"null")</f>
        <v>null</v>
      </c>
      <c r="V46" s="2" t="str">
        <f>IF(Table1[[#This Row],[Party]]="Democratic",Table1[[#This Row],[100% Bonds ]],"null")</f>
        <v>null</v>
      </c>
      <c r="W46" s="2" t="str">
        <f>IF(Table1[[#This Row],[Party]]="Democratic",Table1[[#This Row],[S&amp;P 500 Index ]],"null")</f>
        <v>null</v>
      </c>
      <c r="X46" s="2">
        <f>ABS(Table1[[#This Row],[S&amp;P 500 Index ]])</f>
        <v>5.5E-2</v>
      </c>
      <c r="Y46" s="2">
        <f>ABS(Table1[[#This Row],[100% Bonds ]])</f>
        <v>9.2999999999999999E-2</v>
      </c>
    </row>
    <row r="47" spans="1:25" x14ac:dyDescent="0.6">
      <c r="A47" s="1" t="s">
        <v>47</v>
      </c>
      <c r="B47" s="1" t="s">
        <v>43</v>
      </c>
      <c r="C47" s="1">
        <v>1987</v>
      </c>
      <c r="D47" s="2">
        <v>0.03</v>
      </c>
      <c r="E47" s="2">
        <v>3.1E-2</v>
      </c>
      <c r="F47" s="2">
        <v>3.1E-2</v>
      </c>
      <c r="G47" s="2">
        <v>0.03</v>
      </c>
      <c r="H47" s="2">
        <v>2.8000000000000001E-2</v>
      </c>
      <c r="I47" s="2">
        <v>2.4E-2</v>
      </c>
      <c r="J47" s="2">
        <v>1.9E-2</v>
      </c>
      <c r="K47" s="2">
        <v>1.2999999999999999E-2</v>
      </c>
      <c r="L47" s="2">
        <v>6.0000000000000001E-3</v>
      </c>
      <c r="M47" s="3">
        <v>-3.0000000000000001E-3</v>
      </c>
      <c r="N47" s="3">
        <v>-1.2999999999999999E-2</v>
      </c>
      <c r="O47" s="2">
        <v>5.1999999999999998E-2</v>
      </c>
      <c r="P47" s="4">
        <f>IF(Table1[[#This Row],[Party]]="Republican",1,0)</f>
        <v>1</v>
      </c>
      <c r="Q47" s="4">
        <f>IF(Table1[[#This Row],[Party]]="Democratic",1,0)</f>
        <v>0</v>
      </c>
      <c r="R47" s="2">
        <f>IF(Table1[[#This Row],[Party]]="Republican",Table1[[#This Row],[100%Stock]],"null")</f>
        <v>-1.2999999999999999E-2</v>
      </c>
      <c r="S47" s="2">
        <f>IF(Table1[[#This Row],[Party]]="Republican",Table1[[#This Row],[100% Bonds ]],"null")</f>
        <v>0.03</v>
      </c>
      <c r="T47" s="2">
        <f>IF(Table1[[#This Row],[Party]]="Republican",Table1[[#This Row],[S&amp;P 500 Index ]],"null")</f>
        <v>5.1999999999999998E-2</v>
      </c>
      <c r="U47" s="2" t="str">
        <f>IF(Table1[[#This Row],[Party]]="Democratic",Table1[[#This Row],[100%Stock]],"null")</f>
        <v>null</v>
      </c>
      <c r="V47" s="2" t="str">
        <f>IF(Table1[[#This Row],[Party]]="Democratic",Table1[[#This Row],[100% Bonds ]],"null")</f>
        <v>null</v>
      </c>
      <c r="W47" s="2" t="str">
        <f>IF(Table1[[#This Row],[Party]]="Democratic",Table1[[#This Row],[S&amp;P 500 Index ]],"null")</f>
        <v>null</v>
      </c>
      <c r="X47" s="2">
        <f>ABS(Table1[[#This Row],[S&amp;P 500 Index ]])</f>
        <v>5.1999999999999998E-2</v>
      </c>
      <c r="Y47" s="2">
        <f>ABS(Table1[[#This Row],[100% Bonds ]])</f>
        <v>0.03</v>
      </c>
    </row>
    <row r="48" spans="1:25" x14ac:dyDescent="0.6">
      <c r="A48" s="1" t="s">
        <v>47</v>
      </c>
      <c r="B48" s="1" t="s">
        <v>43</v>
      </c>
      <c r="C48" s="1">
        <v>1981</v>
      </c>
      <c r="D48" s="2">
        <v>9.6000000000000002E-2</v>
      </c>
      <c r="E48" s="2">
        <v>9.4E-2</v>
      </c>
      <c r="F48" s="2">
        <v>9.1999999999999998E-2</v>
      </c>
      <c r="G48" s="2">
        <v>0.09</v>
      </c>
      <c r="H48" s="2">
        <v>8.6999999999999994E-2</v>
      </c>
      <c r="I48" s="2">
        <v>8.5000000000000006E-2</v>
      </c>
      <c r="J48" s="2">
        <v>8.2000000000000003E-2</v>
      </c>
      <c r="K48" s="2">
        <v>0.08</v>
      </c>
      <c r="L48" s="2">
        <v>7.6999999999999999E-2</v>
      </c>
      <c r="M48" s="2">
        <v>7.3999999999999996E-2</v>
      </c>
      <c r="N48" s="2">
        <v>7.0999999999999994E-2</v>
      </c>
      <c r="O48" s="3">
        <v>-4.9000000000000002E-2</v>
      </c>
      <c r="P48" s="4">
        <f>IF(Table1[[#This Row],[Party]]="Republican",1,0)</f>
        <v>1</v>
      </c>
      <c r="Q48" s="4">
        <f>IF(Table1[[#This Row],[Party]]="Democratic",1,0)</f>
        <v>0</v>
      </c>
      <c r="R48" s="2">
        <f>IF(Table1[[#This Row],[Party]]="Republican",Table1[[#This Row],[100%Stock]],"null")</f>
        <v>7.0999999999999994E-2</v>
      </c>
      <c r="S48" s="2">
        <f>IF(Table1[[#This Row],[Party]]="Republican",Table1[[#This Row],[100% Bonds ]],"null")</f>
        <v>9.6000000000000002E-2</v>
      </c>
      <c r="T48" s="2">
        <f>IF(Table1[[#This Row],[Party]]="Republican",Table1[[#This Row],[S&amp;P 500 Index ]],"null")</f>
        <v>-4.9000000000000002E-2</v>
      </c>
      <c r="U48" s="2" t="str">
        <f>IF(Table1[[#This Row],[Party]]="Democratic",Table1[[#This Row],[100%Stock]],"null")</f>
        <v>null</v>
      </c>
      <c r="V48" s="2" t="str">
        <f>IF(Table1[[#This Row],[Party]]="Democratic",Table1[[#This Row],[100% Bonds ]],"null")</f>
        <v>null</v>
      </c>
      <c r="W48" s="2" t="str">
        <f>IF(Table1[[#This Row],[Party]]="Democratic",Table1[[#This Row],[S&amp;P 500 Index ]],"null")</f>
        <v>null</v>
      </c>
      <c r="X48" s="2">
        <f>ABS(Table1[[#This Row],[S&amp;P 500 Index ]])</f>
        <v>4.9000000000000002E-2</v>
      </c>
      <c r="Y48" s="2">
        <f>ABS(Table1[[#This Row],[100% Bonds ]])</f>
        <v>9.6000000000000002E-2</v>
      </c>
    </row>
    <row r="49" spans="1:25" x14ac:dyDescent="0.6">
      <c r="A49" s="1" t="s">
        <v>44</v>
      </c>
      <c r="B49" s="1" t="s">
        <v>43</v>
      </c>
      <c r="C49" s="1">
        <v>2005</v>
      </c>
      <c r="D49" s="2">
        <v>1.7999999999999999E-2</v>
      </c>
      <c r="E49" s="2">
        <v>2.4E-2</v>
      </c>
      <c r="F49" s="2">
        <v>0.03</v>
      </c>
      <c r="G49" s="2">
        <v>3.5999999999999997E-2</v>
      </c>
      <c r="H49" s="2">
        <v>4.2000000000000003E-2</v>
      </c>
      <c r="I49" s="2">
        <v>4.7E-2</v>
      </c>
      <c r="J49" s="2">
        <v>5.2999999999999999E-2</v>
      </c>
      <c r="K49" s="2">
        <v>5.8000000000000003E-2</v>
      </c>
      <c r="L49" s="2">
        <v>6.3E-2</v>
      </c>
      <c r="M49" s="2">
        <v>6.8000000000000005E-2</v>
      </c>
      <c r="N49" s="2">
        <v>7.2999999999999995E-2</v>
      </c>
      <c r="O49" s="2">
        <v>4.9000000000000002E-2</v>
      </c>
      <c r="P49" s="4">
        <f>IF(Table1[[#This Row],[Party]]="Republican",1,0)</f>
        <v>1</v>
      </c>
      <c r="Q49" s="4">
        <f>IF(Table1[[#This Row],[Party]]="Democratic",1,0)</f>
        <v>0</v>
      </c>
      <c r="R49" s="2">
        <f>IF(Table1[[#This Row],[Party]]="Republican",Table1[[#This Row],[100%Stock]],"null")</f>
        <v>7.2999999999999995E-2</v>
      </c>
      <c r="S49" s="2">
        <f>IF(Table1[[#This Row],[Party]]="Republican",Table1[[#This Row],[100% Bonds ]],"null")</f>
        <v>1.7999999999999999E-2</v>
      </c>
      <c r="T49" s="2">
        <f>IF(Table1[[#This Row],[Party]]="Republican",Table1[[#This Row],[S&amp;P 500 Index ]],"null")</f>
        <v>4.9000000000000002E-2</v>
      </c>
      <c r="U49" s="2" t="str">
        <f>IF(Table1[[#This Row],[Party]]="Democratic",Table1[[#This Row],[100%Stock]],"null")</f>
        <v>null</v>
      </c>
      <c r="V49" s="2" t="str">
        <f>IF(Table1[[#This Row],[Party]]="Democratic",Table1[[#This Row],[100% Bonds ]],"null")</f>
        <v>null</v>
      </c>
      <c r="W49" s="2" t="str">
        <f>IF(Table1[[#This Row],[Party]]="Democratic",Table1[[#This Row],[S&amp;P 500 Index ]],"null")</f>
        <v>null</v>
      </c>
      <c r="X49" s="2">
        <f>ABS(Table1[[#This Row],[S&amp;P 500 Index ]])</f>
        <v>4.9000000000000002E-2</v>
      </c>
      <c r="Y49" s="2">
        <f>ABS(Table1[[#This Row],[100% Bonds ]])</f>
        <v>1.7999999999999999E-2</v>
      </c>
    </row>
    <row r="50" spans="1:25" x14ac:dyDescent="0.6">
      <c r="A50" s="1" t="s">
        <v>49</v>
      </c>
      <c r="B50" s="1" t="s">
        <v>43</v>
      </c>
      <c r="C50" s="1">
        <v>2018</v>
      </c>
      <c r="D50" s="2">
        <v>6.0000000000000001E-3</v>
      </c>
      <c r="E50" s="3">
        <v>-5.0000000000000001E-3</v>
      </c>
      <c r="F50" s="3">
        <v>-1.6E-2</v>
      </c>
      <c r="G50" s="3">
        <v>-2.7E-2</v>
      </c>
      <c r="H50" s="3">
        <v>-3.9E-2</v>
      </c>
      <c r="I50" s="3">
        <v>-0.05</v>
      </c>
      <c r="J50" s="3">
        <v>-6.2E-2</v>
      </c>
      <c r="K50" s="3">
        <v>-7.3999999999999996E-2</v>
      </c>
      <c r="L50" s="3">
        <v>-8.5999999999999993E-2</v>
      </c>
      <c r="M50" s="3">
        <v>-9.8000000000000004E-2</v>
      </c>
      <c r="N50" s="3">
        <v>-0.111</v>
      </c>
      <c r="O50" s="3">
        <v>-4.3999999999999997E-2</v>
      </c>
      <c r="P50" s="4">
        <f>IF(Table1[[#This Row],[Party]]="Republican",1,0)</f>
        <v>1</v>
      </c>
      <c r="Q50" s="4">
        <f>IF(Table1[[#This Row],[Party]]="Democratic",1,0)</f>
        <v>0</v>
      </c>
      <c r="R50" s="2">
        <f>IF(Table1[[#This Row],[Party]]="Republican",Table1[[#This Row],[100%Stock]],"null")</f>
        <v>-0.111</v>
      </c>
      <c r="S50" s="2">
        <f>IF(Table1[[#This Row],[Party]]="Republican",Table1[[#This Row],[100% Bonds ]],"null")</f>
        <v>6.0000000000000001E-3</v>
      </c>
      <c r="T50" s="2">
        <f>IF(Table1[[#This Row],[Party]]="Republican",Table1[[#This Row],[S&amp;P 500 Index ]],"null")</f>
        <v>-4.3999999999999997E-2</v>
      </c>
      <c r="U50" s="2" t="str">
        <f>IF(Table1[[#This Row],[Party]]="Democratic",Table1[[#This Row],[100%Stock]],"null")</f>
        <v>null</v>
      </c>
      <c r="V50" s="2" t="str">
        <f>IF(Table1[[#This Row],[Party]]="Democratic",Table1[[#This Row],[100% Bonds ]],"null")</f>
        <v>null</v>
      </c>
      <c r="W50" s="2" t="str">
        <f>IF(Table1[[#This Row],[Party]]="Democratic",Table1[[#This Row],[S&amp;P 500 Index ]],"null")</f>
        <v>null</v>
      </c>
      <c r="X50" s="2">
        <f>ABS(Table1[[#This Row],[S&amp;P 500 Index ]])</f>
        <v>4.3999999999999997E-2</v>
      </c>
      <c r="Y50" s="2">
        <f>ABS(Table1[[#This Row],[100% Bonds ]])</f>
        <v>6.0000000000000001E-3</v>
      </c>
    </row>
    <row r="51" spans="1:25" x14ac:dyDescent="0.6">
      <c r="A51" s="1" t="s">
        <v>50</v>
      </c>
      <c r="B51" s="1" t="s">
        <v>43</v>
      </c>
      <c r="C51" s="1">
        <v>1970</v>
      </c>
      <c r="D51" s="2">
        <v>0.14799999999999999</v>
      </c>
      <c r="E51" s="2">
        <v>0.13400000000000001</v>
      </c>
      <c r="F51" s="2">
        <v>0.12</v>
      </c>
      <c r="G51" s="2">
        <v>0.106</v>
      </c>
      <c r="H51" s="2">
        <v>9.0999999999999998E-2</v>
      </c>
      <c r="I51" s="2">
        <v>7.5999999999999998E-2</v>
      </c>
      <c r="J51" s="2">
        <v>6.0999999999999999E-2</v>
      </c>
      <c r="K51" s="2">
        <v>4.4999999999999998E-2</v>
      </c>
      <c r="L51" s="2">
        <v>2.9000000000000001E-2</v>
      </c>
      <c r="M51" s="2">
        <v>1.2999999999999999E-2</v>
      </c>
      <c r="N51" s="3">
        <v>-3.0000000000000001E-3</v>
      </c>
      <c r="O51" s="2">
        <v>0.04</v>
      </c>
      <c r="P51" s="4">
        <f>IF(Table1[[#This Row],[Party]]="Republican",1,0)</f>
        <v>1</v>
      </c>
      <c r="Q51" s="4">
        <f>IF(Table1[[#This Row],[Party]]="Democratic",1,0)</f>
        <v>0</v>
      </c>
      <c r="R51" s="2">
        <f>IF(Table1[[#This Row],[Party]]="Republican",Table1[[#This Row],[100%Stock]],"null")</f>
        <v>-3.0000000000000001E-3</v>
      </c>
      <c r="S51" s="2">
        <f>IF(Table1[[#This Row],[Party]]="Republican",Table1[[#This Row],[100% Bonds ]],"null")</f>
        <v>0.14799999999999999</v>
      </c>
      <c r="T51" s="2">
        <f>IF(Table1[[#This Row],[Party]]="Republican",Table1[[#This Row],[S&amp;P 500 Index ]],"null")</f>
        <v>0.04</v>
      </c>
      <c r="U51" s="2" t="str">
        <f>IF(Table1[[#This Row],[Party]]="Democratic",Table1[[#This Row],[100%Stock]],"null")</f>
        <v>null</v>
      </c>
      <c r="V51" s="2" t="str">
        <f>IF(Table1[[#This Row],[Party]]="Democratic",Table1[[#This Row],[100% Bonds ]],"null")</f>
        <v>null</v>
      </c>
      <c r="W51" s="2" t="str">
        <f>IF(Table1[[#This Row],[Party]]="Democratic",Table1[[#This Row],[S&amp;P 500 Index ]],"null")</f>
        <v>null</v>
      </c>
      <c r="X51" s="2">
        <f>ABS(Table1[[#This Row],[S&amp;P 500 Index ]])</f>
        <v>0.04</v>
      </c>
      <c r="Y51" s="2">
        <f>ABS(Table1[[#This Row],[100% Bonds ]])</f>
        <v>0.14799999999999999</v>
      </c>
    </row>
    <row r="52" spans="1:25" x14ac:dyDescent="0.6">
      <c r="A52" s="1" t="s">
        <v>48</v>
      </c>
      <c r="B52" s="1" t="s">
        <v>43</v>
      </c>
      <c r="C52" s="1">
        <v>1990</v>
      </c>
      <c r="D52" s="2">
        <v>9.2999999999999999E-2</v>
      </c>
      <c r="E52" s="2">
        <v>6.6000000000000003E-2</v>
      </c>
      <c r="F52" s="2">
        <v>0.04</v>
      </c>
      <c r="G52" s="2">
        <v>1.2999999999999999E-2</v>
      </c>
      <c r="H52" s="3">
        <v>-1.2E-2</v>
      </c>
      <c r="I52" s="3">
        <v>-3.7999999999999999E-2</v>
      </c>
      <c r="J52" s="3">
        <v>-6.3E-2</v>
      </c>
      <c r="K52" s="3">
        <v>-8.7999999999999995E-2</v>
      </c>
      <c r="L52" s="3">
        <v>-0.113</v>
      </c>
      <c r="M52" s="3">
        <v>-0.13700000000000001</v>
      </c>
      <c r="N52" s="3">
        <v>-0.161</v>
      </c>
      <c r="O52" s="3">
        <v>-3.1E-2</v>
      </c>
      <c r="P52" s="4">
        <f>IF(Table1[[#This Row],[Party]]="Republican",1,0)</f>
        <v>1</v>
      </c>
      <c r="Q52" s="4">
        <f>IF(Table1[[#This Row],[Party]]="Democratic",1,0)</f>
        <v>0</v>
      </c>
      <c r="R52" s="2">
        <f>IF(Table1[[#This Row],[Party]]="Republican",Table1[[#This Row],[100%Stock]],"null")</f>
        <v>-0.161</v>
      </c>
      <c r="S52" s="2">
        <f>IF(Table1[[#This Row],[Party]]="Republican",Table1[[#This Row],[100% Bonds ]],"null")</f>
        <v>9.2999999999999999E-2</v>
      </c>
      <c r="T52" s="2">
        <f>IF(Table1[[#This Row],[Party]]="Republican",Table1[[#This Row],[S&amp;P 500 Index ]],"null")</f>
        <v>-3.1E-2</v>
      </c>
      <c r="U52" s="2" t="str">
        <f>IF(Table1[[#This Row],[Party]]="Democratic",Table1[[#This Row],[100%Stock]],"null")</f>
        <v>null</v>
      </c>
      <c r="V52" s="2" t="str">
        <f>IF(Table1[[#This Row],[Party]]="Democratic",Table1[[#This Row],[100% Bonds ]],"null")</f>
        <v>null</v>
      </c>
      <c r="W52" s="2" t="str">
        <f>IF(Table1[[#This Row],[Party]]="Democratic",Table1[[#This Row],[S&amp;P 500 Index ]],"null")</f>
        <v>null</v>
      </c>
      <c r="X52" s="2">
        <f>ABS(Table1[[#This Row],[S&amp;P 500 Index ]])</f>
        <v>3.1E-2</v>
      </c>
      <c r="Y52" s="2">
        <f>ABS(Table1[[#This Row],[100% Bonds ]])</f>
        <v>9.2999999999999999E-2</v>
      </c>
    </row>
    <row r="53" spans="1:25" x14ac:dyDescent="0.6">
      <c r="A53" s="1" t="s">
        <v>46</v>
      </c>
      <c r="B53" s="1" t="s">
        <v>41</v>
      </c>
      <c r="C53" s="1">
        <v>2011</v>
      </c>
      <c r="D53" s="2">
        <v>0.08</v>
      </c>
      <c r="E53" s="2">
        <v>7.0999999999999994E-2</v>
      </c>
      <c r="F53" s="2">
        <v>6.0999999999999999E-2</v>
      </c>
      <c r="G53" s="2">
        <v>5.0999999999999997E-2</v>
      </c>
      <c r="H53" s="2">
        <v>4.1000000000000002E-2</v>
      </c>
      <c r="I53" s="2">
        <v>0.03</v>
      </c>
      <c r="J53" s="2">
        <v>1.9E-2</v>
      </c>
      <c r="K53" s="2">
        <v>7.0000000000000001E-3</v>
      </c>
      <c r="L53" s="3">
        <v>-5.0000000000000001E-3</v>
      </c>
      <c r="M53" s="3">
        <v>-1.7000000000000001E-2</v>
      </c>
      <c r="N53" s="3">
        <v>-2.9000000000000001E-2</v>
      </c>
      <c r="O53" s="2">
        <v>2.1000000000000001E-2</v>
      </c>
      <c r="P53" s="4">
        <f>IF(Table1[[#This Row],[Party]]="Republican",1,0)</f>
        <v>0</v>
      </c>
      <c r="Q53" s="4">
        <f>IF(Table1[[#This Row],[Party]]="Democratic",1,0)</f>
        <v>1</v>
      </c>
      <c r="R53" s="2" t="str">
        <f>IF(Table1[[#This Row],[Party]]="Republican",Table1[[#This Row],[100%Stock]],"null")</f>
        <v>null</v>
      </c>
      <c r="S53" s="2" t="str">
        <f>IF(Table1[[#This Row],[Party]]="Republican",Table1[[#This Row],[100% Bonds ]],"null")</f>
        <v>null</v>
      </c>
      <c r="T53" s="2" t="str">
        <f>IF(Table1[[#This Row],[Party]]="Republican",Table1[[#This Row],[S&amp;P 500 Index ]],"null")</f>
        <v>null</v>
      </c>
      <c r="U53" s="2">
        <f>IF(Table1[[#This Row],[Party]]="Democratic",Table1[[#This Row],[100%Stock]],"null")</f>
        <v>-2.9000000000000001E-2</v>
      </c>
      <c r="V53" s="2">
        <f>IF(Table1[[#This Row],[Party]]="Democratic",Table1[[#This Row],[100% Bonds ]],"null")</f>
        <v>0.08</v>
      </c>
      <c r="W53" s="2">
        <f>IF(Table1[[#This Row],[Party]]="Democratic",Table1[[#This Row],[S&amp;P 500 Index ]],"null")</f>
        <v>2.1000000000000001E-2</v>
      </c>
      <c r="X53" s="2">
        <f>ABS(Table1[[#This Row],[S&amp;P 500 Index ]])</f>
        <v>2.1000000000000001E-2</v>
      </c>
      <c r="Y53" s="2">
        <f>ABS(Table1[[#This Row],[100% Bonds ]])</f>
        <v>0.08</v>
      </c>
    </row>
    <row r="54" spans="1:25" x14ac:dyDescent="0.6">
      <c r="A54" s="1" t="s">
        <v>46</v>
      </c>
      <c r="B54" s="1" t="s">
        <v>41</v>
      </c>
      <c r="C54" s="1">
        <v>2015</v>
      </c>
      <c r="D54" s="2">
        <v>8.0000000000000002E-3</v>
      </c>
      <c r="E54" s="2">
        <v>5.0000000000000001E-3</v>
      </c>
      <c r="F54" s="2">
        <v>1E-3</v>
      </c>
      <c r="G54" s="3">
        <v>-2E-3</v>
      </c>
      <c r="H54" s="3">
        <v>-6.0000000000000001E-3</v>
      </c>
      <c r="I54" s="3">
        <v>-0.01</v>
      </c>
      <c r="J54" s="3">
        <v>-1.4E-2</v>
      </c>
      <c r="K54" s="3">
        <v>-1.7999999999999999E-2</v>
      </c>
      <c r="L54" s="3">
        <v>-2.3E-2</v>
      </c>
      <c r="M54" s="3">
        <v>-2.8000000000000001E-2</v>
      </c>
      <c r="N54" s="3">
        <v>-3.3000000000000002E-2</v>
      </c>
      <c r="O54" s="2">
        <v>1.4E-2</v>
      </c>
      <c r="P54" s="4">
        <f>IF(Table1[[#This Row],[Party]]="Republican",1,0)</f>
        <v>0</v>
      </c>
      <c r="Q54" s="4">
        <f>IF(Table1[[#This Row],[Party]]="Democratic",1,0)</f>
        <v>1</v>
      </c>
      <c r="R54" s="2" t="str">
        <f>IF(Table1[[#This Row],[Party]]="Republican",Table1[[#This Row],[100%Stock]],"null")</f>
        <v>null</v>
      </c>
      <c r="S54" s="2" t="str">
        <f>IF(Table1[[#This Row],[Party]]="Republican",Table1[[#This Row],[100% Bonds ]],"null")</f>
        <v>null</v>
      </c>
      <c r="T54" s="2" t="str">
        <f>IF(Table1[[#This Row],[Party]]="Republican",Table1[[#This Row],[S&amp;P 500 Index ]],"null")</f>
        <v>null</v>
      </c>
      <c r="U54" s="2">
        <f>IF(Table1[[#This Row],[Party]]="Democratic",Table1[[#This Row],[100%Stock]],"null")</f>
        <v>-3.3000000000000002E-2</v>
      </c>
      <c r="V54" s="2">
        <f>IF(Table1[[#This Row],[Party]]="Democratic",Table1[[#This Row],[100% Bonds ]],"null")</f>
        <v>8.0000000000000002E-3</v>
      </c>
      <c r="W54" s="2">
        <f>IF(Table1[[#This Row],[Party]]="Democratic",Table1[[#This Row],[S&amp;P 500 Index ]],"null")</f>
        <v>1.4E-2</v>
      </c>
      <c r="X54" s="2">
        <f>ABS(Table1[[#This Row],[S&amp;P 500 Index ]])</f>
        <v>1.4E-2</v>
      </c>
      <c r="Y54" s="2">
        <f>ABS(Table1[[#This Row],[100% Bonds ]])</f>
        <v>8.0000000000000002E-3</v>
      </c>
    </row>
    <row r="55" spans="1:25" x14ac:dyDescent="0.6">
      <c r="A55" s="1" t="s">
        <v>40</v>
      </c>
      <c r="B55" s="1" t="s">
        <v>41</v>
      </c>
      <c r="C55" s="1">
        <v>1994</v>
      </c>
      <c r="D55" s="3">
        <v>-3.2000000000000001E-2</v>
      </c>
      <c r="E55" s="3">
        <v>-2.9000000000000001E-2</v>
      </c>
      <c r="F55" s="3">
        <v>-2.7E-2</v>
      </c>
      <c r="G55" s="3">
        <v>-2.4E-2</v>
      </c>
      <c r="H55" s="3">
        <v>-2.1999999999999999E-2</v>
      </c>
      <c r="I55" s="3">
        <v>-0.02</v>
      </c>
      <c r="J55" s="3">
        <v>-1.7000000000000001E-2</v>
      </c>
      <c r="K55" s="3">
        <v>-1.4999999999999999E-2</v>
      </c>
      <c r="L55" s="3">
        <v>-1.2999999999999999E-2</v>
      </c>
      <c r="M55" s="3">
        <v>-0.01</v>
      </c>
      <c r="N55" s="3">
        <v>-8.0000000000000002E-3</v>
      </c>
      <c r="O55" s="2">
        <v>1.2999999999999999E-2</v>
      </c>
      <c r="P55" s="4">
        <f>IF(Table1[[#This Row],[Party]]="Republican",1,0)</f>
        <v>0</v>
      </c>
      <c r="Q55" s="4">
        <f>IF(Table1[[#This Row],[Party]]="Democratic",1,0)</f>
        <v>1</v>
      </c>
      <c r="R55" s="2" t="str">
        <f>IF(Table1[[#This Row],[Party]]="Republican",Table1[[#This Row],[100%Stock]],"null")</f>
        <v>null</v>
      </c>
      <c r="S55" s="2" t="str">
        <f>IF(Table1[[#This Row],[Party]]="Republican",Table1[[#This Row],[100% Bonds ]],"null")</f>
        <v>null</v>
      </c>
      <c r="T55" s="2" t="str">
        <f>IF(Table1[[#This Row],[Party]]="Republican",Table1[[#This Row],[S&amp;P 500 Index ]],"null")</f>
        <v>null</v>
      </c>
      <c r="U55" s="2">
        <f>IF(Table1[[#This Row],[Party]]="Democratic",Table1[[#This Row],[100%Stock]],"null")</f>
        <v>-8.0000000000000002E-3</v>
      </c>
      <c r="V55" s="2">
        <f>IF(Table1[[#This Row],[Party]]="Democratic",Table1[[#This Row],[100% Bonds ]],"null")</f>
        <v>-3.2000000000000001E-2</v>
      </c>
      <c r="W55" s="2">
        <f>IF(Table1[[#This Row],[Party]]="Democratic",Table1[[#This Row],[S&amp;P 500 Index ]],"null")</f>
        <v>1.2999999999999999E-2</v>
      </c>
      <c r="X55" s="2">
        <f>ABS(Table1[[#This Row],[S&amp;P 500 Index ]])</f>
        <v>1.2999999999999999E-2</v>
      </c>
      <c r="Y55" s="2">
        <f>ABS(Table1[[#This Row],[100% Bonds ]])</f>
        <v>3.2000000000000001E-2</v>
      </c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D6E1-DB0B-BB42-9B1C-6BD10387293D}">
  <dimension ref="A1:Z45"/>
  <sheetViews>
    <sheetView workbookViewId="0">
      <selection activeCell="V15" sqref="V15"/>
    </sheetView>
  </sheetViews>
  <sheetFormatPr defaultColWidth="11" defaultRowHeight="15.6" x14ac:dyDescent="0.6"/>
  <cols>
    <col min="1" max="1" width="16.34765625" bestFit="1" customWidth="1"/>
    <col min="2" max="2" width="10.5" bestFit="1" customWidth="1"/>
    <col min="3" max="3" width="7.84765625" bestFit="1" customWidth="1"/>
    <col min="4" max="4" width="14.09765625" bestFit="1" customWidth="1"/>
    <col min="5" max="5" width="9" bestFit="1" customWidth="1"/>
    <col min="6" max="6" width="8.5" bestFit="1" customWidth="1"/>
    <col min="7" max="7" width="9" bestFit="1" customWidth="1"/>
    <col min="8" max="8" width="8.5" bestFit="1" customWidth="1"/>
    <col min="9" max="9" width="9" bestFit="1" customWidth="1"/>
    <col min="10" max="11" width="8.5" bestFit="1" customWidth="1"/>
    <col min="12" max="12" width="9" bestFit="1" customWidth="1"/>
    <col min="13" max="13" width="8.5" bestFit="1" customWidth="1"/>
    <col min="14" max="14" width="12.59765625" bestFit="1" customWidth="1"/>
    <col min="15" max="15" width="16.09765625" bestFit="1" customWidth="1"/>
    <col min="16" max="16" width="7" bestFit="1" customWidth="1"/>
    <col min="17" max="17" width="7.09765625" bestFit="1" customWidth="1"/>
    <col min="18" max="18" width="13.59765625" customWidth="1"/>
    <col min="19" max="19" width="14.59765625" customWidth="1"/>
    <col min="20" max="20" width="12.59765625" customWidth="1"/>
    <col min="21" max="21" width="14.34765625" bestFit="1" customWidth="1"/>
    <col min="22" max="22" width="13.84765625" customWidth="1"/>
    <col min="23" max="23" width="13" bestFit="1" customWidth="1"/>
    <col min="24" max="24" width="15.09765625" bestFit="1" customWidth="1"/>
  </cols>
  <sheetData>
    <row r="1" spans="1:26" x14ac:dyDescent="0.6">
      <c r="R1" t="s">
        <v>0</v>
      </c>
      <c r="S1" t="s">
        <v>1</v>
      </c>
      <c r="T1" s="7" t="s">
        <v>2</v>
      </c>
      <c r="U1" t="s">
        <v>3</v>
      </c>
      <c r="V1" t="s">
        <v>4</v>
      </c>
      <c r="W1" t="s">
        <v>5</v>
      </c>
    </row>
    <row r="2" spans="1:26" x14ac:dyDescent="0.6">
      <c r="R2" s="8">
        <f>MEDIAN(Table1711[R-stock])</f>
        <v>8.7999999999999995E-2</v>
      </c>
      <c r="S2" s="8">
        <f>MEDIAN(Table1711[R-bond])</f>
        <v>7.3999999999999996E-2</v>
      </c>
      <c r="T2" s="8">
        <f>MEDIAN(Table1711[R-500])</f>
        <v>6.3E-2</v>
      </c>
      <c r="U2" s="6">
        <f>MEDIAN(Table1711[D-stock])</f>
        <v>0.16200000000000001</v>
      </c>
      <c r="V2" s="6">
        <f>MEDIAN(Table1711[D-bond])</f>
        <v>3.4000000000000002E-2</v>
      </c>
      <c r="W2" s="6">
        <f>MEDIAN(Table1711[D-500])</f>
        <v>0.13700000000000001</v>
      </c>
    </row>
    <row r="3" spans="1:26" x14ac:dyDescent="0.6">
      <c r="C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</row>
    <row r="4" spans="1:26" x14ac:dyDescent="0.6">
      <c r="C4">
        <f>COUNTA(Table1711[ Year])</f>
        <v>40</v>
      </c>
      <c r="P4" s="5">
        <f>SUM(Table1711[R])</f>
        <v>25</v>
      </c>
      <c r="Q4" s="5">
        <f>SUM(Table1711[D])</f>
        <v>15</v>
      </c>
      <c r="R4" s="6">
        <f>AVERAGE(Table1711[R-stock])</f>
        <v>9.0919999999999987E-2</v>
      </c>
      <c r="S4" s="6">
        <f>AVERAGE(Table1711[R-bond])</f>
        <v>7.7440000000000009E-2</v>
      </c>
      <c r="T4" s="6">
        <f>AVERAGE(Table1711[R-500])</f>
        <v>6.087999999999999E-2</v>
      </c>
      <c r="U4" s="6">
        <f>AVERAGE(Table1711[D-stock])</f>
        <v>0.13666666666666669</v>
      </c>
      <c r="V4" s="6">
        <f>AVERAGE(Table1711[D-bond])</f>
        <v>4.1599999999999998E-2</v>
      </c>
      <c r="W4" s="6">
        <f>AVERAGE(Table1711[D-500])</f>
        <v>0.12446666666666666</v>
      </c>
    </row>
    <row r="5" spans="1:26" x14ac:dyDescent="0.6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34</v>
      </c>
      <c r="U5" s="1" t="s">
        <v>35</v>
      </c>
      <c r="V5" s="1" t="s">
        <v>36</v>
      </c>
      <c r="W5" s="1" t="s">
        <v>37</v>
      </c>
      <c r="X5" s="1" t="s">
        <v>38</v>
      </c>
      <c r="Y5" s="1" t="s">
        <v>39</v>
      </c>
    </row>
    <row r="6" spans="1:26" x14ac:dyDescent="0.6">
      <c r="A6" s="1" t="s">
        <v>44</v>
      </c>
      <c r="B6" s="1" t="s">
        <v>43</v>
      </c>
      <c r="C6" s="1">
        <v>2003</v>
      </c>
      <c r="D6" s="2">
        <v>3.5000000000000003E-2</v>
      </c>
      <c r="E6" s="2">
        <v>7.0000000000000007E-2</v>
      </c>
      <c r="F6" s="2">
        <v>0.107</v>
      </c>
      <c r="G6" s="2">
        <v>0.14499999999999999</v>
      </c>
      <c r="H6" s="2">
        <v>0.183</v>
      </c>
      <c r="I6" s="2">
        <v>0.222</v>
      </c>
      <c r="J6" s="2">
        <v>0.26200000000000001</v>
      </c>
      <c r="K6" s="2">
        <v>0.30299999999999999</v>
      </c>
      <c r="L6" s="2">
        <v>0.34499999999999997</v>
      </c>
      <c r="M6" s="2">
        <v>0.38800000000000001</v>
      </c>
      <c r="N6" s="2">
        <v>0.43099999999999999</v>
      </c>
      <c r="O6" s="2">
        <v>0.28699999999999998</v>
      </c>
      <c r="P6" s="4">
        <f>IF(Table1711[[#This Row],[Party]]="Republican",1,0)</f>
        <v>1</v>
      </c>
      <c r="Q6" s="4">
        <f>IF(Table1711[[#This Row],[Party]]="Democratic",1,0)</f>
        <v>0</v>
      </c>
      <c r="R6" s="2">
        <f>IF(Table1711[[#This Row],[Party]]="Republican",Table1711[[#This Row],[100%Stock]],"null")</f>
        <v>0.43099999999999999</v>
      </c>
      <c r="S6" s="2">
        <f>IF(Table1711[[#This Row],[Party]]="Republican",Table1711[[#This Row],[100% Bonds ]],"null")</f>
        <v>3.5000000000000003E-2</v>
      </c>
      <c r="T6" s="2">
        <f>IF(Table1711[[#This Row],[Party]]="Republican",Table1711[[#This Row],[S&amp;P 500 Index ]],"null")</f>
        <v>0.28699999999999998</v>
      </c>
      <c r="U6" s="2" t="str">
        <f>IF(Table1711[[#This Row],[Party]]="Democratic",Table1711[[#This Row],[100%Stock]],"null")</f>
        <v>null</v>
      </c>
      <c r="V6" s="2" t="str">
        <f>IF(Table1711[[#This Row],[Party]]="Democratic",Table1711[[#This Row],[100% Bonds ]],"null")</f>
        <v>null</v>
      </c>
      <c r="W6" s="2" t="str">
        <f>IF(Table1711[[#This Row],[Party]]="Democratic",Table1711[[#This Row],[S&amp;P 500 Index ]],"null")</f>
        <v>null</v>
      </c>
      <c r="X6" s="2">
        <f>ABS(Table1711[[#This Row],[S&amp;P 500 Index ]])</f>
        <v>0.28699999999999998</v>
      </c>
      <c r="Y6" s="2">
        <f>ABS(Table1711[[#This Row],[100% Bonds ]])</f>
        <v>3.5000000000000003E-2</v>
      </c>
    </row>
    <row r="7" spans="1:26" x14ac:dyDescent="0.6">
      <c r="A7" s="1" t="s">
        <v>40</v>
      </c>
      <c r="B7" s="1" t="s">
        <v>41</v>
      </c>
      <c r="C7" s="1">
        <v>1998</v>
      </c>
      <c r="D7" s="2">
        <v>8.1000000000000003E-2</v>
      </c>
      <c r="E7" s="2">
        <v>8.2000000000000003E-2</v>
      </c>
      <c r="F7" s="2">
        <v>8.3000000000000004E-2</v>
      </c>
      <c r="G7" s="2">
        <v>8.2000000000000003E-2</v>
      </c>
      <c r="H7" s="2">
        <v>8.2000000000000003E-2</v>
      </c>
      <c r="I7" s="2">
        <v>0.08</v>
      </c>
      <c r="J7" s="2">
        <v>7.8E-2</v>
      </c>
      <c r="K7" s="2">
        <v>7.4999999999999997E-2</v>
      </c>
      <c r="L7" s="2">
        <v>7.0999999999999994E-2</v>
      </c>
      <c r="M7" s="2">
        <v>6.7000000000000004E-2</v>
      </c>
      <c r="N7" s="2">
        <v>6.0999999999999999E-2</v>
      </c>
      <c r="O7" s="2">
        <v>0.28599999999999998</v>
      </c>
      <c r="P7" s="4">
        <f>IF(Table1711[[#This Row],[Party]]="Republican",1,0)</f>
        <v>0</v>
      </c>
      <c r="Q7" s="4">
        <f>IF(Table1711[[#This Row],[Party]]="Democratic",1,0)</f>
        <v>1</v>
      </c>
      <c r="R7" s="2" t="str">
        <f>IF(Table1711[[#This Row],[Party]]="Republican",Table1711[[#This Row],[100%Stock]],"null")</f>
        <v>null</v>
      </c>
      <c r="S7" s="2" t="str">
        <f>IF(Table1711[[#This Row],[Party]]="Republican",Table1711[[#This Row],[100% Bonds ]],"null")</f>
        <v>null</v>
      </c>
      <c r="T7" s="2" t="str">
        <f>IF(Table1711[[#This Row],[Party]]="Republican",Table1711[[#This Row],[S&amp;P 500 Index ]],"null")</f>
        <v>null</v>
      </c>
      <c r="U7" s="2">
        <f>IF(Table1711[[#This Row],[Party]]="Democratic",Table1711[[#This Row],[100%Stock]],"null")</f>
        <v>6.0999999999999999E-2</v>
      </c>
      <c r="V7" s="2">
        <f>IF(Table1711[[#This Row],[Party]]="Democratic",Table1711[[#This Row],[100% Bonds ]],"null")</f>
        <v>8.1000000000000003E-2</v>
      </c>
      <c r="W7" s="2">
        <f>IF(Table1711[[#This Row],[Party]]="Democratic",Table1711[[#This Row],[S&amp;P 500 Index ]],"null")</f>
        <v>0.28599999999999998</v>
      </c>
      <c r="X7" s="2">
        <f>ABS(Table1711[[#This Row],[S&amp;P 500 Index ]])</f>
        <v>0.28599999999999998</v>
      </c>
      <c r="Y7" s="2">
        <f>ABS(Table1711[[#This Row],[100% Bonds ]])</f>
        <v>8.1000000000000003E-2</v>
      </c>
    </row>
    <row r="8" spans="1:26" x14ac:dyDescent="0.6">
      <c r="A8" s="1" t="s">
        <v>50</v>
      </c>
      <c r="B8" s="1" t="s">
        <v>43</v>
      </c>
      <c r="C8" s="1">
        <v>1974</v>
      </c>
      <c r="D8" s="2">
        <v>7.3999999999999996E-2</v>
      </c>
      <c r="E8" s="2">
        <v>4.2999999999999997E-2</v>
      </c>
      <c r="F8" s="2">
        <v>1.0999999999999999E-2</v>
      </c>
      <c r="G8" s="3">
        <v>-0.02</v>
      </c>
      <c r="H8" s="3">
        <v>-0.05</v>
      </c>
      <c r="I8" s="3">
        <v>-0.08</v>
      </c>
      <c r="J8" s="3">
        <v>-0.109</v>
      </c>
      <c r="K8" s="3">
        <v>-0.13800000000000001</v>
      </c>
      <c r="L8" s="3">
        <v>-0.16700000000000001</v>
      </c>
      <c r="M8" s="3">
        <v>-0.19500000000000001</v>
      </c>
      <c r="N8" s="3">
        <v>-0.222</v>
      </c>
      <c r="O8" s="3">
        <v>-0.26500000000000001</v>
      </c>
      <c r="P8" s="4">
        <f>IF(Table1711[[#This Row],[Party]]="Republican",1,0)</f>
        <v>1</v>
      </c>
      <c r="Q8" s="4">
        <f>IF(Table1711[[#This Row],[Party]]="Democratic",1,0)</f>
        <v>0</v>
      </c>
      <c r="R8" s="2">
        <f>IF(Table1711[[#This Row],[Party]]="Republican",Table1711[[#This Row],[100%Stock]],"null")</f>
        <v>-0.222</v>
      </c>
      <c r="S8" s="2">
        <f>IF(Table1711[[#This Row],[Party]]="Republican",Table1711[[#This Row],[100% Bonds ]],"null")</f>
        <v>7.3999999999999996E-2</v>
      </c>
      <c r="T8" s="2">
        <f>IF(Table1711[[#This Row],[Party]]="Republican",Table1711[[#This Row],[S&amp;P 500 Index ]],"null")</f>
        <v>-0.26500000000000001</v>
      </c>
      <c r="U8" s="2" t="str">
        <f>IF(Table1711[[#This Row],[Party]]="Democratic",Table1711[[#This Row],[100%Stock]],"null")</f>
        <v>null</v>
      </c>
      <c r="V8" s="2" t="str">
        <f>IF(Table1711[[#This Row],[Party]]="Democratic",Table1711[[#This Row],[100% Bonds ]],"null")</f>
        <v>null</v>
      </c>
      <c r="W8" s="2" t="str">
        <f>IF(Table1711[[#This Row],[Party]]="Democratic",Table1711[[#This Row],[S&amp;P 500 Index ]],"null")</f>
        <v>null</v>
      </c>
      <c r="X8" s="2">
        <f>ABS(Table1711[[#This Row],[S&amp;P 500 Index ]])</f>
        <v>0.26500000000000001</v>
      </c>
      <c r="Y8" s="2">
        <f>ABS(Table1711[[#This Row],[100% Bonds ]])</f>
        <v>7.3999999999999996E-2</v>
      </c>
    </row>
    <row r="9" spans="1:26" x14ac:dyDescent="0.6">
      <c r="A9" s="1" t="s">
        <v>46</v>
      </c>
      <c r="B9" s="1" t="s">
        <v>41</v>
      </c>
      <c r="C9" s="1">
        <v>2009</v>
      </c>
      <c r="D9" s="2">
        <v>0.02</v>
      </c>
      <c r="E9" s="2">
        <v>0.05</v>
      </c>
      <c r="F9" s="2">
        <v>8.1000000000000003E-2</v>
      </c>
      <c r="G9" s="2">
        <v>0.111</v>
      </c>
      <c r="H9" s="2">
        <v>0.14099999999999999</v>
      </c>
      <c r="I9" s="2">
        <v>0.17199999999999999</v>
      </c>
      <c r="J9" s="2">
        <v>0.20200000000000001</v>
      </c>
      <c r="K9" s="2">
        <v>0.23100000000000001</v>
      </c>
      <c r="L9" s="2">
        <v>0.26100000000000001</v>
      </c>
      <c r="M9" s="2">
        <v>0.28999999999999998</v>
      </c>
      <c r="N9" s="2">
        <v>0.31900000000000001</v>
      </c>
      <c r="O9" s="2">
        <v>0.26500000000000001</v>
      </c>
      <c r="P9" s="4">
        <f>IF(Table1711[[#This Row],[Party]]="Republican",1,0)</f>
        <v>0</v>
      </c>
      <c r="Q9" s="4">
        <f>IF(Table1711[[#This Row],[Party]]="Democratic",1,0)</f>
        <v>1</v>
      </c>
      <c r="R9" s="2" t="str">
        <f>IF(Table1711[[#This Row],[Party]]="Republican",Table1711[[#This Row],[100%Stock]],"null")</f>
        <v>null</v>
      </c>
      <c r="S9" s="2" t="str">
        <f>IF(Table1711[[#This Row],[Party]]="Republican",Table1711[[#This Row],[100% Bonds ]],"null")</f>
        <v>null</v>
      </c>
      <c r="T9" s="2" t="str">
        <f>IF(Table1711[[#This Row],[Party]]="Republican",Table1711[[#This Row],[S&amp;P 500 Index ]],"null")</f>
        <v>null</v>
      </c>
      <c r="U9" s="2">
        <f>IF(Table1711[[#This Row],[Party]]="Democratic",Table1711[[#This Row],[100%Stock]],"null")</f>
        <v>0.31900000000000001</v>
      </c>
      <c r="V9" s="2">
        <f>IF(Table1711[[#This Row],[Party]]="Democratic",Table1711[[#This Row],[100% Bonds ]],"null")</f>
        <v>0.02</v>
      </c>
      <c r="W9" s="2">
        <f>IF(Table1711[[#This Row],[Party]]="Democratic",Table1711[[#This Row],[S&amp;P 500 Index ]],"null")</f>
        <v>0.26500000000000001</v>
      </c>
      <c r="X9" s="2">
        <f>ABS(Table1711[[#This Row],[S&amp;P 500 Index ]])</f>
        <v>0.26500000000000001</v>
      </c>
      <c r="Y9" s="2">
        <f>ABS(Table1711[[#This Row],[100% Bonds ]])</f>
        <v>0.02</v>
      </c>
    </row>
    <row r="10" spans="1:26" x14ac:dyDescent="0.6">
      <c r="A10" s="1" t="s">
        <v>42</v>
      </c>
      <c r="B10" s="1" t="s">
        <v>43</v>
      </c>
      <c r="C10" s="1">
        <v>1976</v>
      </c>
      <c r="D10" s="2">
        <v>0.1</v>
      </c>
      <c r="E10" s="2">
        <v>0.13100000000000001</v>
      </c>
      <c r="F10" s="2">
        <v>0.16300000000000001</v>
      </c>
      <c r="G10" s="2">
        <v>0.19500000000000001</v>
      </c>
      <c r="H10" s="2">
        <v>0.22800000000000001</v>
      </c>
      <c r="I10" s="2">
        <v>0.26100000000000001</v>
      </c>
      <c r="J10" s="2">
        <v>0.29399999999999998</v>
      </c>
      <c r="K10" s="2">
        <v>0.32800000000000001</v>
      </c>
      <c r="L10" s="2">
        <v>0.36199999999999999</v>
      </c>
      <c r="M10" s="2">
        <v>0.39700000000000002</v>
      </c>
      <c r="N10" s="2">
        <v>0.432</v>
      </c>
      <c r="O10" s="2">
        <v>0.23799999999999999</v>
      </c>
      <c r="P10" s="4">
        <f>IF(Table1711[[#This Row],[Party]]="Republican",1,0)</f>
        <v>1</v>
      </c>
      <c r="Q10" s="4">
        <f>IF(Table1711[[#This Row],[Party]]="Democratic",1,0)</f>
        <v>0</v>
      </c>
      <c r="R10" s="2">
        <f>IF(Table1711[[#This Row],[Party]]="Republican",Table1711[[#This Row],[100%Stock]],"null")</f>
        <v>0.432</v>
      </c>
      <c r="S10" s="2">
        <f>IF(Table1711[[#This Row],[Party]]="Republican",Table1711[[#This Row],[100% Bonds ]],"null")</f>
        <v>0.1</v>
      </c>
      <c r="T10" s="2">
        <f>IF(Table1711[[#This Row],[Party]]="Republican",Table1711[[#This Row],[S&amp;P 500 Index ]],"null")</f>
        <v>0.23799999999999999</v>
      </c>
      <c r="U10" s="2" t="str">
        <f>IF(Table1711[[#This Row],[Party]]="Democratic",Table1711[[#This Row],[100%Stock]],"null")</f>
        <v>null</v>
      </c>
      <c r="V10" s="2" t="str">
        <f>IF(Table1711[[#This Row],[Party]]="Democratic",Table1711[[#This Row],[100% Bonds ]],"null")</f>
        <v>null</v>
      </c>
      <c r="W10" s="2" t="str">
        <f>IF(Table1711[[#This Row],[Party]]="Democratic",Table1711[[#This Row],[S&amp;P 500 Index ]],"null")</f>
        <v>null</v>
      </c>
      <c r="X10" s="2">
        <f>ABS(Table1711[[#This Row],[S&amp;P 500 Index ]])</f>
        <v>0.23799999999999999</v>
      </c>
      <c r="Y10" s="2">
        <f>ABS(Table1711[[#This Row],[100% Bonds ]])</f>
        <v>0.1</v>
      </c>
    </row>
    <row r="11" spans="1:26" x14ac:dyDescent="0.6">
      <c r="A11" s="1" t="s">
        <v>40</v>
      </c>
      <c r="B11" s="1" t="s">
        <v>41</v>
      </c>
      <c r="C11" s="1">
        <v>1996</v>
      </c>
      <c r="D11" s="2">
        <v>3.1E-2</v>
      </c>
      <c r="E11" s="2">
        <v>4.9000000000000002E-2</v>
      </c>
      <c r="F11" s="2">
        <v>6.6000000000000003E-2</v>
      </c>
      <c r="G11" s="2">
        <v>8.3000000000000004E-2</v>
      </c>
      <c r="H11" s="2">
        <v>0.10100000000000001</v>
      </c>
      <c r="I11" s="2">
        <v>0.11899999999999999</v>
      </c>
      <c r="J11" s="2">
        <v>0.13700000000000001</v>
      </c>
      <c r="K11" s="2">
        <v>0.155</v>
      </c>
      <c r="L11" s="2">
        <v>0.17299999999999999</v>
      </c>
      <c r="M11" s="2">
        <v>0.191</v>
      </c>
      <c r="N11" s="2">
        <v>0.20899999999999999</v>
      </c>
      <c r="O11" s="2">
        <v>0.23</v>
      </c>
      <c r="P11" s="4">
        <f>IF(Table1711[[#This Row],[Party]]="Republican",1,0)</f>
        <v>0</v>
      </c>
      <c r="Q11" s="4">
        <f>IF(Table1711[[#This Row],[Party]]="Democratic",1,0)</f>
        <v>1</v>
      </c>
      <c r="R11" s="2" t="str">
        <f>IF(Table1711[[#This Row],[Party]]="Republican",Table1711[[#This Row],[100%Stock]],"null")</f>
        <v>null</v>
      </c>
      <c r="S11" s="2" t="str">
        <f>IF(Table1711[[#This Row],[Party]]="Republican",Table1711[[#This Row],[100% Bonds ]],"null")</f>
        <v>null</v>
      </c>
      <c r="T11" s="2" t="str">
        <f>IF(Table1711[[#This Row],[Party]]="Republican",Table1711[[#This Row],[S&amp;P 500 Index ]],"null")</f>
        <v>null</v>
      </c>
      <c r="U11" s="2">
        <f>IF(Table1711[[#This Row],[Party]]="Democratic",Table1711[[#This Row],[100%Stock]],"null")</f>
        <v>0.20899999999999999</v>
      </c>
      <c r="V11" s="2">
        <f>IF(Table1711[[#This Row],[Party]]="Democratic",Table1711[[#This Row],[100% Bonds ]],"null")</f>
        <v>3.1E-2</v>
      </c>
      <c r="W11" s="2">
        <f>IF(Table1711[[#This Row],[Party]]="Democratic",Table1711[[#This Row],[S&amp;P 500 Index ]],"null")</f>
        <v>0.23</v>
      </c>
      <c r="X11" s="2">
        <f>ABS(Table1711[[#This Row],[S&amp;P 500 Index ]])</f>
        <v>0.23</v>
      </c>
      <c r="Y11" s="2">
        <f>ABS(Table1711[[#This Row],[100% Bonds ]])</f>
        <v>3.1E-2</v>
      </c>
      <c r="Z11">
        <f>8.5-4.7</f>
        <v>3.8</v>
      </c>
    </row>
    <row r="12" spans="1:26" x14ac:dyDescent="0.6">
      <c r="A12" s="1" t="s">
        <v>47</v>
      </c>
      <c r="B12" s="1" t="s">
        <v>43</v>
      </c>
      <c r="C12" s="1">
        <v>1983</v>
      </c>
      <c r="D12" s="2">
        <v>7.4999999999999997E-2</v>
      </c>
      <c r="E12" s="2">
        <v>0.10100000000000001</v>
      </c>
      <c r="F12" s="2">
        <v>0.127</v>
      </c>
      <c r="G12" s="2">
        <v>0.154</v>
      </c>
      <c r="H12" s="2">
        <v>0.18099999999999999</v>
      </c>
      <c r="I12" s="2">
        <v>0.20899999999999999</v>
      </c>
      <c r="J12" s="2">
        <v>0.23699999999999999</v>
      </c>
      <c r="K12" s="2">
        <v>0.26600000000000001</v>
      </c>
      <c r="L12" s="2">
        <v>0.29499999999999998</v>
      </c>
      <c r="M12" s="2">
        <v>0.32500000000000001</v>
      </c>
      <c r="N12" s="2">
        <v>0.35499999999999998</v>
      </c>
      <c r="O12" s="2">
        <v>0.22500000000000001</v>
      </c>
      <c r="P12" s="4">
        <f>IF(Table1711[[#This Row],[Party]]="Republican",1,0)</f>
        <v>1</v>
      </c>
      <c r="Q12" s="4">
        <f>IF(Table1711[[#This Row],[Party]]="Democratic",1,0)</f>
        <v>0</v>
      </c>
      <c r="R12" s="2">
        <f>IF(Table1711[[#This Row],[Party]]="Republican",Table1711[[#This Row],[100%Stock]],"null")</f>
        <v>0.35499999999999998</v>
      </c>
      <c r="S12" s="2">
        <f>IF(Table1711[[#This Row],[Party]]="Republican",Table1711[[#This Row],[100% Bonds ]],"null")</f>
        <v>7.4999999999999997E-2</v>
      </c>
      <c r="T12" s="2">
        <f>IF(Table1711[[#This Row],[Party]]="Republican",Table1711[[#This Row],[S&amp;P 500 Index ]],"null")</f>
        <v>0.22500000000000001</v>
      </c>
      <c r="U12" s="2" t="str">
        <f>IF(Table1711[[#This Row],[Party]]="Democratic",Table1711[[#This Row],[100%Stock]],"null")</f>
        <v>null</v>
      </c>
      <c r="V12" s="2" t="str">
        <f>IF(Table1711[[#This Row],[Party]]="Democratic",Table1711[[#This Row],[100% Bonds ]],"null")</f>
        <v>null</v>
      </c>
      <c r="W12" s="2" t="str">
        <f>IF(Table1711[[#This Row],[Party]]="Democratic",Table1711[[#This Row],[S&amp;P 500 Index ]],"null")</f>
        <v>null</v>
      </c>
      <c r="X12" s="2">
        <f>ABS(Table1711[[#This Row],[S&amp;P 500 Index ]])</f>
        <v>0.22500000000000001</v>
      </c>
      <c r="Y12" s="2">
        <f>ABS(Table1711[[#This Row],[100% Bonds ]])</f>
        <v>7.4999999999999997E-2</v>
      </c>
    </row>
    <row r="13" spans="1:26" x14ac:dyDescent="0.6">
      <c r="A13" s="1" t="s">
        <v>44</v>
      </c>
      <c r="B13" s="1" t="s">
        <v>43</v>
      </c>
      <c r="C13" s="1">
        <v>2002</v>
      </c>
      <c r="D13" s="2">
        <v>0.124</v>
      </c>
      <c r="E13" s="2">
        <v>9.5000000000000001E-2</v>
      </c>
      <c r="F13" s="2">
        <v>6.5000000000000002E-2</v>
      </c>
      <c r="G13" s="2">
        <v>3.5999999999999997E-2</v>
      </c>
      <c r="H13" s="2">
        <v>7.0000000000000001E-3</v>
      </c>
      <c r="I13" s="3">
        <v>-2.1999999999999999E-2</v>
      </c>
      <c r="J13" s="3">
        <v>-0.05</v>
      </c>
      <c r="K13" s="3">
        <v>-7.9000000000000001E-2</v>
      </c>
      <c r="L13" s="3">
        <v>-0.107</v>
      </c>
      <c r="M13" s="3">
        <v>-0.13500000000000001</v>
      </c>
      <c r="N13" s="3">
        <v>-0.16300000000000001</v>
      </c>
      <c r="O13" s="3">
        <v>-0.221</v>
      </c>
      <c r="P13" s="4">
        <f>IF(Table1711[[#This Row],[Party]]="Republican",1,0)</f>
        <v>1</v>
      </c>
      <c r="Q13" s="4">
        <f>IF(Table1711[[#This Row],[Party]]="Democratic",1,0)</f>
        <v>0</v>
      </c>
      <c r="R13" s="2">
        <f>IF(Table1711[[#This Row],[Party]]="Republican",Table1711[[#This Row],[100%Stock]],"null")</f>
        <v>-0.16300000000000001</v>
      </c>
      <c r="S13" s="2">
        <f>IF(Table1711[[#This Row],[Party]]="Republican",Table1711[[#This Row],[100% Bonds ]],"null")</f>
        <v>0.124</v>
      </c>
      <c r="T13" s="2">
        <f>IF(Table1711[[#This Row],[Party]]="Republican",Table1711[[#This Row],[S&amp;P 500 Index ]],"null")</f>
        <v>-0.221</v>
      </c>
      <c r="U13" s="2" t="str">
        <f>IF(Table1711[[#This Row],[Party]]="Democratic",Table1711[[#This Row],[100%Stock]],"null")</f>
        <v>null</v>
      </c>
      <c r="V13" s="2" t="str">
        <f>IF(Table1711[[#This Row],[Party]]="Democratic",Table1711[[#This Row],[100% Bonds ]],"null")</f>
        <v>null</v>
      </c>
      <c r="W13" s="2" t="str">
        <f>IF(Table1711[[#This Row],[Party]]="Democratic",Table1711[[#This Row],[S&amp;P 500 Index ]],"null")</f>
        <v>null</v>
      </c>
      <c r="X13" s="2">
        <f>ABS(Table1711[[#This Row],[S&amp;P 500 Index ]])</f>
        <v>0.221</v>
      </c>
      <c r="Y13" s="2">
        <f>ABS(Table1711[[#This Row],[100% Bonds ]])</f>
        <v>0.124</v>
      </c>
    </row>
    <row r="14" spans="1:26" x14ac:dyDescent="0.6">
      <c r="A14" s="1" t="s">
        <v>49</v>
      </c>
      <c r="B14" s="1" t="s">
        <v>43</v>
      </c>
      <c r="C14" s="1">
        <v>2017</v>
      </c>
      <c r="D14" s="2">
        <v>1.9E-2</v>
      </c>
      <c r="E14" s="2">
        <v>3.1E-2</v>
      </c>
      <c r="F14" s="2">
        <v>4.3999999999999997E-2</v>
      </c>
      <c r="G14" s="2">
        <v>5.7000000000000002E-2</v>
      </c>
      <c r="H14" s="2">
        <v>6.9000000000000006E-2</v>
      </c>
      <c r="I14" s="2">
        <v>8.2000000000000003E-2</v>
      </c>
      <c r="J14" s="2">
        <v>9.5000000000000001E-2</v>
      </c>
      <c r="K14" s="2">
        <v>0.108</v>
      </c>
      <c r="L14" s="2">
        <v>0.122</v>
      </c>
      <c r="M14" s="2">
        <v>0.13500000000000001</v>
      </c>
      <c r="N14" s="2">
        <v>0.14799999999999999</v>
      </c>
      <c r="O14" s="2">
        <v>0.218</v>
      </c>
      <c r="P14" s="4">
        <f>IF(Table1711[[#This Row],[Party]]="Republican",1,0)</f>
        <v>1</v>
      </c>
      <c r="Q14" s="4">
        <f>IF(Table1711[[#This Row],[Party]]="Democratic",1,0)</f>
        <v>0</v>
      </c>
      <c r="R14" s="2">
        <f>IF(Table1711[[#This Row],[Party]]="Republican",Table1711[[#This Row],[100%Stock]],"null")</f>
        <v>0.14799999999999999</v>
      </c>
      <c r="S14" s="2">
        <f>IF(Table1711[[#This Row],[Party]]="Republican",Table1711[[#This Row],[100% Bonds ]],"null")</f>
        <v>1.9E-2</v>
      </c>
      <c r="T14" s="2">
        <f>IF(Table1711[[#This Row],[Party]]="Republican",Table1711[[#This Row],[S&amp;P 500 Index ]],"null")</f>
        <v>0.218</v>
      </c>
      <c r="U14" s="2" t="str">
        <f>IF(Table1711[[#This Row],[Party]]="Democratic",Table1711[[#This Row],[100%Stock]],"null")</f>
        <v>null</v>
      </c>
      <c r="V14" s="2" t="str">
        <f>IF(Table1711[[#This Row],[Party]]="Democratic",Table1711[[#This Row],[100% Bonds ]],"null")</f>
        <v>null</v>
      </c>
      <c r="W14" s="2" t="str">
        <f>IF(Table1711[[#This Row],[Party]]="Democratic",Table1711[[#This Row],[S&amp;P 500 Index ]],"null")</f>
        <v>null</v>
      </c>
      <c r="X14" s="2">
        <f>ABS(Table1711[[#This Row],[S&amp;P 500 Index ]])</f>
        <v>0.218</v>
      </c>
      <c r="Y14" s="2">
        <f>ABS(Table1711[[#This Row],[100% Bonds ]])</f>
        <v>1.9E-2</v>
      </c>
    </row>
    <row r="15" spans="1:26" x14ac:dyDescent="0.6">
      <c r="A15" s="1" t="s">
        <v>47</v>
      </c>
      <c r="B15" s="1" t="s">
        <v>43</v>
      </c>
      <c r="C15" s="1">
        <v>1982</v>
      </c>
      <c r="D15" s="2">
        <v>0.25700000000000001</v>
      </c>
      <c r="E15" s="2">
        <v>0.25900000000000001</v>
      </c>
      <c r="F15" s="2">
        <v>0.26100000000000001</v>
      </c>
      <c r="G15" s="2">
        <v>0.26300000000000001</v>
      </c>
      <c r="H15" s="2">
        <v>0.26500000000000001</v>
      </c>
      <c r="I15" s="2">
        <v>0.26700000000000002</v>
      </c>
      <c r="J15" s="2">
        <v>0.26800000000000002</v>
      </c>
      <c r="K15" s="2">
        <v>0.26900000000000002</v>
      </c>
      <c r="L15" s="2">
        <v>0.27</v>
      </c>
      <c r="M15" s="2">
        <v>0.27</v>
      </c>
      <c r="N15" s="2">
        <v>0.27</v>
      </c>
      <c r="O15" s="2">
        <v>0.214</v>
      </c>
      <c r="P15" s="4">
        <f>IF(Table1711[[#This Row],[Party]]="Republican",1,0)</f>
        <v>1</v>
      </c>
      <c r="Q15" s="4">
        <f>IF(Table1711[[#This Row],[Party]]="Democratic",1,0)</f>
        <v>0</v>
      </c>
      <c r="R15" s="2">
        <f>IF(Table1711[[#This Row],[Party]]="Republican",Table1711[[#This Row],[100%Stock]],"null")</f>
        <v>0.27</v>
      </c>
      <c r="S15" s="2">
        <f>IF(Table1711[[#This Row],[Party]]="Republican",Table1711[[#This Row],[100% Bonds ]],"null")</f>
        <v>0.25700000000000001</v>
      </c>
      <c r="T15" s="2">
        <f>IF(Table1711[[#This Row],[Party]]="Republican",Table1711[[#This Row],[S&amp;P 500 Index ]],"null")</f>
        <v>0.214</v>
      </c>
      <c r="U15" s="2" t="str">
        <f>IF(Table1711[[#This Row],[Party]]="Democratic",Table1711[[#This Row],[100%Stock]],"null")</f>
        <v>null</v>
      </c>
      <c r="V15" s="2" t="str">
        <f>IF(Table1711[[#This Row],[Party]]="Democratic",Table1711[[#This Row],[100% Bonds ]],"null")</f>
        <v>null</v>
      </c>
      <c r="W15" s="2" t="str">
        <f>IF(Table1711[[#This Row],[Party]]="Democratic",Table1711[[#This Row],[S&amp;P 500 Index ]],"null")</f>
        <v>null</v>
      </c>
      <c r="X15" s="2">
        <f>ABS(Table1711[[#This Row],[S&amp;P 500 Index ]])</f>
        <v>0.214</v>
      </c>
      <c r="Y15" s="2">
        <f>ABS(Table1711[[#This Row],[100% Bonds ]])</f>
        <v>0.25700000000000001</v>
      </c>
    </row>
    <row r="16" spans="1:26" x14ac:dyDescent="0.6">
      <c r="A16" s="1" t="s">
        <v>40</v>
      </c>
      <c r="B16" s="1" t="s">
        <v>41</v>
      </c>
      <c r="C16" s="1">
        <v>1999</v>
      </c>
      <c r="D16" s="3">
        <v>-5.0000000000000001E-3</v>
      </c>
      <c r="E16" s="2">
        <v>1.2E-2</v>
      </c>
      <c r="F16" s="2">
        <v>2.8000000000000001E-2</v>
      </c>
      <c r="G16" s="2">
        <v>4.4999999999999998E-2</v>
      </c>
      <c r="H16" s="2">
        <v>6.0999999999999999E-2</v>
      </c>
      <c r="I16" s="2">
        <v>7.8E-2</v>
      </c>
      <c r="J16" s="2">
        <v>9.5000000000000001E-2</v>
      </c>
      <c r="K16" s="2">
        <v>0.112</v>
      </c>
      <c r="L16" s="2">
        <v>0.128</v>
      </c>
      <c r="M16" s="2">
        <v>0.14499999999999999</v>
      </c>
      <c r="N16" s="2">
        <v>0.16200000000000001</v>
      </c>
      <c r="O16" s="2">
        <v>0.21</v>
      </c>
      <c r="P16" s="4">
        <f>IF(Table1711[[#This Row],[Party]]="Republican",1,0)</f>
        <v>0</v>
      </c>
      <c r="Q16" s="4">
        <f>IF(Table1711[[#This Row],[Party]]="Democratic",1,0)</f>
        <v>1</v>
      </c>
      <c r="R16" s="2" t="str">
        <f>IF(Table1711[[#This Row],[Party]]="Republican",Table1711[[#This Row],[100%Stock]],"null")</f>
        <v>null</v>
      </c>
      <c r="S16" s="2" t="str">
        <f>IF(Table1711[[#This Row],[Party]]="Republican",Table1711[[#This Row],[100% Bonds ]],"null")</f>
        <v>null</v>
      </c>
      <c r="T16" s="2" t="str">
        <f>IF(Table1711[[#This Row],[Party]]="Republican",Table1711[[#This Row],[S&amp;P 500 Index ]],"null")</f>
        <v>null</v>
      </c>
      <c r="U16" s="2">
        <f>IF(Table1711[[#This Row],[Party]]="Democratic",Table1711[[#This Row],[100%Stock]],"null")</f>
        <v>0.16200000000000001</v>
      </c>
      <c r="V16" s="2">
        <f>IF(Table1711[[#This Row],[Party]]="Democratic",Table1711[[#This Row],[100% Bonds ]],"null")</f>
        <v>-5.0000000000000001E-3</v>
      </c>
      <c r="W16" s="2">
        <f>IF(Table1711[[#This Row],[Party]]="Democratic",Table1711[[#This Row],[S&amp;P 500 Index ]],"null")</f>
        <v>0.21</v>
      </c>
      <c r="X16" s="2">
        <f>ABS(Table1711[[#This Row],[S&amp;P 500 Index ]])</f>
        <v>0.21</v>
      </c>
      <c r="Y16" s="2">
        <f>ABS(Table1711[[#This Row],[100% Bonds ]])</f>
        <v>5.0000000000000001E-3</v>
      </c>
    </row>
    <row r="17" spans="1:25" x14ac:dyDescent="0.6">
      <c r="A17" s="1" t="s">
        <v>50</v>
      </c>
      <c r="B17" s="1" t="s">
        <v>43</v>
      </c>
      <c r="C17" s="1">
        <v>1972</v>
      </c>
      <c r="D17" s="2">
        <v>4.8000000000000001E-2</v>
      </c>
      <c r="E17" s="2">
        <v>5.5E-2</v>
      </c>
      <c r="F17" s="2">
        <v>6.3E-2</v>
      </c>
      <c r="G17" s="2">
        <v>7.0000000000000007E-2</v>
      </c>
      <c r="H17" s="2">
        <v>7.8E-2</v>
      </c>
      <c r="I17" s="2">
        <v>8.5000000000000006E-2</v>
      </c>
      <c r="J17" s="2">
        <v>9.1999999999999998E-2</v>
      </c>
      <c r="K17" s="2">
        <v>9.9000000000000005E-2</v>
      </c>
      <c r="L17" s="2">
        <v>0.106</v>
      </c>
      <c r="M17" s="2">
        <v>0.114</v>
      </c>
      <c r="N17" s="2">
        <v>0.121</v>
      </c>
      <c r="O17" s="2">
        <v>0.19</v>
      </c>
      <c r="P17" s="4">
        <f>IF(Table1711[[#This Row],[Party]]="Republican",1,0)</f>
        <v>1</v>
      </c>
      <c r="Q17" s="4">
        <f>IF(Table1711[[#This Row],[Party]]="Democratic",1,0)</f>
        <v>0</v>
      </c>
      <c r="R17" s="2">
        <f>IF(Table1711[[#This Row],[Party]]="Republican",Table1711[[#This Row],[100%Stock]],"null")</f>
        <v>0.121</v>
      </c>
      <c r="S17" s="2">
        <f>IF(Table1711[[#This Row],[Party]]="Republican",Table1711[[#This Row],[100% Bonds ]],"null")</f>
        <v>4.8000000000000001E-2</v>
      </c>
      <c r="T17" s="2">
        <f>IF(Table1711[[#This Row],[Party]]="Republican",Table1711[[#This Row],[S&amp;P 500 Index ]],"null")</f>
        <v>0.19</v>
      </c>
      <c r="U17" s="2" t="str">
        <f>IF(Table1711[[#This Row],[Party]]="Democratic",Table1711[[#This Row],[100%Stock]],"null")</f>
        <v>null</v>
      </c>
      <c r="V17" s="2" t="str">
        <f>IF(Table1711[[#This Row],[Party]]="Democratic",Table1711[[#This Row],[100% Bonds ]],"null")</f>
        <v>null</v>
      </c>
      <c r="W17" s="2" t="str">
        <f>IF(Table1711[[#This Row],[Party]]="Democratic",Table1711[[#This Row],[S&amp;P 500 Index ]],"null")</f>
        <v>null</v>
      </c>
      <c r="X17" s="2">
        <f>ABS(Table1711[[#This Row],[S&amp;P 500 Index ]])</f>
        <v>0.19</v>
      </c>
      <c r="Y17" s="2">
        <f>ABS(Table1711[[#This Row],[100% Bonds ]])</f>
        <v>4.8000000000000001E-2</v>
      </c>
    </row>
    <row r="18" spans="1:25" x14ac:dyDescent="0.6">
      <c r="A18" s="1" t="s">
        <v>47</v>
      </c>
      <c r="B18" s="1" t="s">
        <v>43</v>
      </c>
      <c r="C18" s="1">
        <v>1986</v>
      </c>
      <c r="D18" s="2">
        <v>0.13900000000000001</v>
      </c>
      <c r="E18" s="2">
        <v>0.14000000000000001</v>
      </c>
      <c r="F18" s="2">
        <v>0.14000000000000001</v>
      </c>
      <c r="G18" s="2">
        <v>0.14000000000000001</v>
      </c>
      <c r="H18" s="2">
        <v>0.14000000000000001</v>
      </c>
      <c r="I18" s="2">
        <v>0.13900000000000001</v>
      </c>
      <c r="J18" s="2">
        <v>0.13900000000000001</v>
      </c>
      <c r="K18" s="2">
        <v>0.13800000000000001</v>
      </c>
      <c r="L18" s="2">
        <v>0.13700000000000001</v>
      </c>
      <c r="M18" s="2">
        <v>0.13600000000000001</v>
      </c>
      <c r="N18" s="2">
        <v>0.13500000000000001</v>
      </c>
      <c r="O18" s="2">
        <v>0.185</v>
      </c>
      <c r="P18" s="4">
        <f>IF(Table1711[[#This Row],[Party]]="Republican",1,0)</f>
        <v>1</v>
      </c>
      <c r="Q18" s="4">
        <f>IF(Table1711[[#This Row],[Party]]="Democratic",1,0)</f>
        <v>0</v>
      </c>
      <c r="R18" s="2">
        <f>IF(Table1711[[#This Row],[Party]]="Republican",Table1711[[#This Row],[100%Stock]],"null")</f>
        <v>0.13500000000000001</v>
      </c>
      <c r="S18" s="2">
        <f>IF(Table1711[[#This Row],[Party]]="Republican",Table1711[[#This Row],[100% Bonds ]],"null")</f>
        <v>0.13900000000000001</v>
      </c>
      <c r="T18" s="2">
        <f>IF(Table1711[[#This Row],[Party]]="Republican",Table1711[[#This Row],[S&amp;P 500 Index ]],"null")</f>
        <v>0.185</v>
      </c>
      <c r="U18" s="2" t="str">
        <f>IF(Table1711[[#This Row],[Party]]="Democratic",Table1711[[#This Row],[100%Stock]],"null")</f>
        <v>null</v>
      </c>
      <c r="V18" s="2" t="str">
        <f>IF(Table1711[[#This Row],[Party]]="Democratic",Table1711[[#This Row],[100% Bonds ]],"null")</f>
        <v>null</v>
      </c>
      <c r="W18" s="2" t="str">
        <f>IF(Table1711[[#This Row],[Party]]="Democratic",Table1711[[#This Row],[S&amp;P 500 Index ]],"null")</f>
        <v>null</v>
      </c>
      <c r="X18" s="2">
        <f>ABS(Table1711[[#This Row],[S&amp;P 500 Index ]])</f>
        <v>0.185</v>
      </c>
      <c r="Y18" s="2">
        <f>ABS(Table1711[[#This Row],[100% Bonds ]])</f>
        <v>0.13900000000000001</v>
      </c>
    </row>
    <row r="19" spans="1:25" x14ac:dyDescent="0.6">
      <c r="A19" s="1" t="s">
        <v>45</v>
      </c>
      <c r="B19" s="1" t="s">
        <v>41</v>
      </c>
      <c r="C19" s="1">
        <v>1979</v>
      </c>
      <c r="D19" s="2">
        <v>6.3E-2</v>
      </c>
      <c r="E19" s="2">
        <v>8.5000000000000006E-2</v>
      </c>
      <c r="F19" s="2">
        <v>0.107</v>
      </c>
      <c r="G19" s="2">
        <v>0.129</v>
      </c>
      <c r="H19" s="2">
        <v>0.152</v>
      </c>
      <c r="I19" s="2">
        <v>0.17499999999999999</v>
      </c>
      <c r="J19" s="2">
        <v>0.19800000000000001</v>
      </c>
      <c r="K19" s="2">
        <v>0.222</v>
      </c>
      <c r="L19" s="2">
        <v>0.245</v>
      </c>
      <c r="M19" s="2">
        <v>0.26900000000000002</v>
      </c>
      <c r="N19" s="2">
        <v>0.29299999999999998</v>
      </c>
      <c r="O19" s="2">
        <v>0.184</v>
      </c>
      <c r="P19" s="4">
        <f>IF(Table1711[[#This Row],[Party]]="Republican",1,0)</f>
        <v>0</v>
      </c>
      <c r="Q19" s="4">
        <f>IF(Table1711[[#This Row],[Party]]="Democratic",1,0)</f>
        <v>1</v>
      </c>
      <c r="R19" s="2" t="str">
        <f>IF(Table1711[[#This Row],[Party]]="Republican",Table1711[[#This Row],[100%Stock]],"null")</f>
        <v>null</v>
      </c>
      <c r="S19" s="2" t="str">
        <f>IF(Table1711[[#This Row],[Party]]="Republican",Table1711[[#This Row],[100% Bonds ]],"null")</f>
        <v>null</v>
      </c>
      <c r="T19" s="2" t="str">
        <f>IF(Table1711[[#This Row],[Party]]="Republican",Table1711[[#This Row],[S&amp;P 500 Index ]],"null")</f>
        <v>null</v>
      </c>
      <c r="U19" s="2">
        <f>IF(Table1711[[#This Row],[Party]]="Democratic",Table1711[[#This Row],[100%Stock]],"null")</f>
        <v>0.29299999999999998</v>
      </c>
      <c r="V19" s="2">
        <f>IF(Table1711[[#This Row],[Party]]="Democratic",Table1711[[#This Row],[100% Bonds ]],"null")</f>
        <v>6.3E-2</v>
      </c>
      <c r="W19" s="2">
        <f>IF(Table1711[[#This Row],[Party]]="Democratic",Table1711[[#This Row],[S&amp;P 500 Index ]],"null")</f>
        <v>0.184</v>
      </c>
      <c r="X19" s="2">
        <f>ABS(Table1711[[#This Row],[S&amp;P 500 Index ]])</f>
        <v>0.184</v>
      </c>
      <c r="Y19" s="2">
        <f>ABS(Table1711[[#This Row],[100% Bonds ]])</f>
        <v>6.3E-2</v>
      </c>
    </row>
    <row r="20" spans="1:25" x14ac:dyDescent="0.6">
      <c r="A20" s="1" t="s">
        <v>47</v>
      </c>
      <c r="B20" s="1" t="s">
        <v>43</v>
      </c>
      <c r="C20" s="1">
        <v>1988</v>
      </c>
      <c r="D20" s="2">
        <v>6.6000000000000003E-2</v>
      </c>
      <c r="E20" s="2">
        <v>8.5000000000000006E-2</v>
      </c>
      <c r="F20" s="2">
        <v>0.104</v>
      </c>
      <c r="G20" s="2">
        <v>0.122</v>
      </c>
      <c r="H20" s="2">
        <v>0.14199999999999999</v>
      </c>
      <c r="I20" s="2">
        <v>0.161</v>
      </c>
      <c r="J20" s="2">
        <v>0.18099999999999999</v>
      </c>
      <c r="K20" s="2">
        <v>0.2</v>
      </c>
      <c r="L20" s="2">
        <v>0.221</v>
      </c>
      <c r="M20" s="2">
        <v>0.24099999999999999</v>
      </c>
      <c r="N20" s="2">
        <v>0.26100000000000001</v>
      </c>
      <c r="O20" s="2">
        <v>0.16800000000000001</v>
      </c>
      <c r="P20" s="4">
        <f>IF(Table1711[[#This Row],[Party]]="Republican",1,0)</f>
        <v>1</v>
      </c>
      <c r="Q20" s="4">
        <f>IF(Table1711[[#This Row],[Party]]="Democratic",1,0)</f>
        <v>0</v>
      </c>
      <c r="R20" s="2">
        <f>IF(Table1711[[#This Row],[Party]]="Republican",Table1711[[#This Row],[100%Stock]],"null")</f>
        <v>0.26100000000000001</v>
      </c>
      <c r="S20" s="2">
        <f>IF(Table1711[[#This Row],[Party]]="Republican",Table1711[[#This Row],[100% Bonds ]],"null")</f>
        <v>6.6000000000000003E-2</v>
      </c>
      <c r="T20" s="2">
        <f>IF(Table1711[[#This Row],[Party]]="Republican",Table1711[[#This Row],[S&amp;P 500 Index ]],"null")</f>
        <v>0.16800000000000001</v>
      </c>
      <c r="U20" s="2" t="str">
        <f>IF(Table1711[[#This Row],[Party]]="Democratic",Table1711[[#This Row],[100%Stock]],"null")</f>
        <v>null</v>
      </c>
      <c r="V20" s="2" t="str">
        <f>IF(Table1711[[#This Row],[Party]]="Democratic",Table1711[[#This Row],[100% Bonds ]],"null")</f>
        <v>null</v>
      </c>
      <c r="W20" s="2" t="str">
        <f>IF(Table1711[[#This Row],[Party]]="Democratic",Table1711[[#This Row],[S&amp;P 500 Index ]],"null")</f>
        <v>null</v>
      </c>
      <c r="X20" s="2">
        <f>ABS(Table1711[[#This Row],[S&amp;P 500 Index ]])</f>
        <v>0.16800000000000001</v>
      </c>
      <c r="Y20" s="2">
        <f>ABS(Table1711[[#This Row],[100% Bonds ]])</f>
        <v>6.6000000000000003E-2</v>
      </c>
    </row>
    <row r="21" spans="1:25" x14ac:dyDescent="0.6">
      <c r="A21" s="1" t="s">
        <v>46</v>
      </c>
      <c r="B21" s="1" t="s">
        <v>41</v>
      </c>
      <c r="C21" s="1">
        <v>2012</v>
      </c>
      <c r="D21" s="2">
        <v>3.4000000000000002E-2</v>
      </c>
      <c r="E21" s="2">
        <v>0.05</v>
      </c>
      <c r="F21" s="2">
        <v>6.6000000000000003E-2</v>
      </c>
      <c r="G21" s="2">
        <v>8.2000000000000003E-2</v>
      </c>
      <c r="H21" s="2">
        <v>9.8000000000000004E-2</v>
      </c>
      <c r="I21" s="2">
        <v>0.114</v>
      </c>
      <c r="J21" s="2">
        <v>0.13100000000000001</v>
      </c>
      <c r="K21" s="2">
        <v>0.14699999999999999</v>
      </c>
      <c r="L21" s="2">
        <v>0.16300000000000001</v>
      </c>
      <c r="M21" s="2">
        <v>0.17899999999999999</v>
      </c>
      <c r="N21" s="2">
        <v>0.19500000000000001</v>
      </c>
      <c r="O21" s="2">
        <v>0.16</v>
      </c>
      <c r="P21" s="4">
        <f>IF(Table1711[[#This Row],[Party]]="Republican",1,0)</f>
        <v>0</v>
      </c>
      <c r="Q21" s="4">
        <f>IF(Table1711[[#This Row],[Party]]="Democratic",1,0)</f>
        <v>1</v>
      </c>
      <c r="R21" s="2" t="str">
        <f>IF(Table1711[[#This Row],[Party]]="Republican",Table1711[[#This Row],[100%Stock]],"null")</f>
        <v>null</v>
      </c>
      <c r="S21" s="2" t="str">
        <f>IF(Table1711[[#This Row],[Party]]="Republican",Table1711[[#This Row],[100% Bonds ]],"null")</f>
        <v>null</v>
      </c>
      <c r="T21" s="2" t="str">
        <f>IF(Table1711[[#This Row],[Party]]="Republican",Table1711[[#This Row],[S&amp;P 500 Index ]],"null")</f>
        <v>null</v>
      </c>
      <c r="U21" s="2">
        <f>IF(Table1711[[#This Row],[Party]]="Democratic",Table1711[[#This Row],[100%Stock]],"null")</f>
        <v>0.19500000000000001</v>
      </c>
      <c r="V21" s="2">
        <f>IF(Table1711[[#This Row],[Party]]="Democratic",Table1711[[#This Row],[100% Bonds ]],"null")</f>
        <v>3.4000000000000002E-2</v>
      </c>
      <c r="W21" s="2">
        <f>IF(Table1711[[#This Row],[Party]]="Democratic",Table1711[[#This Row],[S&amp;P 500 Index ]],"null")</f>
        <v>0.16</v>
      </c>
      <c r="X21" s="2">
        <f>ABS(Table1711[[#This Row],[S&amp;P 500 Index ]])</f>
        <v>0.16</v>
      </c>
      <c r="Y21" s="2">
        <f>ABS(Table1711[[#This Row],[100% Bonds ]])</f>
        <v>3.4000000000000002E-2</v>
      </c>
    </row>
    <row r="22" spans="1:25" x14ac:dyDescent="0.6">
      <c r="A22" s="1" t="s">
        <v>44</v>
      </c>
      <c r="B22" s="1" t="s">
        <v>43</v>
      </c>
      <c r="C22" s="1">
        <v>2006</v>
      </c>
      <c r="D22" s="2">
        <v>0.03</v>
      </c>
      <c r="E22" s="2">
        <v>4.4999999999999998E-2</v>
      </c>
      <c r="F22" s="2">
        <v>0.06</v>
      </c>
      <c r="G22" s="2">
        <v>7.5999999999999998E-2</v>
      </c>
      <c r="H22" s="2">
        <v>9.0999999999999998E-2</v>
      </c>
      <c r="I22" s="2">
        <v>0.107</v>
      </c>
      <c r="J22" s="2">
        <v>0.123</v>
      </c>
      <c r="K22" s="2">
        <v>0.13800000000000001</v>
      </c>
      <c r="L22" s="2">
        <v>0.154</v>
      </c>
      <c r="M22" s="2">
        <v>0.17</v>
      </c>
      <c r="N22" s="2">
        <v>0.186</v>
      </c>
      <c r="O22" s="2">
        <v>0.158</v>
      </c>
      <c r="P22" s="4">
        <f>IF(Table1711[[#This Row],[Party]]="Republican",1,0)</f>
        <v>1</v>
      </c>
      <c r="Q22" s="4">
        <f>IF(Table1711[[#This Row],[Party]]="Democratic",1,0)</f>
        <v>0</v>
      </c>
      <c r="R22" s="2">
        <f>IF(Table1711[[#This Row],[Party]]="Republican",Table1711[[#This Row],[100%Stock]],"null")</f>
        <v>0.186</v>
      </c>
      <c r="S22" s="2">
        <f>IF(Table1711[[#This Row],[Party]]="Republican",Table1711[[#This Row],[100% Bonds ]],"null")</f>
        <v>0.03</v>
      </c>
      <c r="T22" s="2">
        <f>IF(Table1711[[#This Row],[Party]]="Republican",Table1711[[#This Row],[S&amp;P 500 Index ]],"null")</f>
        <v>0.158</v>
      </c>
      <c r="U22" s="2" t="str">
        <f>IF(Table1711[[#This Row],[Party]]="Democratic",Table1711[[#This Row],[100%Stock]],"null")</f>
        <v>null</v>
      </c>
      <c r="V22" s="2" t="str">
        <f>IF(Table1711[[#This Row],[Party]]="Democratic",Table1711[[#This Row],[100% Bonds ]],"null")</f>
        <v>null</v>
      </c>
      <c r="W22" s="2" t="str">
        <f>IF(Table1711[[#This Row],[Party]]="Democratic",Table1711[[#This Row],[S&amp;P 500 Index ]],"null")</f>
        <v>null</v>
      </c>
      <c r="X22" s="2">
        <f>ABS(Table1711[[#This Row],[S&amp;P 500 Index ]])</f>
        <v>0.158</v>
      </c>
      <c r="Y22" s="2">
        <f>ABS(Table1711[[#This Row],[100% Bonds ]])</f>
        <v>0.03</v>
      </c>
    </row>
    <row r="23" spans="1:25" x14ac:dyDescent="0.6">
      <c r="A23" s="1" t="s">
        <v>46</v>
      </c>
      <c r="B23" s="1" t="s">
        <v>41</v>
      </c>
      <c r="C23" s="1">
        <v>2010</v>
      </c>
      <c r="D23" s="2">
        <v>5.5E-2</v>
      </c>
      <c r="E23" s="2">
        <v>7.4999999999999997E-2</v>
      </c>
      <c r="F23" s="2">
        <v>9.5000000000000001E-2</v>
      </c>
      <c r="G23" s="2">
        <v>0.115</v>
      </c>
      <c r="H23" s="2">
        <v>0.13400000000000001</v>
      </c>
      <c r="I23" s="2">
        <v>0.153</v>
      </c>
      <c r="J23" s="2">
        <v>0.17199999999999999</v>
      </c>
      <c r="K23" s="2">
        <v>0.19</v>
      </c>
      <c r="L23" s="2">
        <v>0.20799999999999999</v>
      </c>
      <c r="M23" s="2">
        <v>0.22500000000000001</v>
      </c>
      <c r="N23" s="2">
        <v>0.24199999999999999</v>
      </c>
      <c r="O23" s="2">
        <v>0.151</v>
      </c>
      <c r="P23" s="4">
        <f>IF(Table1711[[#This Row],[Party]]="Republican",1,0)</f>
        <v>0</v>
      </c>
      <c r="Q23" s="4">
        <f>IF(Table1711[[#This Row],[Party]]="Democratic",1,0)</f>
        <v>1</v>
      </c>
      <c r="R23" s="2" t="str">
        <f>IF(Table1711[[#This Row],[Party]]="Republican",Table1711[[#This Row],[100%Stock]],"null")</f>
        <v>null</v>
      </c>
      <c r="S23" s="2" t="str">
        <f>IF(Table1711[[#This Row],[Party]]="Republican",Table1711[[#This Row],[100% Bonds ]],"null")</f>
        <v>null</v>
      </c>
      <c r="T23" s="2" t="str">
        <f>IF(Table1711[[#This Row],[Party]]="Republican",Table1711[[#This Row],[S&amp;P 500 Index ]],"null")</f>
        <v>null</v>
      </c>
      <c r="U23" s="2">
        <f>IF(Table1711[[#This Row],[Party]]="Democratic",Table1711[[#This Row],[100%Stock]],"null")</f>
        <v>0.24199999999999999</v>
      </c>
      <c r="V23" s="2">
        <f>IF(Table1711[[#This Row],[Party]]="Democratic",Table1711[[#This Row],[100% Bonds ]],"null")</f>
        <v>5.5E-2</v>
      </c>
      <c r="W23" s="2">
        <f>IF(Table1711[[#This Row],[Party]]="Democratic",Table1711[[#This Row],[S&amp;P 500 Index ]],"null")</f>
        <v>0.151</v>
      </c>
      <c r="X23" s="2">
        <f>ABS(Table1711[[#This Row],[S&amp;P 500 Index ]])</f>
        <v>0.151</v>
      </c>
      <c r="Y23" s="2">
        <f>ABS(Table1711[[#This Row],[100% Bonds ]])</f>
        <v>5.5E-2</v>
      </c>
    </row>
    <row r="24" spans="1:25" x14ac:dyDescent="0.6">
      <c r="A24" s="1" t="s">
        <v>50</v>
      </c>
      <c r="B24" s="1" t="s">
        <v>43</v>
      </c>
      <c r="C24" s="1">
        <v>1973</v>
      </c>
      <c r="D24" s="2">
        <v>4.3999999999999997E-2</v>
      </c>
      <c r="E24" s="2">
        <v>1.4999999999999999E-2</v>
      </c>
      <c r="F24" s="3">
        <v>-1.4E-2</v>
      </c>
      <c r="G24" s="3">
        <v>-4.2999999999999997E-2</v>
      </c>
      <c r="H24" s="3">
        <v>-7.0999999999999994E-2</v>
      </c>
      <c r="I24" s="3">
        <v>-9.9000000000000005E-2</v>
      </c>
      <c r="J24" s="3">
        <v>-0.127</v>
      </c>
      <c r="K24" s="3">
        <v>-0.154</v>
      </c>
      <c r="L24" s="3">
        <v>-0.18</v>
      </c>
      <c r="M24" s="3">
        <v>-0.20699999999999999</v>
      </c>
      <c r="N24" s="3">
        <v>-0.23200000000000001</v>
      </c>
      <c r="O24" s="3">
        <v>-0.14699999999999999</v>
      </c>
      <c r="P24" s="4">
        <f>IF(Table1711[[#This Row],[Party]]="Republican",1,0)</f>
        <v>1</v>
      </c>
      <c r="Q24" s="4">
        <f>IF(Table1711[[#This Row],[Party]]="Democratic",1,0)</f>
        <v>0</v>
      </c>
      <c r="R24" s="2">
        <f>IF(Table1711[[#This Row],[Party]]="Republican",Table1711[[#This Row],[100%Stock]],"null")</f>
        <v>-0.23200000000000001</v>
      </c>
      <c r="S24" s="2">
        <f>IF(Table1711[[#This Row],[Party]]="Republican",Table1711[[#This Row],[100% Bonds ]],"null")</f>
        <v>4.3999999999999997E-2</v>
      </c>
      <c r="T24" s="2">
        <f>IF(Table1711[[#This Row],[Party]]="Republican",Table1711[[#This Row],[S&amp;P 500 Index ]],"null")</f>
        <v>-0.14699999999999999</v>
      </c>
      <c r="U24" s="2" t="str">
        <f>IF(Table1711[[#This Row],[Party]]="Democratic",Table1711[[#This Row],[100%Stock]],"null")</f>
        <v>null</v>
      </c>
      <c r="V24" s="2" t="str">
        <f>IF(Table1711[[#This Row],[Party]]="Democratic",Table1711[[#This Row],[100% Bonds ]],"null")</f>
        <v>null</v>
      </c>
      <c r="W24" s="2" t="str">
        <f>IF(Table1711[[#This Row],[Party]]="Democratic",Table1711[[#This Row],[S&amp;P 500 Index ]],"null")</f>
        <v>null</v>
      </c>
      <c r="X24" s="2">
        <f>ABS(Table1711[[#This Row],[S&amp;P 500 Index ]])</f>
        <v>0.14699999999999999</v>
      </c>
      <c r="Y24" s="2">
        <f>ABS(Table1711[[#This Row],[100% Bonds ]])</f>
        <v>4.3999999999999997E-2</v>
      </c>
    </row>
    <row r="25" spans="1:25" x14ac:dyDescent="0.6">
      <c r="A25" s="1" t="s">
        <v>50</v>
      </c>
      <c r="B25" s="1" t="s">
        <v>43</v>
      </c>
      <c r="C25" s="1">
        <v>1971</v>
      </c>
      <c r="D25" s="2">
        <v>7.6999999999999999E-2</v>
      </c>
      <c r="E25" s="2">
        <v>8.5000000000000006E-2</v>
      </c>
      <c r="F25" s="2">
        <v>9.2999999999999999E-2</v>
      </c>
      <c r="G25" s="2">
        <v>0.10100000000000001</v>
      </c>
      <c r="H25" s="2">
        <v>0.109</v>
      </c>
      <c r="I25" s="2">
        <v>0.11600000000000001</v>
      </c>
      <c r="J25" s="2">
        <v>0.123</v>
      </c>
      <c r="K25" s="2">
        <v>0.13</v>
      </c>
      <c r="L25" s="2">
        <v>0.13600000000000001</v>
      </c>
      <c r="M25" s="2">
        <v>0.14199999999999999</v>
      </c>
      <c r="N25" s="2">
        <v>0.14799999999999999</v>
      </c>
      <c r="O25" s="2">
        <v>0.14299999999999999</v>
      </c>
      <c r="P25" s="4">
        <f>IF(Table1711[[#This Row],[Party]]="Republican",1,0)</f>
        <v>1</v>
      </c>
      <c r="Q25" s="4">
        <f>IF(Table1711[[#This Row],[Party]]="Democratic",1,0)</f>
        <v>0</v>
      </c>
      <c r="R25" s="2">
        <f>IF(Table1711[[#This Row],[Party]]="Republican",Table1711[[#This Row],[100%Stock]],"null")</f>
        <v>0.14799999999999999</v>
      </c>
      <c r="S25" s="2">
        <f>IF(Table1711[[#This Row],[Party]]="Republican",Table1711[[#This Row],[100% Bonds ]],"null")</f>
        <v>7.6999999999999999E-2</v>
      </c>
      <c r="T25" s="2">
        <f>IF(Table1711[[#This Row],[Party]]="Republican",Table1711[[#This Row],[S&amp;P 500 Index ]],"null")</f>
        <v>0.14299999999999999</v>
      </c>
      <c r="U25" s="2" t="str">
        <f>IF(Table1711[[#This Row],[Party]]="Democratic",Table1711[[#This Row],[100%Stock]],"null")</f>
        <v>null</v>
      </c>
      <c r="V25" s="2" t="str">
        <f>IF(Table1711[[#This Row],[Party]]="Democratic",Table1711[[#This Row],[100% Bonds ]],"null")</f>
        <v>null</v>
      </c>
      <c r="W25" s="2" t="str">
        <f>IF(Table1711[[#This Row],[Party]]="Democratic",Table1711[[#This Row],[S&amp;P 500 Index ]],"null")</f>
        <v>null</v>
      </c>
      <c r="X25" s="2">
        <f>ABS(Table1711[[#This Row],[S&amp;P 500 Index ]])</f>
        <v>0.14299999999999999</v>
      </c>
      <c r="Y25" s="2">
        <f>ABS(Table1711[[#This Row],[100% Bonds ]])</f>
        <v>7.6999999999999999E-2</v>
      </c>
    </row>
    <row r="26" spans="1:25" x14ac:dyDescent="0.6">
      <c r="A26" s="1" t="s">
        <v>46</v>
      </c>
      <c r="B26" s="1" t="s">
        <v>41</v>
      </c>
      <c r="C26" s="1">
        <v>2014</v>
      </c>
      <c r="D26" s="2">
        <v>3.4000000000000002E-2</v>
      </c>
      <c r="E26" s="2">
        <v>3.9E-2</v>
      </c>
      <c r="F26" s="2">
        <v>4.3999999999999997E-2</v>
      </c>
      <c r="G26" s="2">
        <v>4.9000000000000002E-2</v>
      </c>
      <c r="H26" s="2">
        <v>5.3999999999999999E-2</v>
      </c>
      <c r="I26" s="2">
        <v>5.8000000000000003E-2</v>
      </c>
      <c r="J26" s="2">
        <v>6.3E-2</v>
      </c>
      <c r="K26" s="2">
        <v>6.7000000000000004E-2</v>
      </c>
      <c r="L26" s="2">
        <v>7.0999999999999994E-2</v>
      </c>
      <c r="M26" s="2">
        <v>7.5999999999999998E-2</v>
      </c>
      <c r="N26" s="2">
        <v>0.08</v>
      </c>
      <c r="O26" s="2">
        <v>0.13700000000000001</v>
      </c>
      <c r="P26" s="4">
        <f>IF(Table1711[[#This Row],[Party]]="Republican",1,0)</f>
        <v>0</v>
      </c>
      <c r="Q26" s="4">
        <f>IF(Table1711[[#This Row],[Party]]="Democratic",1,0)</f>
        <v>1</v>
      </c>
      <c r="R26" s="2" t="str">
        <f>IF(Table1711[[#This Row],[Party]]="Republican",Table1711[[#This Row],[100%Stock]],"null")</f>
        <v>null</v>
      </c>
      <c r="S26" s="2" t="str">
        <f>IF(Table1711[[#This Row],[Party]]="Republican",Table1711[[#This Row],[100% Bonds ]],"null")</f>
        <v>null</v>
      </c>
      <c r="T26" s="2" t="str">
        <f>IF(Table1711[[#This Row],[Party]]="Republican",Table1711[[#This Row],[S&amp;P 500 Index ]],"null")</f>
        <v>null</v>
      </c>
      <c r="U26" s="2">
        <f>IF(Table1711[[#This Row],[Party]]="Democratic",Table1711[[#This Row],[100%Stock]],"null")</f>
        <v>0.08</v>
      </c>
      <c r="V26" s="2">
        <f>IF(Table1711[[#This Row],[Party]]="Democratic",Table1711[[#This Row],[100% Bonds ]],"null")</f>
        <v>3.4000000000000002E-2</v>
      </c>
      <c r="W26" s="2">
        <f>IF(Table1711[[#This Row],[Party]]="Democratic",Table1711[[#This Row],[S&amp;P 500 Index ]],"null")</f>
        <v>0.13700000000000001</v>
      </c>
      <c r="X26" s="2">
        <f>ABS(Table1711[[#This Row],[S&amp;P 500 Index ]])</f>
        <v>0.13700000000000001</v>
      </c>
      <c r="Y26" s="2">
        <f>ABS(Table1711[[#This Row],[100% Bonds ]])</f>
        <v>3.4000000000000002E-2</v>
      </c>
    </row>
    <row r="27" spans="1:25" x14ac:dyDescent="0.6">
      <c r="A27" s="1" t="s">
        <v>46</v>
      </c>
      <c r="B27" s="1" t="s">
        <v>41</v>
      </c>
      <c r="C27" s="1">
        <v>2016</v>
      </c>
      <c r="D27" s="2">
        <v>1.7999999999999999E-2</v>
      </c>
      <c r="E27" s="2">
        <v>3.5999999999999997E-2</v>
      </c>
      <c r="F27" s="2">
        <v>5.5E-2</v>
      </c>
      <c r="G27" s="2">
        <v>7.3999999999999996E-2</v>
      </c>
      <c r="H27" s="2">
        <v>9.2999999999999999E-2</v>
      </c>
      <c r="I27" s="2">
        <v>0.112</v>
      </c>
      <c r="J27" s="2">
        <v>0.13100000000000001</v>
      </c>
      <c r="K27" s="2">
        <v>0.15</v>
      </c>
      <c r="L27" s="2">
        <v>0.16800000000000001</v>
      </c>
      <c r="M27" s="2">
        <v>0.187</v>
      </c>
      <c r="N27" s="2">
        <v>0.20599999999999999</v>
      </c>
      <c r="O27" s="2">
        <v>0.12</v>
      </c>
      <c r="P27" s="4">
        <f>IF(Table1711[[#This Row],[Party]]="Republican",1,0)</f>
        <v>0</v>
      </c>
      <c r="Q27" s="4">
        <f>IF(Table1711[[#This Row],[Party]]="Democratic",1,0)</f>
        <v>1</v>
      </c>
      <c r="R27" s="2" t="str">
        <f>IF(Table1711[[#This Row],[Party]]="Republican",Table1711[[#This Row],[100%Stock]],"null")</f>
        <v>null</v>
      </c>
      <c r="S27" s="2" t="str">
        <f>IF(Table1711[[#This Row],[Party]]="Republican",Table1711[[#This Row],[100% Bonds ]],"null")</f>
        <v>null</v>
      </c>
      <c r="T27" s="2" t="str">
        <f>IF(Table1711[[#This Row],[Party]]="Republican",Table1711[[#This Row],[S&amp;P 500 Index ]],"null")</f>
        <v>null</v>
      </c>
      <c r="U27" s="2">
        <f>IF(Table1711[[#This Row],[Party]]="Democratic",Table1711[[#This Row],[100%Stock]],"null")</f>
        <v>0.20599999999999999</v>
      </c>
      <c r="V27" s="2">
        <f>IF(Table1711[[#This Row],[Party]]="Democratic",Table1711[[#This Row],[100% Bonds ]],"null")</f>
        <v>1.7999999999999999E-2</v>
      </c>
      <c r="W27" s="2">
        <f>IF(Table1711[[#This Row],[Party]]="Democratic",Table1711[[#This Row],[S&amp;P 500 Index ]],"null")</f>
        <v>0.12</v>
      </c>
      <c r="X27" s="2">
        <f>ABS(Table1711[[#This Row],[S&amp;P 500 Index ]])</f>
        <v>0.12</v>
      </c>
      <c r="Y27" s="2">
        <f>ABS(Table1711[[#This Row],[100% Bonds ]])</f>
        <v>1.7999999999999999E-2</v>
      </c>
    </row>
    <row r="28" spans="1:25" x14ac:dyDescent="0.6">
      <c r="A28" s="1" t="s">
        <v>44</v>
      </c>
      <c r="B28" s="1" t="s">
        <v>43</v>
      </c>
      <c r="C28" s="1">
        <v>2001</v>
      </c>
      <c r="D28" s="2">
        <v>8.1000000000000003E-2</v>
      </c>
      <c r="E28" s="2">
        <v>8.2000000000000003E-2</v>
      </c>
      <c r="F28" s="2">
        <v>8.2000000000000003E-2</v>
      </c>
      <c r="G28" s="2">
        <v>8.2000000000000003E-2</v>
      </c>
      <c r="H28" s="2">
        <v>8.1000000000000003E-2</v>
      </c>
      <c r="I28" s="2">
        <v>0.08</v>
      </c>
      <c r="J28" s="2">
        <v>7.6999999999999999E-2</v>
      </c>
      <c r="K28" s="2">
        <v>7.4999999999999997E-2</v>
      </c>
      <c r="L28" s="2">
        <v>7.1999999999999995E-2</v>
      </c>
      <c r="M28" s="2">
        <v>6.8000000000000005E-2</v>
      </c>
      <c r="N28" s="2">
        <v>6.4000000000000001E-2</v>
      </c>
      <c r="O28" s="3">
        <v>-0.11899999999999999</v>
      </c>
      <c r="P28" s="4">
        <f>IF(Table1711[[#This Row],[Party]]="Republican",1,0)</f>
        <v>1</v>
      </c>
      <c r="Q28" s="4">
        <f>IF(Table1711[[#This Row],[Party]]="Democratic",1,0)</f>
        <v>0</v>
      </c>
      <c r="R28" s="2">
        <f>IF(Table1711[[#This Row],[Party]]="Republican",Table1711[[#This Row],[100%Stock]],"null")</f>
        <v>6.4000000000000001E-2</v>
      </c>
      <c r="S28" s="2">
        <f>IF(Table1711[[#This Row],[Party]]="Republican",Table1711[[#This Row],[100% Bonds ]],"null")</f>
        <v>8.1000000000000003E-2</v>
      </c>
      <c r="T28" s="2">
        <f>IF(Table1711[[#This Row],[Party]]="Republican",Table1711[[#This Row],[S&amp;P 500 Index ]],"null")</f>
        <v>-0.11899999999999999</v>
      </c>
      <c r="U28" s="2" t="str">
        <f>IF(Table1711[[#This Row],[Party]]="Democratic",Table1711[[#This Row],[100%Stock]],"null")</f>
        <v>null</v>
      </c>
      <c r="V28" s="2" t="str">
        <f>IF(Table1711[[#This Row],[Party]]="Democratic",Table1711[[#This Row],[100% Bonds ]],"null")</f>
        <v>null</v>
      </c>
      <c r="W28" s="2" t="str">
        <f>IF(Table1711[[#This Row],[Party]]="Democratic",Table1711[[#This Row],[S&amp;P 500 Index ]],"null")</f>
        <v>null</v>
      </c>
      <c r="X28" s="2">
        <f>ABS(Table1711[[#This Row],[S&amp;P 500 Index ]])</f>
        <v>0.11899999999999999</v>
      </c>
      <c r="Y28" s="2">
        <f>ABS(Table1711[[#This Row],[100% Bonds ]])</f>
        <v>8.1000000000000003E-2</v>
      </c>
    </row>
    <row r="29" spans="1:25" x14ac:dyDescent="0.6">
      <c r="A29" s="1" t="s">
        <v>44</v>
      </c>
      <c r="B29" s="1" t="s">
        <v>43</v>
      </c>
      <c r="C29" s="1">
        <v>2004</v>
      </c>
      <c r="D29" s="2">
        <v>0.04</v>
      </c>
      <c r="E29" s="2">
        <v>5.3999999999999999E-2</v>
      </c>
      <c r="F29" s="2">
        <v>6.8000000000000005E-2</v>
      </c>
      <c r="G29" s="2">
        <v>8.2000000000000003E-2</v>
      </c>
      <c r="H29" s="2">
        <v>9.6000000000000002E-2</v>
      </c>
      <c r="I29" s="2">
        <v>0.11</v>
      </c>
      <c r="J29" s="2">
        <v>0.124</v>
      </c>
      <c r="K29" s="2">
        <v>0.13900000000000001</v>
      </c>
      <c r="L29" s="2">
        <v>0.153</v>
      </c>
      <c r="M29" s="2">
        <v>0.16700000000000001</v>
      </c>
      <c r="N29" s="2">
        <v>0.18099999999999999</v>
      </c>
      <c r="O29" s="2">
        <v>0.109</v>
      </c>
      <c r="P29" s="4">
        <f>IF(Table1711[[#This Row],[Party]]="Republican",1,0)</f>
        <v>1</v>
      </c>
      <c r="Q29" s="4">
        <f>IF(Table1711[[#This Row],[Party]]="Democratic",1,0)</f>
        <v>0</v>
      </c>
      <c r="R29" s="2">
        <f>IF(Table1711[[#This Row],[Party]]="Republican",Table1711[[#This Row],[100%Stock]],"null")</f>
        <v>0.18099999999999999</v>
      </c>
      <c r="S29" s="2">
        <f>IF(Table1711[[#This Row],[Party]]="Republican",Table1711[[#This Row],[100% Bonds ]],"null")</f>
        <v>0.04</v>
      </c>
      <c r="T29" s="2">
        <f>IF(Table1711[[#This Row],[Party]]="Republican",Table1711[[#This Row],[S&amp;P 500 Index ]],"null")</f>
        <v>0.109</v>
      </c>
      <c r="U29" s="2" t="str">
        <f>IF(Table1711[[#This Row],[Party]]="Democratic",Table1711[[#This Row],[100%Stock]],"null")</f>
        <v>null</v>
      </c>
      <c r="V29" s="2" t="str">
        <f>IF(Table1711[[#This Row],[Party]]="Democratic",Table1711[[#This Row],[100% Bonds ]],"null")</f>
        <v>null</v>
      </c>
      <c r="W29" s="2" t="str">
        <f>IF(Table1711[[#This Row],[Party]]="Democratic",Table1711[[#This Row],[S&amp;P 500 Index ]],"null")</f>
        <v>null</v>
      </c>
      <c r="X29" s="2">
        <f>ABS(Table1711[[#This Row],[S&amp;P 500 Index ]])</f>
        <v>0.109</v>
      </c>
      <c r="Y29" s="2">
        <f>ABS(Table1711[[#This Row],[100% Bonds ]])</f>
        <v>0.04</v>
      </c>
    </row>
    <row r="30" spans="1:25" x14ac:dyDescent="0.6">
      <c r="A30" s="1" t="s">
        <v>40</v>
      </c>
      <c r="B30" s="1" t="s">
        <v>41</v>
      </c>
      <c r="C30" s="1">
        <v>1993</v>
      </c>
      <c r="D30" s="2">
        <v>9.7000000000000003E-2</v>
      </c>
      <c r="E30" s="2">
        <v>0.104</v>
      </c>
      <c r="F30" s="2">
        <v>0.111</v>
      </c>
      <c r="G30" s="2">
        <v>0.11700000000000001</v>
      </c>
      <c r="H30" s="2">
        <v>0.124</v>
      </c>
      <c r="I30" s="2">
        <v>0.13100000000000001</v>
      </c>
      <c r="J30" s="2">
        <v>0.13800000000000001</v>
      </c>
      <c r="K30" s="2">
        <v>0.14399999999999999</v>
      </c>
      <c r="L30" s="2">
        <v>0.151</v>
      </c>
      <c r="M30" s="2">
        <v>0.158</v>
      </c>
      <c r="N30" s="2">
        <v>0.16500000000000001</v>
      </c>
      <c r="O30" s="2">
        <v>0.10100000000000001</v>
      </c>
      <c r="P30" s="4">
        <f>IF(Table1711[[#This Row],[Party]]="Republican",1,0)</f>
        <v>0</v>
      </c>
      <c r="Q30" s="4">
        <f>IF(Table1711[[#This Row],[Party]]="Democratic",1,0)</f>
        <v>1</v>
      </c>
      <c r="R30" s="2" t="str">
        <f>IF(Table1711[[#This Row],[Party]]="Republican",Table1711[[#This Row],[100%Stock]],"null")</f>
        <v>null</v>
      </c>
      <c r="S30" s="2" t="str">
        <f>IF(Table1711[[#This Row],[Party]]="Republican",Table1711[[#This Row],[100% Bonds ]],"null")</f>
        <v>null</v>
      </c>
      <c r="T30" s="2" t="str">
        <f>IF(Table1711[[#This Row],[Party]]="Republican",Table1711[[#This Row],[S&amp;P 500 Index ]],"null")</f>
        <v>null</v>
      </c>
      <c r="U30" s="2">
        <f>IF(Table1711[[#This Row],[Party]]="Democratic",Table1711[[#This Row],[100%Stock]],"null")</f>
        <v>0.16500000000000001</v>
      </c>
      <c r="V30" s="2">
        <f>IF(Table1711[[#This Row],[Party]]="Democratic",Table1711[[#This Row],[100% Bonds ]],"null")</f>
        <v>9.7000000000000003E-2</v>
      </c>
      <c r="W30" s="2">
        <f>IF(Table1711[[#This Row],[Party]]="Democratic",Table1711[[#This Row],[S&amp;P 500 Index ]],"null")</f>
        <v>0.10100000000000001</v>
      </c>
      <c r="X30" s="2">
        <f>ABS(Table1711[[#This Row],[S&amp;P 500 Index ]])</f>
        <v>0.10100000000000001</v>
      </c>
      <c r="Y30" s="2">
        <f>ABS(Table1711[[#This Row],[100% Bonds ]])</f>
        <v>9.7000000000000003E-2</v>
      </c>
    </row>
    <row r="31" spans="1:25" x14ac:dyDescent="0.6">
      <c r="A31" s="1" t="s">
        <v>40</v>
      </c>
      <c r="B31" s="1" t="s">
        <v>41</v>
      </c>
      <c r="C31" s="1">
        <v>2000</v>
      </c>
      <c r="D31" s="2">
        <v>0.11700000000000001</v>
      </c>
      <c r="E31" s="2">
        <v>0.11</v>
      </c>
      <c r="F31" s="2">
        <v>0.10299999999999999</v>
      </c>
      <c r="G31" s="2">
        <v>9.6000000000000002E-2</v>
      </c>
      <c r="H31" s="2">
        <v>8.7999999999999995E-2</v>
      </c>
      <c r="I31" s="2">
        <v>8.1000000000000003E-2</v>
      </c>
      <c r="J31" s="2">
        <v>7.2999999999999995E-2</v>
      </c>
      <c r="K31" s="2">
        <v>6.5000000000000002E-2</v>
      </c>
      <c r="L31" s="2">
        <v>5.7000000000000002E-2</v>
      </c>
      <c r="M31" s="2">
        <v>4.9000000000000002E-2</v>
      </c>
      <c r="N31" s="2">
        <v>4.1000000000000002E-2</v>
      </c>
      <c r="O31" s="3">
        <v>-9.0999999999999998E-2</v>
      </c>
      <c r="P31" s="4">
        <f>IF(Table1711[[#This Row],[Party]]="Republican",1,0)</f>
        <v>0</v>
      </c>
      <c r="Q31" s="4">
        <f>IF(Table1711[[#This Row],[Party]]="Democratic",1,0)</f>
        <v>1</v>
      </c>
      <c r="R31" s="2" t="str">
        <f>IF(Table1711[[#This Row],[Party]]="Republican",Table1711[[#This Row],[100%Stock]],"null")</f>
        <v>null</v>
      </c>
      <c r="S31" s="2" t="str">
        <f>IF(Table1711[[#This Row],[Party]]="Republican",Table1711[[#This Row],[100% Bonds ]],"null")</f>
        <v>null</v>
      </c>
      <c r="T31" s="2" t="str">
        <f>IF(Table1711[[#This Row],[Party]]="Republican",Table1711[[#This Row],[S&amp;P 500 Index ]],"null")</f>
        <v>null</v>
      </c>
      <c r="U31" s="2">
        <f>IF(Table1711[[#This Row],[Party]]="Democratic",Table1711[[#This Row],[100%Stock]],"null")</f>
        <v>4.1000000000000002E-2</v>
      </c>
      <c r="V31" s="2">
        <f>IF(Table1711[[#This Row],[Party]]="Democratic",Table1711[[#This Row],[100% Bonds ]],"null")</f>
        <v>0.11700000000000001</v>
      </c>
      <c r="W31" s="2">
        <f>IF(Table1711[[#This Row],[Party]]="Democratic",Table1711[[#This Row],[S&amp;P 500 Index ]],"null")</f>
        <v>-9.0999999999999998E-2</v>
      </c>
      <c r="X31" s="2">
        <f>ABS(Table1711[[#This Row],[S&amp;P 500 Index ]])</f>
        <v>9.0999999999999998E-2</v>
      </c>
      <c r="Y31" s="2">
        <f>ABS(Table1711[[#This Row],[100% Bonds ]])</f>
        <v>0.11700000000000001</v>
      </c>
    </row>
    <row r="32" spans="1:25" x14ac:dyDescent="0.6">
      <c r="A32" s="1" t="s">
        <v>48</v>
      </c>
      <c r="B32" s="1" t="s">
        <v>43</v>
      </c>
      <c r="C32" s="1">
        <v>1992</v>
      </c>
      <c r="D32" s="2">
        <v>7.1999999999999995E-2</v>
      </c>
      <c r="E32" s="2">
        <v>8.5000000000000006E-2</v>
      </c>
      <c r="F32" s="2">
        <v>9.8000000000000004E-2</v>
      </c>
      <c r="G32" s="2">
        <v>0.111</v>
      </c>
      <c r="H32" s="2">
        <v>0.124</v>
      </c>
      <c r="I32" s="2">
        <v>0.13700000000000001</v>
      </c>
      <c r="J32" s="2">
        <v>0.15</v>
      </c>
      <c r="K32" s="2">
        <v>0.16300000000000001</v>
      </c>
      <c r="L32" s="2">
        <v>0.17599999999999999</v>
      </c>
      <c r="M32" s="2">
        <v>0.189</v>
      </c>
      <c r="N32" s="2">
        <v>0.20200000000000001</v>
      </c>
      <c r="O32" s="2">
        <v>7.5999999999999998E-2</v>
      </c>
      <c r="P32" s="4">
        <f>IF(Table1711[[#This Row],[Party]]="Republican",1,0)</f>
        <v>1</v>
      </c>
      <c r="Q32" s="4">
        <f>IF(Table1711[[#This Row],[Party]]="Democratic",1,0)</f>
        <v>0</v>
      </c>
      <c r="R32" s="2">
        <f>IF(Table1711[[#This Row],[Party]]="Republican",Table1711[[#This Row],[100%Stock]],"null")</f>
        <v>0.20200000000000001</v>
      </c>
      <c r="S32" s="2">
        <f>IF(Table1711[[#This Row],[Party]]="Republican",Table1711[[#This Row],[100% Bonds ]],"null")</f>
        <v>7.1999999999999995E-2</v>
      </c>
      <c r="T32" s="2">
        <f>IF(Table1711[[#This Row],[Party]]="Republican",Table1711[[#This Row],[S&amp;P 500 Index ]],"null")</f>
        <v>7.5999999999999998E-2</v>
      </c>
      <c r="U32" s="2" t="str">
        <f>IF(Table1711[[#This Row],[Party]]="Democratic",Table1711[[#This Row],[100%Stock]],"null")</f>
        <v>null</v>
      </c>
      <c r="V32" s="2" t="str">
        <f>IF(Table1711[[#This Row],[Party]]="Democratic",Table1711[[#This Row],[100% Bonds ]],"null")</f>
        <v>null</v>
      </c>
      <c r="W32" s="2" t="str">
        <f>IF(Table1711[[#This Row],[Party]]="Democratic",Table1711[[#This Row],[S&amp;P 500 Index ]],"null")</f>
        <v>null</v>
      </c>
      <c r="X32" s="2">
        <f>ABS(Table1711[[#This Row],[S&amp;P 500 Index ]])</f>
        <v>7.5999999999999998E-2</v>
      </c>
      <c r="Y32" s="2">
        <f>ABS(Table1711[[#This Row],[100% Bonds ]])</f>
        <v>7.1999999999999995E-2</v>
      </c>
    </row>
    <row r="33" spans="1:25" x14ac:dyDescent="0.6">
      <c r="A33" s="1" t="s">
        <v>42</v>
      </c>
      <c r="B33" s="1" t="s">
        <v>43</v>
      </c>
      <c r="C33" s="1">
        <v>1977</v>
      </c>
      <c r="D33" s="2">
        <v>0.03</v>
      </c>
      <c r="E33" s="2">
        <v>3.5999999999999997E-2</v>
      </c>
      <c r="F33" s="2">
        <v>4.2000000000000003E-2</v>
      </c>
      <c r="G33" s="2">
        <v>4.8000000000000001E-2</v>
      </c>
      <c r="H33" s="2">
        <v>5.2999999999999999E-2</v>
      </c>
      <c r="I33" s="2">
        <v>5.8999999999999997E-2</v>
      </c>
      <c r="J33" s="2">
        <v>6.5000000000000002E-2</v>
      </c>
      <c r="K33" s="2">
        <v>7.0999999999999994E-2</v>
      </c>
      <c r="L33" s="2">
        <v>7.6999999999999999E-2</v>
      </c>
      <c r="M33" s="2">
        <v>8.2000000000000003E-2</v>
      </c>
      <c r="N33" s="2">
        <v>8.7999999999999995E-2</v>
      </c>
      <c r="O33" s="3">
        <v>-7.1999999999999995E-2</v>
      </c>
      <c r="P33" s="4">
        <f>IF(Table1711[[#This Row],[Party]]="Republican",1,0)</f>
        <v>1</v>
      </c>
      <c r="Q33" s="4">
        <f>IF(Table1711[[#This Row],[Party]]="Democratic",1,0)</f>
        <v>0</v>
      </c>
      <c r="R33" s="2">
        <f>IF(Table1711[[#This Row],[Party]]="Republican",Table1711[[#This Row],[100%Stock]],"null")</f>
        <v>8.7999999999999995E-2</v>
      </c>
      <c r="S33" s="2">
        <f>IF(Table1711[[#This Row],[Party]]="Republican",Table1711[[#This Row],[100% Bonds ]],"null")</f>
        <v>0.03</v>
      </c>
      <c r="T33" s="2">
        <f>IF(Table1711[[#This Row],[Party]]="Republican",Table1711[[#This Row],[S&amp;P 500 Index ]],"null")</f>
        <v>-7.1999999999999995E-2</v>
      </c>
      <c r="U33" s="2" t="str">
        <f>IF(Table1711[[#This Row],[Party]]="Democratic",Table1711[[#This Row],[100%Stock]],"null")</f>
        <v>null</v>
      </c>
      <c r="V33" s="2" t="str">
        <f>IF(Table1711[[#This Row],[Party]]="Democratic",Table1711[[#This Row],[100% Bonds ]],"null")</f>
        <v>null</v>
      </c>
      <c r="W33" s="2" t="str">
        <f>IF(Table1711[[#This Row],[Party]]="Democratic",Table1711[[#This Row],[S&amp;P 500 Index ]],"null")</f>
        <v>null</v>
      </c>
      <c r="X33" s="2">
        <f>ABS(Table1711[[#This Row],[S&amp;P 500 Index ]])</f>
        <v>7.1999999999999995E-2</v>
      </c>
      <c r="Y33" s="2">
        <f>ABS(Table1711[[#This Row],[100% Bonds ]])</f>
        <v>0.03</v>
      </c>
    </row>
    <row r="34" spans="1:25" x14ac:dyDescent="0.6">
      <c r="A34" s="1" t="s">
        <v>45</v>
      </c>
      <c r="B34" s="1" t="s">
        <v>41</v>
      </c>
      <c r="C34" s="1">
        <v>1978</v>
      </c>
      <c r="D34" s="2">
        <v>2.3E-2</v>
      </c>
      <c r="E34" s="2">
        <v>3.6999999999999998E-2</v>
      </c>
      <c r="F34" s="2">
        <v>0.05</v>
      </c>
      <c r="G34" s="2">
        <v>6.3E-2</v>
      </c>
      <c r="H34" s="2">
        <v>7.5999999999999998E-2</v>
      </c>
      <c r="I34" s="2">
        <v>8.8999999999999996E-2</v>
      </c>
      <c r="J34" s="2">
        <v>0.10100000000000001</v>
      </c>
      <c r="K34" s="2">
        <v>0.113</v>
      </c>
      <c r="L34" s="2">
        <v>0.125</v>
      </c>
      <c r="M34" s="2">
        <v>0.13600000000000001</v>
      </c>
      <c r="N34" s="2">
        <v>0.14699999999999999</v>
      </c>
      <c r="O34" s="2">
        <v>6.6000000000000003E-2</v>
      </c>
      <c r="P34" s="4">
        <f>IF(Table1711[[#This Row],[Party]]="Republican",1,0)</f>
        <v>0</v>
      </c>
      <c r="Q34" s="4">
        <f>IF(Table1711[[#This Row],[Party]]="Democratic",1,0)</f>
        <v>1</v>
      </c>
      <c r="R34" s="2" t="str">
        <f>IF(Table1711[[#This Row],[Party]]="Republican",Table1711[[#This Row],[100%Stock]],"null")</f>
        <v>null</v>
      </c>
      <c r="S34" s="2" t="str">
        <f>IF(Table1711[[#This Row],[Party]]="Republican",Table1711[[#This Row],[100% Bonds ]],"null")</f>
        <v>null</v>
      </c>
      <c r="T34" s="2" t="str">
        <f>IF(Table1711[[#This Row],[Party]]="Republican",Table1711[[#This Row],[S&amp;P 500 Index ]],"null")</f>
        <v>null</v>
      </c>
      <c r="U34" s="2">
        <f>IF(Table1711[[#This Row],[Party]]="Democratic",Table1711[[#This Row],[100%Stock]],"null")</f>
        <v>0.14699999999999999</v>
      </c>
      <c r="V34" s="2">
        <f>IF(Table1711[[#This Row],[Party]]="Democratic",Table1711[[#This Row],[100% Bonds ]],"null")</f>
        <v>2.3E-2</v>
      </c>
      <c r="W34" s="2">
        <f>IF(Table1711[[#This Row],[Party]]="Democratic",Table1711[[#This Row],[S&amp;P 500 Index ]],"null")</f>
        <v>6.6000000000000003E-2</v>
      </c>
      <c r="X34" s="2">
        <f>ABS(Table1711[[#This Row],[S&amp;P 500 Index ]])</f>
        <v>6.6000000000000003E-2</v>
      </c>
      <c r="Y34" s="2">
        <f>ABS(Table1711[[#This Row],[100% Bonds ]])</f>
        <v>2.3E-2</v>
      </c>
    </row>
    <row r="35" spans="1:25" x14ac:dyDescent="0.6">
      <c r="A35" s="1" t="s">
        <v>47</v>
      </c>
      <c r="B35" s="1" t="s">
        <v>43</v>
      </c>
      <c r="C35" s="1">
        <v>1984</v>
      </c>
      <c r="D35" s="2">
        <v>0.14099999999999999</v>
      </c>
      <c r="E35" s="2">
        <v>0.13200000000000001</v>
      </c>
      <c r="F35" s="2">
        <v>0.122</v>
      </c>
      <c r="G35" s="2">
        <v>0.113</v>
      </c>
      <c r="H35" s="2">
        <v>0.10299999999999999</v>
      </c>
      <c r="I35" s="2">
        <v>9.2999999999999999E-2</v>
      </c>
      <c r="J35" s="2">
        <v>8.3000000000000004E-2</v>
      </c>
      <c r="K35" s="2">
        <v>7.1999999999999995E-2</v>
      </c>
      <c r="L35" s="2">
        <v>6.2E-2</v>
      </c>
      <c r="M35" s="2">
        <v>5.1999999999999998E-2</v>
      </c>
      <c r="N35" s="2">
        <v>4.1000000000000002E-2</v>
      </c>
      <c r="O35" s="2">
        <v>6.3E-2</v>
      </c>
      <c r="P35" s="4">
        <f>IF(Table1711[[#This Row],[Party]]="Republican",1,0)</f>
        <v>1</v>
      </c>
      <c r="Q35" s="4">
        <f>IF(Table1711[[#This Row],[Party]]="Democratic",1,0)</f>
        <v>0</v>
      </c>
      <c r="R35" s="2">
        <f>IF(Table1711[[#This Row],[Party]]="Republican",Table1711[[#This Row],[100%Stock]],"null")</f>
        <v>4.1000000000000002E-2</v>
      </c>
      <c r="S35" s="2">
        <f>IF(Table1711[[#This Row],[Party]]="Republican",Table1711[[#This Row],[100% Bonds ]],"null")</f>
        <v>0.14099999999999999</v>
      </c>
      <c r="T35" s="2">
        <f>IF(Table1711[[#This Row],[Party]]="Republican",Table1711[[#This Row],[S&amp;P 500 Index ]],"null")</f>
        <v>6.3E-2</v>
      </c>
      <c r="U35" s="2" t="str">
        <f>IF(Table1711[[#This Row],[Party]]="Democratic",Table1711[[#This Row],[100%Stock]],"null")</f>
        <v>null</v>
      </c>
      <c r="V35" s="2" t="str">
        <f>IF(Table1711[[#This Row],[Party]]="Democratic",Table1711[[#This Row],[100% Bonds ]],"null")</f>
        <v>null</v>
      </c>
      <c r="W35" s="2" t="str">
        <f>IF(Table1711[[#This Row],[Party]]="Democratic",Table1711[[#This Row],[S&amp;P 500 Index ]],"null")</f>
        <v>null</v>
      </c>
      <c r="X35" s="2">
        <f>ABS(Table1711[[#This Row],[S&amp;P 500 Index ]])</f>
        <v>6.3E-2</v>
      </c>
      <c r="Y35" s="2">
        <f>ABS(Table1711[[#This Row],[100% Bonds ]])</f>
        <v>0.14099999999999999</v>
      </c>
    </row>
    <row r="36" spans="1:25" x14ac:dyDescent="0.6">
      <c r="A36" s="1" t="s">
        <v>44</v>
      </c>
      <c r="B36" s="1" t="s">
        <v>43</v>
      </c>
      <c r="C36" s="1">
        <v>2007</v>
      </c>
      <c r="D36" s="2">
        <v>9.2999999999999999E-2</v>
      </c>
      <c r="E36" s="2">
        <v>8.1000000000000003E-2</v>
      </c>
      <c r="F36" s="2">
        <v>6.9000000000000006E-2</v>
      </c>
      <c r="G36" s="2">
        <v>5.7000000000000002E-2</v>
      </c>
      <c r="H36" s="2">
        <v>4.4999999999999998E-2</v>
      </c>
      <c r="I36" s="2">
        <v>3.3000000000000002E-2</v>
      </c>
      <c r="J36" s="2">
        <v>2.1000000000000001E-2</v>
      </c>
      <c r="K36" s="2">
        <v>8.0000000000000002E-3</v>
      </c>
      <c r="L36" s="3">
        <v>-4.0000000000000001E-3</v>
      </c>
      <c r="M36" s="3">
        <v>-1.6E-2</v>
      </c>
      <c r="N36" s="3">
        <v>-2.9000000000000001E-2</v>
      </c>
      <c r="O36" s="2">
        <v>5.5E-2</v>
      </c>
      <c r="P36" s="4">
        <f>IF(Table1711[[#This Row],[Party]]="Republican",1,0)</f>
        <v>1</v>
      </c>
      <c r="Q36" s="4">
        <f>IF(Table1711[[#This Row],[Party]]="Democratic",1,0)</f>
        <v>0</v>
      </c>
      <c r="R36" s="2">
        <f>IF(Table1711[[#This Row],[Party]]="Republican",Table1711[[#This Row],[100%Stock]],"null")</f>
        <v>-2.9000000000000001E-2</v>
      </c>
      <c r="S36" s="2">
        <f>IF(Table1711[[#This Row],[Party]]="Republican",Table1711[[#This Row],[100% Bonds ]],"null")</f>
        <v>9.2999999999999999E-2</v>
      </c>
      <c r="T36" s="2">
        <f>IF(Table1711[[#This Row],[Party]]="Republican",Table1711[[#This Row],[S&amp;P 500 Index ]],"null")</f>
        <v>5.5E-2</v>
      </c>
      <c r="U36" s="2" t="str">
        <f>IF(Table1711[[#This Row],[Party]]="Democratic",Table1711[[#This Row],[100%Stock]],"null")</f>
        <v>null</v>
      </c>
      <c r="V36" s="2" t="str">
        <f>IF(Table1711[[#This Row],[Party]]="Democratic",Table1711[[#This Row],[100% Bonds ]],"null")</f>
        <v>null</v>
      </c>
      <c r="W36" s="2" t="str">
        <f>IF(Table1711[[#This Row],[Party]]="Democratic",Table1711[[#This Row],[S&amp;P 500 Index ]],"null")</f>
        <v>null</v>
      </c>
      <c r="X36" s="2">
        <f>ABS(Table1711[[#This Row],[S&amp;P 500 Index ]])</f>
        <v>5.5E-2</v>
      </c>
      <c r="Y36" s="2">
        <f>ABS(Table1711[[#This Row],[100% Bonds ]])</f>
        <v>9.2999999999999999E-2</v>
      </c>
    </row>
    <row r="37" spans="1:25" x14ac:dyDescent="0.6">
      <c r="A37" s="1" t="s">
        <v>47</v>
      </c>
      <c r="B37" s="1" t="s">
        <v>43</v>
      </c>
      <c r="C37" s="1">
        <v>1987</v>
      </c>
      <c r="D37" s="2">
        <v>0.03</v>
      </c>
      <c r="E37" s="2">
        <v>3.1E-2</v>
      </c>
      <c r="F37" s="2">
        <v>3.1E-2</v>
      </c>
      <c r="G37" s="2">
        <v>0.03</v>
      </c>
      <c r="H37" s="2">
        <v>2.8000000000000001E-2</v>
      </c>
      <c r="I37" s="2">
        <v>2.4E-2</v>
      </c>
      <c r="J37" s="2">
        <v>1.9E-2</v>
      </c>
      <c r="K37" s="2">
        <v>1.2999999999999999E-2</v>
      </c>
      <c r="L37" s="2">
        <v>6.0000000000000001E-3</v>
      </c>
      <c r="M37" s="3">
        <v>-3.0000000000000001E-3</v>
      </c>
      <c r="N37" s="3">
        <v>-1.2999999999999999E-2</v>
      </c>
      <c r="O37" s="2">
        <v>5.1999999999999998E-2</v>
      </c>
      <c r="P37" s="4">
        <f>IF(Table1711[[#This Row],[Party]]="Republican",1,0)</f>
        <v>1</v>
      </c>
      <c r="Q37" s="4">
        <f>IF(Table1711[[#This Row],[Party]]="Democratic",1,0)</f>
        <v>0</v>
      </c>
      <c r="R37" s="2">
        <f>IF(Table1711[[#This Row],[Party]]="Republican",Table1711[[#This Row],[100%Stock]],"null")</f>
        <v>-1.2999999999999999E-2</v>
      </c>
      <c r="S37" s="2">
        <f>IF(Table1711[[#This Row],[Party]]="Republican",Table1711[[#This Row],[100% Bonds ]],"null")</f>
        <v>0.03</v>
      </c>
      <c r="T37" s="2">
        <f>IF(Table1711[[#This Row],[Party]]="Republican",Table1711[[#This Row],[S&amp;P 500 Index ]],"null")</f>
        <v>5.1999999999999998E-2</v>
      </c>
      <c r="U37" s="2" t="str">
        <f>IF(Table1711[[#This Row],[Party]]="Democratic",Table1711[[#This Row],[100%Stock]],"null")</f>
        <v>null</v>
      </c>
      <c r="V37" s="2" t="str">
        <f>IF(Table1711[[#This Row],[Party]]="Democratic",Table1711[[#This Row],[100% Bonds ]],"null")</f>
        <v>null</v>
      </c>
      <c r="W37" s="2" t="str">
        <f>IF(Table1711[[#This Row],[Party]]="Democratic",Table1711[[#This Row],[S&amp;P 500 Index ]],"null")</f>
        <v>null</v>
      </c>
      <c r="X37" s="2">
        <f>ABS(Table1711[[#This Row],[S&amp;P 500 Index ]])</f>
        <v>5.1999999999999998E-2</v>
      </c>
      <c r="Y37" s="2">
        <f>ABS(Table1711[[#This Row],[100% Bonds ]])</f>
        <v>0.03</v>
      </c>
    </row>
    <row r="38" spans="1:25" x14ac:dyDescent="0.6">
      <c r="A38" s="1" t="s">
        <v>47</v>
      </c>
      <c r="B38" s="1" t="s">
        <v>43</v>
      </c>
      <c r="C38" s="1">
        <v>1981</v>
      </c>
      <c r="D38" s="2">
        <v>9.6000000000000002E-2</v>
      </c>
      <c r="E38" s="2">
        <v>9.4E-2</v>
      </c>
      <c r="F38" s="2">
        <v>9.1999999999999998E-2</v>
      </c>
      <c r="G38" s="2">
        <v>0.09</v>
      </c>
      <c r="H38" s="2">
        <v>8.6999999999999994E-2</v>
      </c>
      <c r="I38" s="2">
        <v>8.5000000000000006E-2</v>
      </c>
      <c r="J38" s="2">
        <v>8.2000000000000003E-2</v>
      </c>
      <c r="K38" s="2">
        <v>0.08</v>
      </c>
      <c r="L38" s="2">
        <v>7.6999999999999999E-2</v>
      </c>
      <c r="M38" s="2">
        <v>7.3999999999999996E-2</v>
      </c>
      <c r="N38" s="2">
        <v>7.0999999999999994E-2</v>
      </c>
      <c r="O38" s="3">
        <v>-4.9000000000000002E-2</v>
      </c>
      <c r="P38" s="4">
        <f>IF(Table1711[[#This Row],[Party]]="Republican",1,0)</f>
        <v>1</v>
      </c>
      <c r="Q38" s="4">
        <f>IF(Table1711[[#This Row],[Party]]="Democratic",1,0)</f>
        <v>0</v>
      </c>
      <c r="R38" s="2">
        <f>IF(Table1711[[#This Row],[Party]]="Republican",Table1711[[#This Row],[100%Stock]],"null")</f>
        <v>7.0999999999999994E-2</v>
      </c>
      <c r="S38" s="2">
        <f>IF(Table1711[[#This Row],[Party]]="Republican",Table1711[[#This Row],[100% Bonds ]],"null")</f>
        <v>9.6000000000000002E-2</v>
      </c>
      <c r="T38" s="2">
        <f>IF(Table1711[[#This Row],[Party]]="Republican",Table1711[[#This Row],[S&amp;P 500 Index ]],"null")</f>
        <v>-4.9000000000000002E-2</v>
      </c>
      <c r="U38" s="2" t="str">
        <f>IF(Table1711[[#This Row],[Party]]="Democratic",Table1711[[#This Row],[100%Stock]],"null")</f>
        <v>null</v>
      </c>
      <c r="V38" s="2" t="str">
        <f>IF(Table1711[[#This Row],[Party]]="Democratic",Table1711[[#This Row],[100% Bonds ]],"null")</f>
        <v>null</v>
      </c>
      <c r="W38" s="2" t="str">
        <f>IF(Table1711[[#This Row],[Party]]="Democratic",Table1711[[#This Row],[S&amp;P 500 Index ]],"null")</f>
        <v>null</v>
      </c>
      <c r="X38" s="2">
        <f>ABS(Table1711[[#This Row],[S&amp;P 500 Index ]])</f>
        <v>4.9000000000000002E-2</v>
      </c>
      <c r="Y38" s="2">
        <f>ABS(Table1711[[#This Row],[100% Bonds ]])</f>
        <v>9.6000000000000002E-2</v>
      </c>
    </row>
    <row r="39" spans="1:25" x14ac:dyDescent="0.6">
      <c r="A39" s="1" t="s">
        <v>44</v>
      </c>
      <c r="B39" s="1" t="s">
        <v>43</v>
      </c>
      <c r="C39" s="1">
        <v>2005</v>
      </c>
      <c r="D39" s="2">
        <v>1.7999999999999999E-2</v>
      </c>
      <c r="E39" s="2">
        <v>2.4E-2</v>
      </c>
      <c r="F39" s="2">
        <v>0.03</v>
      </c>
      <c r="G39" s="2">
        <v>3.5999999999999997E-2</v>
      </c>
      <c r="H39" s="2">
        <v>4.2000000000000003E-2</v>
      </c>
      <c r="I39" s="2">
        <v>4.7E-2</v>
      </c>
      <c r="J39" s="2">
        <v>5.2999999999999999E-2</v>
      </c>
      <c r="K39" s="2">
        <v>5.8000000000000003E-2</v>
      </c>
      <c r="L39" s="2">
        <v>6.3E-2</v>
      </c>
      <c r="M39" s="2">
        <v>6.8000000000000005E-2</v>
      </c>
      <c r="N39" s="2">
        <v>7.2999999999999995E-2</v>
      </c>
      <c r="O39" s="2">
        <v>4.9000000000000002E-2</v>
      </c>
      <c r="P39" s="4">
        <f>IF(Table1711[[#This Row],[Party]]="Republican",1,0)</f>
        <v>1</v>
      </c>
      <c r="Q39" s="4">
        <f>IF(Table1711[[#This Row],[Party]]="Democratic",1,0)</f>
        <v>0</v>
      </c>
      <c r="R39" s="2">
        <f>IF(Table1711[[#This Row],[Party]]="Republican",Table1711[[#This Row],[100%Stock]],"null")</f>
        <v>7.2999999999999995E-2</v>
      </c>
      <c r="S39" s="2">
        <f>IF(Table1711[[#This Row],[Party]]="Republican",Table1711[[#This Row],[100% Bonds ]],"null")</f>
        <v>1.7999999999999999E-2</v>
      </c>
      <c r="T39" s="2">
        <f>IF(Table1711[[#This Row],[Party]]="Republican",Table1711[[#This Row],[S&amp;P 500 Index ]],"null")</f>
        <v>4.9000000000000002E-2</v>
      </c>
      <c r="U39" s="2" t="str">
        <f>IF(Table1711[[#This Row],[Party]]="Democratic",Table1711[[#This Row],[100%Stock]],"null")</f>
        <v>null</v>
      </c>
      <c r="V39" s="2" t="str">
        <f>IF(Table1711[[#This Row],[Party]]="Democratic",Table1711[[#This Row],[100% Bonds ]],"null")</f>
        <v>null</v>
      </c>
      <c r="W39" s="2" t="str">
        <f>IF(Table1711[[#This Row],[Party]]="Democratic",Table1711[[#This Row],[S&amp;P 500 Index ]],"null")</f>
        <v>null</v>
      </c>
      <c r="X39" s="2">
        <f>ABS(Table1711[[#This Row],[S&amp;P 500 Index ]])</f>
        <v>4.9000000000000002E-2</v>
      </c>
      <c r="Y39" s="2">
        <f>ABS(Table1711[[#This Row],[100% Bonds ]])</f>
        <v>1.7999999999999999E-2</v>
      </c>
    </row>
    <row r="40" spans="1:25" x14ac:dyDescent="0.6">
      <c r="A40" s="1" t="s">
        <v>49</v>
      </c>
      <c r="B40" s="1" t="s">
        <v>43</v>
      </c>
      <c r="C40" s="1">
        <v>2018</v>
      </c>
      <c r="D40" s="2">
        <v>6.0000000000000001E-3</v>
      </c>
      <c r="E40" s="3">
        <v>-5.0000000000000001E-3</v>
      </c>
      <c r="F40" s="3">
        <v>-1.6E-2</v>
      </c>
      <c r="G40" s="3">
        <v>-2.7E-2</v>
      </c>
      <c r="H40" s="3">
        <v>-3.9E-2</v>
      </c>
      <c r="I40" s="3">
        <v>-0.05</v>
      </c>
      <c r="J40" s="3">
        <v>-6.2E-2</v>
      </c>
      <c r="K40" s="3">
        <v>-7.3999999999999996E-2</v>
      </c>
      <c r="L40" s="3">
        <v>-8.5999999999999993E-2</v>
      </c>
      <c r="M40" s="3">
        <v>-9.8000000000000004E-2</v>
      </c>
      <c r="N40" s="3">
        <v>-0.111</v>
      </c>
      <c r="O40" s="3">
        <v>-4.3999999999999997E-2</v>
      </c>
      <c r="P40" s="4">
        <f>IF(Table1711[[#This Row],[Party]]="Republican",1,0)</f>
        <v>1</v>
      </c>
      <c r="Q40" s="4">
        <f>IF(Table1711[[#This Row],[Party]]="Democratic",1,0)</f>
        <v>0</v>
      </c>
      <c r="R40" s="2">
        <f>IF(Table1711[[#This Row],[Party]]="Republican",Table1711[[#This Row],[100%Stock]],"null")</f>
        <v>-0.111</v>
      </c>
      <c r="S40" s="2">
        <f>IF(Table1711[[#This Row],[Party]]="Republican",Table1711[[#This Row],[100% Bonds ]],"null")</f>
        <v>6.0000000000000001E-3</v>
      </c>
      <c r="T40" s="2">
        <f>IF(Table1711[[#This Row],[Party]]="Republican",Table1711[[#This Row],[S&amp;P 500 Index ]],"null")</f>
        <v>-4.3999999999999997E-2</v>
      </c>
      <c r="U40" s="2" t="str">
        <f>IF(Table1711[[#This Row],[Party]]="Democratic",Table1711[[#This Row],[100%Stock]],"null")</f>
        <v>null</v>
      </c>
      <c r="V40" s="2" t="str">
        <f>IF(Table1711[[#This Row],[Party]]="Democratic",Table1711[[#This Row],[100% Bonds ]],"null")</f>
        <v>null</v>
      </c>
      <c r="W40" s="2" t="str">
        <f>IF(Table1711[[#This Row],[Party]]="Democratic",Table1711[[#This Row],[S&amp;P 500 Index ]],"null")</f>
        <v>null</v>
      </c>
      <c r="X40" s="2">
        <f>ABS(Table1711[[#This Row],[S&amp;P 500 Index ]])</f>
        <v>4.3999999999999997E-2</v>
      </c>
      <c r="Y40" s="2">
        <f>ABS(Table1711[[#This Row],[100% Bonds ]])</f>
        <v>6.0000000000000001E-3</v>
      </c>
    </row>
    <row r="41" spans="1:25" x14ac:dyDescent="0.6">
      <c r="A41" s="1" t="s">
        <v>50</v>
      </c>
      <c r="B41" s="1" t="s">
        <v>43</v>
      </c>
      <c r="C41" s="1">
        <v>1970</v>
      </c>
      <c r="D41" s="2">
        <v>0.14799999999999999</v>
      </c>
      <c r="E41" s="2">
        <v>0.13400000000000001</v>
      </c>
      <c r="F41" s="2">
        <v>0.12</v>
      </c>
      <c r="G41" s="2">
        <v>0.106</v>
      </c>
      <c r="H41" s="2">
        <v>9.0999999999999998E-2</v>
      </c>
      <c r="I41" s="2">
        <v>7.5999999999999998E-2</v>
      </c>
      <c r="J41" s="2">
        <v>6.0999999999999999E-2</v>
      </c>
      <c r="K41" s="2">
        <v>4.4999999999999998E-2</v>
      </c>
      <c r="L41" s="2">
        <v>2.9000000000000001E-2</v>
      </c>
      <c r="M41" s="2">
        <v>1.2999999999999999E-2</v>
      </c>
      <c r="N41" s="3">
        <v>-3.0000000000000001E-3</v>
      </c>
      <c r="O41" s="2">
        <v>0.04</v>
      </c>
      <c r="P41" s="4">
        <f>IF(Table1711[[#This Row],[Party]]="Republican",1,0)</f>
        <v>1</v>
      </c>
      <c r="Q41" s="4">
        <f>IF(Table1711[[#This Row],[Party]]="Democratic",1,0)</f>
        <v>0</v>
      </c>
      <c r="R41" s="2">
        <f>IF(Table1711[[#This Row],[Party]]="Republican",Table1711[[#This Row],[100%Stock]],"null")</f>
        <v>-3.0000000000000001E-3</v>
      </c>
      <c r="S41" s="2">
        <f>IF(Table1711[[#This Row],[Party]]="Republican",Table1711[[#This Row],[100% Bonds ]],"null")</f>
        <v>0.14799999999999999</v>
      </c>
      <c r="T41" s="2">
        <f>IF(Table1711[[#This Row],[Party]]="Republican",Table1711[[#This Row],[S&amp;P 500 Index ]],"null")</f>
        <v>0.04</v>
      </c>
      <c r="U41" s="2" t="str">
        <f>IF(Table1711[[#This Row],[Party]]="Democratic",Table1711[[#This Row],[100%Stock]],"null")</f>
        <v>null</v>
      </c>
      <c r="V41" s="2" t="str">
        <f>IF(Table1711[[#This Row],[Party]]="Democratic",Table1711[[#This Row],[100% Bonds ]],"null")</f>
        <v>null</v>
      </c>
      <c r="W41" s="2" t="str">
        <f>IF(Table1711[[#This Row],[Party]]="Democratic",Table1711[[#This Row],[S&amp;P 500 Index ]],"null")</f>
        <v>null</v>
      </c>
      <c r="X41" s="2">
        <f>ABS(Table1711[[#This Row],[S&amp;P 500 Index ]])</f>
        <v>0.04</v>
      </c>
      <c r="Y41" s="2">
        <f>ABS(Table1711[[#This Row],[100% Bonds ]])</f>
        <v>0.14799999999999999</v>
      </c>
    </row>
    <row r="42" spans="1:25" x14ac:dyDescent="0.6">
      <c r="A42" s="1" t="s">
        <v>48</v>
      </c>
      <c r="B42" s="1" t="s">
        <v>43</v>
      </c>
      <c r="C42" s="1">
        <v>1990</v>
      </c>
      <c r="D42" s="2">
        <v>9.2999999999999999E-2</v>
      </c>
      <c r="E42" s="2">
        <v>6.6000000000000003E-2</v>
      </c>
      <c r="F42" s="2">
        <v>0.04</v>
      </c>
      <c r="G42" s="2">
        <v>1.2999999999999999E-2</v>
      </c>
      <c r="H42" s="3">
        <v>-1.2E-2</v>
      </c>
      <c r="I42" s="3">
        <v>-3.7999999999999999E-2</v>
      </c>
      <c r="J42" s="3">
        <v>-6.3E-2</v>
      </c>
      <c r="K42" s="3">
        <v>-8.7999999999999995E-2</v>
      </c>
      <c r="L42" s="3">
        <v>-0.113</v>
      </c>
      <c r="M42" s="3">
        <v>-0.13700000000000001</v>
      </c>
      <c r="N42" s="3">
        <v>-0.161</v>
      </c>
      <c r="O42" s="3">
        <v>-3.1E-2</v>
      </c>
      <c r="P42" s="4">
        <f>IF(Table1711[[#This Row],[Party]]="Republican",1,0)</f>
        <v>1</v>
      </c>
      <c r="Q42" s="4">
        <f>IF(Table1711[[#This Row],[Party]]="Democratic",1,0)</f>
        <v>0</v>
      </c>
      <c r="R42" s="2">
        <f>IF(Table1711[[#This Row],[Party]]="Republican",Table1711[[#This Row],[100%Stock]],"null")</f>
        <v>-0.161</v>
      </c>
      <c r="S42" s="2">
        <f>IF(Table1711[[#This Row],[Party]]="Republican",Table1711[[#This Row],[100% Bonds ]],"null")</f>
        <v>9.2999999999999999E-2</v>
      </c>
      <c r="T42" s="2">
        <f>IF(Table1711[[#This Row],[Party]]="Republican",Table1711[[#This Row],[S&amp;P 500 Index ]],"null")</f>
        <v>-3.1E-2</v>
      </c>
      <c r="U42" s="2" t="str">
        <f>IF(Table1711[[#This Row],[Party]]="Democratic",Table1711[[#This Row],[100%Stock]],"null")</f>
        <v>null</v>
      </c>
      <c r="V42" s="2" t="str">
        <f>IF(Table1711[[#This Row],[Party]]="Democratic",Table1711[[#This Row],[100% Bonds ]],"null")</f>
        <v>null</v>
      </c>
      <c r="W42" s="2" t="str">
        <f>IF(Table1711[[#This Row],[Party]]="Democratic",Table1711[[#This Row],[S&amp;P 500 Index ]],"null")</f>
        <v>null</v>
      </c>
      <c r="X42" s="2">
        <f>ABS(Table1711[[#This Row],[S&amp;P 500 Index ]])</f>
        <v>3.1E-2</v>
      </c>
      <c r="Y42" s="2">
        <f>ABS(Table1711[[#This Row],[100% Bonds ]])</f>
        <v>9.2999999999999999E-2</v>
      </c>
    </row>
    <row r="43" spans="1:25" x14ac:dyDescent="0.6">
      <c r="A43" s="1" t="s">
        <v>46</v>
      </c>
      <c r="B43" s="1" t="s">
        <v>41</v>
      </c>
      <c r="C43" s="1">
        <v>2011</v>
      </c>
      <c r="D43" s="2">
        <v>0.08</v>
      </c>
      <c r="E43" s="2">
        <v>7.0999999999999994E-2</v>
      </c>
      <c r="F43" s="2">
        <v>6.0999999999999999E-2</v>
      </c>
      <c r="G43" s="2">
        <v>5.0999999999999997E-2</v>
      </c>
      <c r="H43" s="2">
        <v>4.1000000000000002E-2</v>
      </c>
      <c r="I43" s="2">
        <v>0.03</v>
      </c>
      <c r="J43" s="2">
        <v>1.9E-2</v>
      </c>
      <c r="K43" s="2">
        <v>7.0000000000000001E-3</v>
      </c>
      <c r="L43" s="3">
        <v>-5.0000000000000001E-3</v>
      </c>
      <c r="M43" s="3">
        <v>-1.7000000000000001E-2</v>
      </c>
      <c r="N43" s="3">
        <v>-2.9000000000000001E-2</v>
      </c>
      <c r="O43" s="2">
        <v>2.1000000000000001E-2</v>
      </c>
      <c r="P43" s="4">
        <f>IF(Table1711[[#This Row],[Party]]="Republican",1,0)</f>
        <v>0</v>
      </c>
      <c r="Q43" s="4">
        <f>IF(Table1711[[#This Row],[Party]]="Democratic",1,0)</f>
        <v>1</v>
      </c>
      <c r="R43" s="2" t="str">
        <f>IF(Table1711[[#This Row],[Party]]="Republican",Table1711[[#This Row],[100%Stock]],"null")</f>
        <v>null</v>
      </c>
      <c r="S43" s="2" t="str">
        <f>IF(Table1711[[#This Row],[Party]]="Republican",Table1711[[#This Row],[100% Bonds ]],"null")</f>
        <v>null</v>
      </c>
      <c r="T43" s="2" t="str">
        <f>IF(Table1711[[#This Row],[Party]]="Republican",Table1711[[#This Row],[S&amp;P 500 Index ]],"null")</f>
        <v>null</v>
      </c>
      <c r="U43" s="2">
        <f>IF(Table1711[[#This Row],[Party]]="Democratic",Table1711[[#This Row],[100%Stock]],"null")</f>
        <v>-2.9000000000000001E-2</v>
      </c>
      <c r="V43" s="2">
        <f>IF(Table1711[[#This Row],[Party]]="Democratic",Table1711[[#This Row],[100% Bonds ]],"null")</f>
        <v>0.08</v>
      </c>
      <c r="W43" s="2">
        <f>IF(Table1711[[#This Row],[Party]]="Democratic",Table1711[[#This Row],[S&amp;P 500 Index ]],"null")</f>
        <v>2.1000000000000001E-2</v>
      </c>
      <c r="X43" s="2">
        <f>ABS(Table1711[[#This Row],[S&amp;P 500 Index ]])</f>
        <v>2.1000000000000001E-2</v>
      </c>
      <c r="Y43" s="2">
        <f>ABS(Table1711[[#This Row],[100% Bonds ]])</f>
        <v>0.08</v>
      </c>
    </row>
    <row r="44" spans="1:25" x14ac:dyDescent="0.6">
      <c r="A44" s="1" t="s">
        <v>46</v>
      </c>
      <c r="B44" s="1" t="s">
        <v>41</v>
      </c>
      <c r="C44" s="1">
        <v>2015</v>
      </c>
      <c r="D44" s="2">
        <v>8.0000000000000002E-3</v>
      </c>
      <c r="E44" s="2">
        <v>5.0000000000000001E-3</v>
      </c>
      <c r="F44" s="2">
        <v>1E-3</v>
      </c>
      <c r="G44" s="3">
        <v>-2E-3</v>
      </c>
      <c r="H44" s="3">
        <v>-6.0000000000000001E-3</v>
      </c>
      <c r="I44" s="3">
        <v>-0.01</v>
      </c>
      <c r="J44" s="3">
        <v>-1.4E-2</v>
      </c>
      <c r="K44" s="3">
        <v>-1.7999999999999999E-2</v>
      </c>
      <c r="L44" s="3">
        <v>-2.3E-2</v>
      </c>
      <c r="M44" s="3">
        <v>-2.8000000000000001E-2</v>
      </c>
      <c r="N44" s="3">
        <v>-3.3000000000000002E-2</v>
      </c>
      <c r="O44" s="2">
        <v>1.4E-2</v>
      </c>
      <c r="P44" s="4">
        <f>IF(Table1711[[#This Row],[Party]]="Republican",1,0)</f>
        <v>0</v>
      </c>
      <c r="Q44" s="4">
        <f>IF(Table1711[[#This Row],[Party]]="Democratic",1,0)</f>
        <v>1</v>
      </c>
      <c r="R44" s="2" t="str">
        <f>IF(Table1711[[#This Row],[Party]]="Republican",Table1711[[#This Row],[100%Stock]],"null")</f>
        <v>null</v>
      </c>
      <c r="S44" s="2" t="str">
        <f>IF(Table1711[[#This Row],[Party]]="Republican",Table1711[[#This Row],[100% Bonds ]],"null")</f>
        <v>null</v>
      </c>
      <c r="T44" s="2" t="str">
        <f>IF(Table1711[[#This Row],[Party]]="Republican",Table1711[[#This Row],[S&amp;P 500 Index ]],"null")</f>
        <v>null</v>
      </c>
      <c r="U44" s="2">
        <f>IF(Table1711[[#This Row],[Party]]="Democratic",Table1711[[#This Row],[100%Stock]],"null")</f>
        <v>-3.3000000000000002E-2</v>
      </c>
      <c r="V44" s="2">
        <f>IF(Table1711[[#This Row],[Party]]="Democratic",Table1711[[#This Row],[100% Bonds ]],"null")</f>
        <v>8.0000000000000002E-3</v>
      </c>
      <c r="W44" s="2">
        <f>IF(Table1711[[#This Row],[Party]]="Democratic",Table1711[[#This Row],[S&amp;P 500 Index ]],"null")</f>
        <v>1.4E-2</v>
      </c>
      <c r="X44" s="2">
        <f>ABS(Table1711[[#This Row],[S&amp;P 500 Index ]])</f>
        <v>1.4E-2</v>
      </c>
      <c r="Y44" s="2">
        <f>ABS(Table1711[[#This Row],[100% Bonds ]])</f>
        <v>8.0000000000000002E-3</v>
      </c>
    </row>
    <row r="45" spans="1:25" x14ac:dyDescent="0.6">
      <c r="A45" s="1" t="s">
        <v>40</v>
      </c>
      <c r="B45" s="1" t="s">
        <v>41</v>
      </c>
      <c r="C45" s="1">
        <v>1994</v>
      </c>
      <c r="D45" s="3">
        <v>-3.2000000000000001E-2</v>
      </c>
      <c r="E45" s="3">
        <v>-2.9000000000000001E-2</v>
      </c>
      <c r="F45" s="3">
        <v>-2.7E-2</v>
      </c>
      <c r="G45" s="3">
        <v>-2.4E-2</v>
      </c>
      <c r="H45" s="3">
        <v>-2.1999999999999999E-2</v>
      </c>
      <c r="I45" s="3">
        <v>-0.02</v>
      </c>
      <c r="J45" s="3">
        <v>-1.7000000000000001E-2</v>
      </c>
      <c r="K45" s="3">
        <v>-1.4999999999999999E-2</v>
      </c>
      <c r="L45" s="3">
        <v>-1.2999999999999999E-2</v>
      </c>
      <c r="M45" s="3">
        <v>-0.01</v>
      </c>
      <c r="N45" s="3">
        <v>-8.0000000000000002E-3</v>
      </c>
      <c r="O45" s="2">
        <v>1.2999999999999999E-2</v>
      </c>
      <c r="P45" s="4">
        <f>IF(Table1711[[#This Row],[Party]]="Republican",1,0)</f>
        <v>0</v>
      </c>
      <c r="Q45" s="4">
        <f>IF(Table1711[[#This Row],[Party]]="Democratic",1,0)</f>
        <v>1</v>
      </c>
      <c r="R45" s="2" t="str">
        <f>IF(Table1711[[#This Row],[Party]]="Republican",Table1711[[#This Row],[100%Stock]],"null")</f>
        <v>null</v>
      </c>
      <c r="S45" s="2" t="str">
        <f>IF(Table1711[[#This Row],[Party]]="Republican",Table1711[[#This Row],[100% Bonds ]],"null")</f>
        <v>null</v>
      </c>
      <c r="T45" s="2" t="str">
        <f>IF(Table1711[[#This Row],[Party]]="Republican",Table1711[[#This Row],[S&amp;P 500 Index ]],"null")</f>
        <v>null</v>
      </c>
      <c r="U45" s="2">
        <f>IF(Table1711[[#This Row],[Party]]="Democratic",Table1711[[#This Row],[100%Stock]],"null")</f>
        <v>-8.0000000000000002E-3</v>
      </c>
      <c r="V45" s="2">
        <f>IF(Table1711[[#This Row],[Party]]="Democratic",Table1711[[#This Row],[100% Bonds ]],"null")</f>
        <v>-3.2000000000000001E-2</v>
      </c>
      <c r="W45" s="2">
        <f>IF(Table1711[[#This Row],[Party]]="Democratic",Table1711[[#This Row],[S&amp;P 500 Index ]],"null")</f>
        <v>1.2999999999999999E-2</v>
      </c>
      <c r="X45" s="2">
        <f>ABS(Table1711[[#This Row],[S&amp;P 500 Index ]])</f>
        <v>1.2999999999999999E-2</v>
      </c>
      <c r="Y45" s="2">
        <f>ABS(Table1711[[#This Row],[100% Bonds ]])</f>
        <v>3.2000000000000001E-2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F055-D906-A441-9675-78AFB2D3B0B6}">
  <dimension ref="A1:Z45"/>
  <sheetViews>
    <sheetView tabSelected="1" topLeftCell="D1" workbookViewId="0">
      <selection activeCell="C6" sqref="C6"/>
    </sheetView>
  </sheetViews>
  <sheetFormatPr defaultColWidth="11" defaultRowHeight="15.6" x14ac:dyDescent="0.6"/>
  <cols>
    <col min="1" max="1" width="16.34765625" bestFit="1" customWidth="1"/>
    <col min="2" max="2" width="10.5" bestFit="1" customWidth="1"/>
    <col min="3" max="3" width="7.84765625" bestFit="1" customWidth="1"/>
    <col min="4" max="4" width="14.09765625" bestFit="1" customWidth="1"/>
    <col min="5" max="5" width="9" bestFit="1" customWidth="1"/>
    <col min="6" max="6" width="8.5" bestFit="1" customWidth="1"/>
    <col min="7" max="7" width="9" bestFit="1" customWidth="1"/>
    <col min="8" max="8" width="8.5" bestFit="1" customWidth="1"/>
    <col min="9" max="9" width="9" bestFit="1" customWidth="1"/>
    <col min="10" max="11" width="8.5" bestFit="1" customWidth="1"/>
    <col min="12" max="12" width="9" bestFit="1" customWidth="1"/>
    <col min="13" max="13" width="8.5" bestFit="1" customWidth="1"/>
    <col min="14" max="14" width="12.59765625" bestFit="1" customWidth="1"/>
    <col min="15" max="15" width="16.09765625" bestFit="1" customWidth="1"/>
    <col min="16" max="16" width="7" bestFit="1" customWidth="1"/>
    <col min="17" max="17" width="7.09765625" bestFit="1" customWidth="1"/>
    <col min="18" max="18" width="13.59765625" customWidth="1"/>
    <col min="19" max="19" width="14.59765625" customWidth="1"/>
    <col min="20" max="20" width="12.59765625" customWidth="1"/>
    <col min="21" max="21" width="14.34765625" bestFit="1" customWidth="1"/>
    <col min="22" max="22" width="13.84765625" customWidth="1"/>
    <col min="23" max="23" width="13" bestFit="1" customWidth="1"/>
    <col min="24" max="24" width="15.09765625" bestFit="1" customWidth="1"/>
  </cols>
  <sheetData>
    <row r="1" spans="1:25" x14ac:dyDescent="0.6">
      <c r="R1" t="s">
        <v>0</v>
      </c>
      <c r="S1" t="s">
        <v>1</v>
      </c>
      <c r="T1" s="7" t="s">
        <v>2</v>
      </c>
      <c r="U1" t="s">
        <v>3</v>
      </c>
      <c r="V1" t="s">
        <v>4</v>
      </c>
      <c r="W1" t="s">
        <v>5</v>
      </c>
    </row>
    <row r="2" spans="1:25" x14ac:dyDescent="0.6">
      <c r="R2" s="8">
        <f>MEDIAN(Table17[R-stock])</f>
        <v>0.121</v>
      </c>
      <c r="S2" s="8">
        <f>MEDIAN(Table17[R-bond])</f>
        <v>6.6000000000000003E-2</v>
      </c>
      <c r="T2" s="8">
        <f>MEDIAN(Table17[R-500])</f>
        <v>7.5999999999999998E-2</v>
      </c>
      <c r="U2" s="6">
        <f>MEDIAN(Table17[D-stock])</f>
        <v>0.19500000000000001</v>
      </c>
      <c r="V2" s="6">
        <f>MEDIAN(Table17[D-bond])</f>
        <v>3.4000000000000002E-2</v>
      </c>
      <c r="W2" s="6">
        <f>MEDIAN(Table17[D-500])</f>
        <v>0.16</v>
      </c>
    </row>
    <row r="3" spans="1:25" x14ac:dyDescent="0.6">
      <c r="C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</row>
    <row r="4" spans="1:25" x14ac:dyDescent="0.6">
      <c r="C4">
        <f>COUNTA(Table17[Year])</f>
        <v>40</v>
      </c>
      <c r="P4" s="5">
        <f>SUM(Table17[R])</f>
        <v>23</v>
      </c>
      <c r="Q4" s="5">
        <f>SUM(Table17[D])</f>
        <v>17</v>
      </c>
      <c r="R4" s="6">
        <f>AVERAGE(Table17[R-stock])</f>
        <v>0.10317391304347827</v>
      </c>
      <c r="S4" s="6">
        <f>AVERAGE(Table17[R-bond])</f>
        <v>5.8652173913043469E-2</v>
      </c>
      <c r="T4" s="6">
        <f>AVERAGE(Table17[R-500])</f>
        <v>6.773913043478258E-2</v>
      </c>
      <c r="U4" s="6">
        <f>AVERAGE(Table17[D-stock])</f>
        <v>0.17523529411764707</v>
      </c>
      <c r="V4" s="6">
        <f>AVERAGE(Table17[D-bond])</f>
        <v>3.558823529411765E-2</v>
      </c>
      <c r="W4" s="6">
        <f>AVERAGE(Table17[D-500])</f>
        <v>0.17294117647058821</v>
      </c>
    </row>
    <row r="5" spans="1:25" x14ac:dyDescent="0.6">
      <c r="A5" s="1" t="s">
        <v>15</v>
      </c>
      <c r="B5" s="1" t="s">
        <v>16</v>
      </c>
      <c r="C5" s="1" t="s">
        <v>53</v>
      </c>
      <c r="D5" s="1" t="s">
        <v>54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34</v>
      </c>
      <c r="U5" s="1" t="s">
        <v>35</v>
      </c>
      <c r="V5" s="1" t="s">
        <v>36</v>
      </c>
      <c r="W5" s="1" t="s">
        <v>37</v>
      </c>
      <c r="X5" s="1" t="s">
        <v>38</v>
      </c>
      <c r="Y5" s="1" t="s">
        <v>39</v>
      </c>
    </row>
    <row r="6" spans="1:25" x14ac:dyDescent="0.6">
      <c r="A6" s="1" t="s">
        <v>50</v>
      </c>
      <c r="B6" s="1" t="s">
        <v>43</v>
      </c>
      <c r="C6" s="1">
        <v>1971</v>
      </c>
      <c r="D6" s="2">
        <v>7.6999999999999999E-2</v>
      </c>
      <c r="E6" s="2">
        <v>8.5000000000000006E-2</v>
      </c>
      <c r="F6" s="2">
        <v>9.2999999999999999E-2</v>
      </c>
      <c r="G6" s="2">
        <v>0.10100000000000001</v>
      </c>
      <c r="H6" s="2">
        <v>0.109</v>
      </c>
      <c r="I6" s="2">
        <v>0.11600000000000001</v>
      </c>
      <c r="J6" s="2">
        <v>0.123</v>
      </c>
      <c r="K6" s="2">
        <v>0.13</v>
      </c>
      <c r="L6" s="2">
        <v>0.13600000000000001</v>
      </c>
      <c r="M6" s="2">
        <v>0.14199999999999999</v>
      </c>
      <c r="N6" s="2">
        <v>0.14799999999999999</v>
      </c>
      <c r="O6" s="2">
        <v>0.14299999999999999</v>
      </c>
      <c r="P6" s="4">
        <f>IF(Table17[[#This Row],[Party]]="Republican",1,0)</f>
        <v>1</v>
      </c>
      <c r="Q6" s="4">
        <f>IF(Table17[[#This Row],[Party]]="Democratic",1,0)</f>
        <v>0</v>
      </c>
      <c r="R6" s="2">
        <f>IF(Table17[[#This Row],[Party]]="Republican",Table17[[#This Row],[100%Stock]],"null")</f>
        <v>0.14799999999999999</v>
      </c>
      <c r="S6" s="2">
        <f>IF(Table17[[#This Row],[Party]]="Republican",Table17[[#This Row],[100% Bonds]],"null")</f>
        <v>7.6999999999999999E-2</v>
      </c>
      <c r="T6" s="2">
        <f>IF(Table17[[#This Row],[Party]]="Republican",Table17[[#This Row],[S&amp;P 500 Index ]],"null")</f>
        <v>0.14299999999999999</v>
      </c>
      <c r="U6" s="2" t="str">
        <f>IF(Table17[[#This Row],[Party]]="Democratic",Table17[[#This Row],[100%Stock]],"null")</f>
        <v>null</v>
      </c>
      <c r="V6" s="2" t="str">
        <f>IF(Table17[[#This Row],[Party]]="Democratic",Table17[[#This Row],[100% Bonds]],"null")</f>
        <v>null</v>
      </c>
      <c r="W6" s="2" t="str">
        <f>IF(Table17[[#This Row],[Party]]="Democratic",Table17[[#This Row],[S&amp;P 500 Index ]],"null")</f>
        <v>null</v>
      </c>
      <c r="X6" s="2">
        <f>ABS(Table17[[#This Row],[S&amp;P 500 Index ]])</f>
        <v>0.14299999999999999</v>
      </c>
      <c r="Y6" s="2">
        <f>ABS(Table17[[#This Row],[100% Bonds]])</f>
        <v>7.6999999999999999E-2</v>
      </c>
    </row>
    <row r="7" spans="1:25" x14ac:dyDescent="0.6">
      <c r="A7" s="1" t="s">
        <v>50</v>
      </c>
      <c r="B7" s="1" t="s">
        <v>43</v>
      </c>
      <c r="C7" s="1">
        <v>1972</v>
      </c>
      <c r="D7" s="2">
        <v>4.8000000000000001E-2</v>
      </c>
      <c r="E7" s="2">
        <v>5.5E-2</v>
      </c>
      <c r="F7" s="2">
        <v>6.3E-2</v>
      </c>
      <c r="G7" s="2">
        <v>7.0000000000000007E-2</v>
      </c>
      <c r="H7" s="2">
        <v>7.8E-2</v>
      </c>
      <c r="I7" s="2">
        <v>8.5000000000000006E-2</v>
      </c>
      <c r="J7" s="2">
        <v>9.1999999999999998E-2</v>
      </c>
      <c r="K7" s="2">
        <v>9.9000000000000005E-2</v>
      </c>
      <c r="L7" s="2">
        <v>0.106</v>
      </c>
      <c r="M7" s="2">
        <v>0.114</v>
      </c>
      <c r="N7" s="2">
        <v>0.121</v>
      </c>
      <c r="O7" s="2">
        <v>0.19</v>
      </c>
      <c r="P7" s="4">
        <f>IF(Table17[[#This Row],[Party]]="Republican",1,0)</f>
        <v>1</v>
      </c>
      <c r="Q7" s="4">
        <f>IF(Table17[[#This Row],[Party]]="Democratic",1,0)</f>
        <v>0</v>
      </c>
      <c r="R7" s="2">
        <f>IF(Table17[[#This Row],[Party]]="Republican",Table17[[#This Row],[100%Stock]],"null")</f>
        <v>0.121</v>
      </c>
      <c r="S7" s="2">
        <f>IF(Table17[[#This Row],[Party]]="Republican",Table17[[#This Row],[100% Bonds]],"null")</f>
        <v>4.8000000000000001E-2</v>
      </c>
      <c r="T7" s="2">
        <f>IF(Table17[[#This Row],[Party]]="Republican",Table17[[#This Row],[S&amp;P 500 Index ]],"null")</f>
        <v>0.19</v>
      </c>
      <c r="U7" s="2" t="str">
        <f>IF(Table17[[#This Row],[Party]]="Democratic",Table17[[#This Row],[100%Stock]],"null")</f>
        <v>null</v>
      </c>
      <c r="V7" s="2" t="str">
        <f>IF(Table17[[#This Row],[Party]]="Democratic",Table17[[#This Row],[100% Bonds]],"null")</f>
        <v>null</v>
      </c>
      <c r="W7" s="2" t="str">
        <f>IF(Table17[[#This Row],[Party]]="Democratic",Table17[[#This Row],[S&amp;P 500 Index ]],"null")</f>
        <v>null</v>
      </c>
      <c r="X7" s="2">
        <f>ABS(Table17[[#This Row],[S&amp;P 500 Index ]])</f>
        <v>0.19</v>
      </c>
      <c r="Y7" s="2">
        <f>ABS(Table17[[#This Row],[100% Bonds]])</f>
        <v>4.8000000000000001E-2</v>
      </c>
    </row>
    <row r="8" spans="1:25" x14ac:dyDescent="0.6">
      <c r="A8" s="1" t="s">
        <v>50</v>
      </c>
      <c r="B8" s="1" t="s">
        <v>43</v>
      </c>
      <c r="C8" s="1">
        <v>1973</v>
      </c>
      <c r="D8" s="2">
        <v>4.3999999999999997E-2</v>
      </c>
      <c r="E8" s="2">
        <v>1.4999999999999999E-2</v>
      </c>
      <c r="F8" s="3">
        <v>-1.4E-2</v>
      </c>
      <c r="G8" s="3">
        <v>-4.2999999999999997E-2</v>
      </c>
      <c r="H8" s="3">
        <v>-7.0999999999999994E-2</v>
      </c>
      <c r="I8" s="3">
        <v>-9.9000000000000005E-2</v>
      </c>
      <c r="J8" s="3">
        <v>-0.127</v>
      </c>
      <c r="K8" s="3">
        <v>-0.154</v>
      </c>
      <c r="L8" s="3">
        <v>-0.18</v>
      </c>
      <c r="M8" s="3">
        <v>-0.20699999999999999</v>
      </c>
      <c r="N8" s="3">
        <v>-0.23200000000000001</v>
      </c>
      <c r="O8" s="3">
        <v>-0.14699999999999999</v>
      </c>
      <c r="P8" s="4">
        <f>IF(Table17[[#This Row],[Party]]="Republican",1,0)</f>
        <v>1</v>
      </c>
      <c r="Q8" s="4">
        <f>IF(Table17[[#This Row],[Party]]="Democratic",1,0)</f>
        <v>0</v>
      </c>
      <c r="R8" s="2">
        <f>IF(Table17[[#This Row],[Party]]="Republican",Table17[[#This Row],[100%Stock]],"null")</f>
        <v>-0.23200000000000001</v>
      </c>
      <c r="S8" s="2">
        <f>IF(Table17[[#This Row],[Party]]="Republican",Table17[[#This Row],[100% Bonds]],"null")</f>
        <v>4.3999999999999997E-2</v>
      </c>
      <c r="T8" s="2">
        <f>IF(Table17[[#This Row],[Party]]="Republican",Table17[[#This Row],[S&amp;P 500 Index ]],"null")</f>
        <v>-0.14699999999999999</v>
      </c>
      <c r="U8" s="2" t="str">
        <f>IF(Table17[[#This Row],[Party]]="Democratic",Table17[[#This Row],[100%Stock]],"null")</f>
        <v>null</v>
      </c>
      <c r="V8" s="2" t="str">
        <f>IF(Table17[[#This Row],[Party]]="Democratic",Table17[[#This Row],[100% Bonds]],"null")</f>
        <v>null</v>
      </c>
      <c r="W8" s="2" t="str">
        <f>IF(Table17[[#This Row],[Party]]="Democratic",Table17[[#This Row],[S&amp;P 500 Index ]],"null")</f>
        <v>null</v>
      </c>
      <c r="X8" s="2">
        <f>ABS(Table17[[#This Row],[S&amp;P 500 Index ]])</f>
        <v>0.14699999999999999</v>
      </c>
      <c r="Y8" s="2">
        <f>ABS(Table17[[#This Row],[100% Bonds]])</f>
        <v>4.3999999999999997E-2</v>
      </c>
    </row>
    <row r="9" spans="1:25" x14ac:dyDescent="0.6">
      <c r="A9" s="1" t="s">
        <v>50</v>
      </c>
      <c r="B9" s="1" t="s">
        <v>43</v>
      </c>
      <c r="C9" s="1">
        <v>1974</v>
      </c>
      <c r="D9" s="2">
        <v>7.3999999999999996E-2</v>
      </c>
      <c r="E9" s="2">
        <v>4.2999999999999997E-2</v>
      </c>
      <c r="F9" s="2">
        <v>1.0999999999999999E-2</v>
      </c>
      <c r="G9" s="3">
        <v>-0.02</v>
      </c>
      <c r="H9" s="3">
        <v>-0.05</v>
      </c>
      <c r="I9" s="3">
        <v>-0.08</v>
      </c>
      <c r="J9" s="3">
        <v>-0.109</v>
      </c>
      <c r="K9" s="3">
        <v>-0.13800000000000001</v>
      </c>
      <c r="L9" s="3">
        <v>-0.16700000000000001</v>
      </c>
      <c r="M9" s="3">
        <v>-0.19500000000000001</v>
      </c>
      <c r="N9" s="3">
        <v>-0.222</v>
      </c>
      <c r="O9" s="3">
        <v>-0.26500000000000001</v>
      </c>
      <c r="P9" s="4">
        <f>IF(Table17[[#This Row],[Party]]="Republican",1,0)</f>
        <v>1</v>
      </c>
      <c r="Q9" s="4">
        <f>IF(Table17[[#This Row],[Party]]="Democratic",1,0)</f>
        <v>0</v>
      </c>
      <c r="R9" s="2">
        <f>IF(Table17[[#This Row],[Party]]="Republican",Table17[[#This Row],[100%Stock]],"null")</f>
        <v>-0.222</v>
      </c>
      <c r="S9" s="2">
        <f>IF(Table17[[#This Row],[Party]]="Republican",Table17[[#This Row],[100% Bonds]],"null")</f>
        <v>7.3999999999999996E-2</v>
      </c>
      <c r="T9" s="2">
        <f>IF(Table17[[#This Row],[Party]]="Republican",Table17[[#This Row],[S&amp;P 500 Index ]],"null")</f>
        <v>-0.26500000000000001</v>
      </c>
      <c r="U9" s="2" t="str">
        <f>IF(Table17[[#This Row],[Party]]="Democratic",Table17[[#This Row],[100%Stock]],"null")</f>
        <v>null</v>
      </c>
      <c r="V9" s="2" t="str">
        <f>IF(Table17[[#This Row],[Party]]="Democratic",Table17[[#This Row],[100% Bonds]],"null")</f>
        <v>null</v>
      </c>
      <c r="W9" s="2" t="str">
        <f>IF(Table17[[#This Row],[Party]]="Democratic",Table17[[#This Row],[S&amp;P 500 Index ]],"null")</f>
        <v>null</v>
      </c>
      <c r="X9" s="2">
        <f>ABS(Table17[[#This Row],[S&amp;P 500 Index ]])</f>
        <v>0.26500000000000001</v>
      </c>
      <c r="Y9" s="2">
        <f>ABS(Table17[[#This Row],[100% Bonds]])</f>
        <v>7.3999999999999996E-2</v>
      </c>
    </row>
    <row r="10" spans="1:25" x14ac:dyDescent="0.6">
      <c r="A10" s="1" t="s">
        <v>42</v>
      </c>
      <c r="B10" s="1" t="s">
        <v>43</v>
      </c>
      <c r="C10" s="1">
        <v>1975</v>
      </c>
      <c r="D10" s="2">
        <v>7.8E-2</v>
      </c>
      <c r="E10" s="2">
        <v>0.11799999999999999</v>
      </c>
      <c r="F10" s="2">
        <v>0.159</v>
      </c>
      <c r="G10" s="2">
        <v>0.20100000000000001</v>
      </c>
      <c r="H10" s="2">
        <v>0.24299999999999999</v>
      </c>
      <c r="I10" s="2">
        <v>0.28599999999999998</v>
      </c>
      <c r="J10" s="2">
        <v>0.33</v>
      </c>
      <c r="K10" s="2">
        <v>0.375</v>
      </c>
      <c r="L10" s="2">
        <v>0.42099999999999999</v>
      </c>
      <c r="M10" s="2">
        <v>0.46700000000000003</v>
      </c>
      <c r="N10" s="2">
        <v>0.51400000000000001</v>
      </c>
      <c r="O10" s="2">
        <v>0.372</v>
      </c>
      <c r="P10" s="4">
        <f>IF(Table17[[#This Row],[Party]]="Republican",1,0)</f>
        <v>1</v>
      </c>
      <c r="Q10" s="4">
        <f>IF(Table17[[#This Row],[Party]]="Democratic",1,0)</f>
        <v>0</v>
      </c>
      <c r="R10" s="2">
        <f>IF(Table17[[#This Row],[Party]]="Republican",Table17[[#This Row],[100%Stock]],"null")</f>
        <v>0.51400000000000001</v>
      </c>
      <c r="S10" s="2">
        <f>IF(Table17[[#This Row],[Party]]="Republican",Table17[[#This Row],[100% Bonds]],"null")</f>
        <v>7.8E-2</v>
      </c>
      <c r="T10" s="2">
        <f>IF(Table17[[#This Row],[Party]]="Republican",Table17[[#This Row],[S&amp;P 500 Index ]],"null")</f>
        <v>0.372</v>
      </c>
      <c r="U10" s="2" t="str">
        <f>IF(Table17[[#This Row],[Party]]="Democratic",Table17[[#This Row],[100%Stock]],"null")</f>
        <v>null</v>
      </c>
      <c r="V10" s="2" t="str">
        <f>IF(Table17[[#This Row],[Party]]="Democratic",Table17[[#This Row],[100% Bonds]],"null")</f>
        <v>null</v>
      </c>
      <c r="W10" s="2" t="str">
        <f>IF(Table17[[#This Row],[Party]]="Democratic",Table17[[#This Row],[S&amp;P 500 Index ]],"null")</f>
        <v>null</v>
      </c>
      <c r="X10" s="2">
        <f>ABS(Table17[[#This Row],[S&amp;P 500 Index ]])</f>
        <v>0.372</v>
      </c>
      <c r="Y10" s="2">
        <f>ABS(Table17[[#This Row],[100% Bonds]])</f>
        <v>7.8E-2</v>
      </c>
    </row>
    <row r="11" spans="1:25" x14ac:dyDescent="0.6">
      <c r="A11" s="1" t="s">
        <v>42</v>
      </c>
      <c r="B11" s="1" t="s">
        <v>43</v>
      </c>
      <c r="C11" s="1">
        <v>1976</v>
      </c>
      <c r="D11" s="2">
        <v>0.1</v>
      </c>
      <c r="E11" s="2">
        <v>0.13100000000000001</v>
      </c>
      <c r="F11" s="2">
        <v>0.16300000000000001</v>
      </c>
      <c r="G11" s="2">
        <v>0.19500000000000001</v>
      </c>
      <c r="H11" s="2">
        <v>0.22800000000000001</v>
      </c>
      <c r="I11" s="2">
        <v>0.26100000000000001</v>
      </c>
      <c r="J11" s="2">
        <v>0.29399999999999998</v>
      </c>
      <c r="K11" s="2">
        <v>0.32800000000000001</v>
      </c>
      <c r="L11" s="2">
        <v>0.36199999999999999</v>
      </c>
      <c r="M11" s="2">
        <v>0.39700000000000002</v>
      </c>
      <c r="N11" s="2">
        <v>0.432</v>
      </c>
      <c r="O11" s="2">
        <v>0.23799999999999999</v>
      </c>
      <c r="P11" s="4">
        <f>IF(Table17[[#This Row],[Party]]="Republican",1,0)</f>
        <v>1</v>
      </c>
      <c r="Q11" s="4">
        <f>IF(Table17[[#This Row],[Party]]="Democratic",1,0)</f>
        <v>0</v>
      </c>
      <c r="R11" s="2">
        <f>IF(Table17[[#This Row],[Party]]="Republican",Table17[[#This Row],[100%Stock]],"null")</f>
        <v>0.432</v>
      </c>
      <c r="S11" s="2">
        <f>IF(Table17[[#This Row],[Party]]="Republican",Table17[[#This Row],[100% Bonds]],"null")</f>
        <v>0.1</v>
      </c>
      <c r="T11" s="2">
        <f>IF(Table17[[#This Row],[Party]]="Republican",Table17[[#This Row],[S&amp;P 500 Index ]],"null")</f>
        <v>0.23799999999999999</v>
      </c>
      <c r="U11" s="2" t="str">
        <f>IF(Table17[[#This Row],[Party]]="Democratic",Table17[[#This Row],[100%Stock]],"null")</f>
        <v>null</v>
      </c>
      <c r="V11" s="2" t="str">
        <f>IF(Table17[[#This Row],[Party]]="Democratic",Table17[[#This Row],[100% Bonds]],"null")</f>
        <v>null</v>
      </c>
      <c r="W11" s="2" t="str">
        <f>IF(Table17[[#This Row],[Party]]="Democratic",Table17[[#This Row],[S&amp;P 500 Index ]],"null")</f>
        <v>null</v>
      </c>
      <c r="X11" s="2">
        <f>ABS(Table17[[#This Row],[S&amp;P 500 Index ]])</f>
        <v>0.23799999999999999</v>
      </c>
      <c r="Y11" s="2">
        <f>ABS(Table17[[#This Row],[100% Bonds]])</f>
        <v>0.1</v>
      </c>
    </row>
    <row r="12" spans="1:25" x14ac:dyDescent="0.6">
      <c r="A12" s="1" t="s">
        <v>42</v>
      </c>
      <c r="B12" s="1" t="s">
        <v>43</v>
      </c>
      <c r="C12" s="1">
        <v>1977</v>
      </c>
      <c r="D12" s="2">
        <v>0.03</v>
      </c>
      <c r="E12" s="2">
        <v>3.5999999999999997E-2</v>
      </c>
      <c r="F12" s="2">
        <v>4.2000000000000003E-2</v>
      </c>
      <c r="G12" s="2">
        <v>4.8000000000000001E-2</v>
      </c>
      <c r="H12" s="2">
        <v>5.2999999999999999E-2</v>
      </c>
      <c r="I12" s="2">
        <v>5.8999999999999997E-2</v>
      </c>
      <c r="J12" s="2">
        <v>6.5000000000000002E-2</v>
      </c>
      <c r="K12" s="2">
        <v>7.0999999999999994E-2</v>
      </c>
      <c r="L12" s="2">
        <v>7.6999999999999999E-2</v>
      </c>
      <c r="M12" s="2">
        <v>8.2000000000000003E-2</v>
      </c>
      <c r="N12" s="2">
        <v>8.7999999999999995E-2</v>
      </c>
      <c r="O12" s="3">
        <v>-7.1999999999999995E-2</v>
      </c>
      <c r="P12" s="4">
        <f>IF(Table17[[#This Row],[Party]]="Republican",1,0)</f>
        <v>1</v>
      </c>
      <c r="Q12" s="4">
        <f>IF(Table17[[#This Row],[Party]]="Democratic",1,0)</f>
        <v>0</v>
      </c>
      <c r="R12" s="2">
        <f>IF(Table17[[#This Row],[Party]]="Republican",Table17[[#This Row],[100%Stock]],"null")</f>
        <v>8.7999999999999995E-2</v>
      </c>
      <c r="S12" s="2">
        <f>IF(Table17[[#This Row],[Party]]="Republican",Table17[[#This Row],[100% Bonds]],"null")</f>
        <v>0.03</v>
      </c>
      <c r="T12" s="2">
        <f>IF(Table17[[#This Row],[Party]]="Republican",Table17[[#This Row],[S&amp;P 500 Index ]],"null")</f>
        <v>-7.1999999999999995E-2</v>
      </c>
      <c r="U12" s="2" t="str">
        <f>IF(Table17[[#This Row],[Party]]="Democratic",Table17[[#This Row],[100%Stock]],"null")</f>
        <v>null</v>
      </c>
      <c r="V12" s="2" t="str">
        <f>IF(Table17[[#This Row],[Party]]="Democratic",Table17[[#This Row],[100% Bonds]],"null")</f>
        <v>null</v>
      </c>
      <c r="W12" s="2" t="str">
        <f>IF(Table17[[#This Row],[Party]]="Democratic",Table17[[#This Row],[S&amp;P 500 Index ]],"null")</f>
        <v>null</v>
      </c>
      <c r="X12" s="2">
        <f>ABS(Table17[[#This Row],[S&amp;P 500 Index ]])</f>
        <v>7.1999999999999995E-2</v>
      </c>
      <c r="Y12" s="2">
        <f>ABS(Table17[[#This Row],[100% Bonds]])</f>
        <v>0.03</v>
      </c>
    </row>
    <row r="13" spans="1:25" x14ac:dyDescent="0.6">
      <c r="A13" s="1" t="s">
        <v>45</v>
      </c>
      <c r="B13" s="1" t="s">
        <v>41</v>
      </c>
      <c r="C13" s="1">
        <v>1978</v>
      </c>
      <c r="D13" s="2">
        <v>2.3E-2</v>
      </c>
      <c r="E13" s="2">
        <v>3.6999999999999998E-2</v>
      </c>
      <c r="F13" s="2">
        <v>0.05</v>
      </c>
      <c r="G13" s="2">
        <v>6.3E-2</v>
      </c>
      <c r="H13" s="2">
        <v>7.5999999999999998E-2</v>
      </c>
      <c r="I13" s="2">
        <v>8.8999999999999996E-2</v>
      </c>
      <c r="J13" s="2">
        <v>0.10100000000000001</v>
      </c>
      <c r="K13" s="2">
        <v>0.113</v>
      </c>
      <c r="L13" s="2">
        <v>0.125</v>
      </c>
      <c r="M13" s="2">
        <v>0.13600000000000001</v>
      </c>
      <c r="N13" s="2">
        <v>0.14699999999999999</v>
      </c>
      <c r="O13" s="2">
        <v>6.6000000000000003E-2</v>
      </c>
      <c r="P13" s="4">
        <f>IF(Table17[[#This Row],[Party]]="Republican",1,0)</f>
        <v>0</v>
      </c>
      <c r="Q13" s="4">
        <f>IF(Table17[[#This Row],[Party]]="Democratic",1,0)</f>
        <v>1</v>
      </c>
      <c r="R13" s="2" t="str">
        <f>IF(Table17[[#This Row],[Party]]="Republican",Table17[[#This Row],[100%Stock]],"null")</f>
        <v>null</v>
      </c>
      <c r="S13" s="2" t="str">
        <f>IF(Table17[[#This Row],[Party]]="Republican",Table17[[#This Row],[100% Bonds]],"null")</f>
        <v>null</v>
      </c>
      <c r="T13" s="2" t="str">
        <f>IF(Table17[[#This Row],[Party]]="Republican",Table17[[#This Row],[S&amp;P 500 Index ]],"null")</f>
        <v>null</v>
      </c>
      <c r="U13" s="2">
        <f>IF(Table17[[#This Row],[Party]]="Democratic",Table17[[#This Row],[100%Stock]],"null")</f>
        <v>0.14699999999999999</v>
      </c>
      <c r="V13" s="2">
        <f>IF(Table17[[#This Row],[Party]]="Democratic",Table17[[#This Row],[100% Bonds]],"null")</f>
        <v>2.3E-2</v>
      </c>
      <c r="W13" s="2">
        <f>IF(Table17[[#This Row],[Party]]="Democratic",Table17[[#This Row],[S&amp;P 500 Index ]],"null")</f>
        <v>6.6000000000000003E-2</v>
      </c>
      <c r="X13" s="2">
        <f>ABS(Table17[[#This Row],[S&amp;P 500 Index ]])</f>
        <v>6.6000000000000003E-2</v>
      </c>
      <c r="Y13" s="2">
        <f>ABS(Table17[[#This Row],[100% Bonds]])</f>
        <v>2.3E-2</v>
      </c>
    </row>
    <row r="14" spans="1:25" x14ac:dyDescent="0.6">
      <c r="A14" s="1" t="s">
        <v>45</v>
      </c>
      <c r="B14" s="1" t="s">
        <v>41</v>
      </c>
      <c r="C14" s="1">
        <v>1979</v>
      </c>
      <c r="D14" s="2">
        <v>6.3E-2</v>
      </c>
      <c r="E14" s="2">
        <v>8.5000000000000006E-2</v>
      </c>
      <c r="F14" s="2">
        <v>0.107</v>
      </c>
      <c r="G14" s="2">
        <v>0.129</v>
      </c>
      <c r="H14" s="2">
        <v>0.152</v>
      </c>
      <c r="I14" s="2">
        <v>0.17499999999999999</v>
      </c>
      <c r="J14" s="2">
        <v>0.19800000000000001</v>
      </c>
      <c r="K14" s="2">
        <v>0.222</v>
      </c>
      <c r="L14" s="2">
        <v>0.245</v>
      </c>
      <c r="M14" s="2">
        <v>0.26900000000000002</v>
      </c>
      <c r="N14" s="2">
        <v>0.29299999999999998</v>
      </c>
      <c r="O14" s="2">
        <v>0.184</v>
      </c>
      <c r="P14" s="4">
        <f>IF(Table17[[#This Row],[Party]]="Republican",1,0)</f>
        <v>0</v>
      </c>
      <c r="Q14" s="4">
        <f>IF(Table17[[#This Row],[Party]]="Democratic",1,0)</f>
        <v>1</v>
      </c>
      <c r="R14" s="2" t="str">
        <f>IF(Table17[[#This Row],[Party]]="Republican",Table17[[#This Row],[100%Stock]],"null")</f>
        <v>null</v>
      </c>
      <c r="S14" s="2" t="str">
        <f>IF(Table17[[#This Row],[Party]]="Republican",Table17[[#This Row],[100% Bonds]],"null")</f>
        <v>null</v>
      </c>
      <c r="T14" s="2" t="str">
        <f>IF(Table17[[#This Row],[Party]]="Republican",Table17[[#This Row],[S&amp;P 500 Index ]],"null")</f>
        <v>null</v>
      </c>
      <c r="U14" s="2">
        <f>IF(Table17[[#This Row],[Party]]="Democratic",Table17[[#This Row],[100%Stock]],"null")</f>
        <v>0.29299999999999998</v>
      </c>
      <c r="V14" s="2">
        <f>IF(Table17[[#This Row],[Party]]="Democratic",Table17[[#This Row],[100% Bonds]],"null")</f>
        <v>6.3E-2</v>
      </c>
      <c r="W14" s="2">
        <f>IF(Table17[[#This Row],[Party]]="Democratic",Table17[[#This Row],[S&amp;P 500 Index ]],"null")</f>
        <v>0.184</v>
      </c>
      <c r="X14" s="2">
        <f>ABS(Table17[[#This Row],[S&amp;P 500 Index ]])</f>
        <v>0.184</v>
      </c>
      <c r="Y14" s="2">
        <f>ABS(Table17[[#This Row],[100% Bonds]])</f>
        <v>6.3E-2</v>
      </c>
    </row>
    <row r="15" spans="1:25" x14ac:dyDescent="0.6">
      <c r="A15" s="1" t="s">
        <v>45</v>
      </c>
      <c r="B15" s="1" t="s">
        <v>41</v>
      </c>
      <c r="C15" s="1">
        <v>1980</v>
      </c>
      <c r="D15" s="2">
        <v>6.4000000000000001E-2</v>
      </c>
      <c r="E15" s="2">
        <v>8.6999999999999994E-2</v>
      </c>
      <c r="F15" s="2">
        <v>0.11</v>
      </c>
      <c r="G15" s="2">
        <v>0.13200000000000001</v>
      </c>
      <c r="H15" s="2">
        <v>0.155</v>
      </c>
      <c r="I15" s="2">
        <v>0.17699999999999999</v>
      </c>
      <c r="J15" s="2">
        <v>0.19900000000000001</v>
      </c>
      <c r="K15" s="2">
        <v>0.221</v>
      </c>
      <c r="L15" s="2">
        <v>0.24199999999999999</v>
      </c>
      <c r="M15" s="2">
        <v>0.26300000000000001</v>
      </c>
      <c r="N15" s="2">
        <v>0.28399999999999997</v>
      </c>
      <c r="O15" s="2">
        <v>0.32400000000000001</v>
      </c>
      <c r="P15" s="4">
        <f>IF(Table17[[#This Row],[Party]]="Republican",1,0)</f>
        <v>0</v>
      </c>
      <c r="Q15" s="4">
        <f>IF(Table17[[#This Row],[Party]]="Democratic",1,0)</f>
        <v>1</v>
      </c>
      <c r="R15" s="2" t="str">
        <f>IF(Table17[[#This Row],[Party]]="Republican",Table17[[#This Row],[100%Stock]],"null")</f>
        <v>null</v>
      </c>
      <c r="S15" s="2" t="str">
        <f>IF(Table17[[#This Row],[Party]]="Republican",Table17[[#This Row],[100% Bonds]],"null")</f>
        <v>null</v>
      </c>
      <c r="T15" s="2" t="str">
        <f>IF(Table17[[#This Row],[Party]]="Republican",Table17[[#This Row],[S&amp;P 500 Index ]],"null")</f>
        <v>null</v>
      </c>
      <c r="U15" s="2">
        <f>IF(Table17[[#This Row],[Party]]="Democratic",Table17[[#This Row],[100%Stock]],"null")</f>
        <v>0.28399999999999997</v>
      </c>
      <c r="V15" s="2">
        <f>IF(Table17[[#This Row],[Party]]="Democratic",Table17[[#This Row],[100% Bonds]],"null")</f>
        <v>6.4000000000000001E-2</v>
      </c>
      <c r="W15" s="2">
        <f>IF(Table17[[#This Row],[Party]]="Democratic",Table17[[#This Row],[S&amp;P 500 Index ]],"null")</f>
        <v>0.32400000000000001</v>
      </c>
      <c r="X15" s="2">
        <f>ABS(Table17[[#This Row],[S&amp;P 500 Index ]])</f>
        <v>0.32400000000000001</v>
      </c>
      <c r="Y15" s="2">
        <f>ABS(Table17[[#This Row],[100% Bonds]])</f>
        <v>6.4000000000000001E-2</v>
      </c>
    </row>
    <row r="16" spans="1:25" x14ac:dyDescent="0.6">
      <c r="A16" s="1" t="s">
        <v>47</v>
      </c>
      <c r="B16" s="1" t="s">
        <v>43</v>
      </c>
      <c r="C16" s="1">
        <v>1981</v>
      </c>
      <c r="D16" s="2">
        <v>9.6000000000000002E-2</v>
      </c>
      <c r="E16" s="2">
        <v>9.4E-2</v>
      </c>
      <c r="F16" s="2">
        <v>9.1999999999999998E-2</v>
      </c>
      <c r="G16" s="2">
        <v>0.09</v>
      </c>
      <c r="H16" s="2">
        <v>8.6999999999999994E-2</v>
      </c>
      <c r="I16" s="2">
        <v>8.5000000000000006E-2</v>
      </c>
      <c r="J16" s="2">
        <v>8.2000000000000003E-2</v>
      </c>
      <c r="K16" s="2">
        <v>0.08</v>
      </c>
      <c r="L16" s="2">
        <v>7.6999999999999999E-2</v>
      </c>
      <c r="M16" s="2">
        <v>7.3999999999999996E-2</v>
      </c>
      <c r="N16" s="2">
        <v>7.0999999999999994E-2</v>
      </c>
      <c r="O16" s="3">
        <v>-4.9000000000000002E-2</v>
      </c>
      <c r="P16" s="4">
        <f>IF(Table17[[#This Row],[Party]]="Republican",1,0)</f>
        <v>1</v>
      </c>
      <c r="Q16" s="4">
        <f>IF(Table17[[#This Row],[Party]]="Democratic",1,0)</f>
        <v>0</v>
      </c>
      <c r="R16" s="2">
        <f>IF(Table17[[#This Row],[Party]]="Republican",Table17[[#This Row],[100%Stock]],"null")</f>
        <v>7.0999999999999994E-2</v>
      </c>
      <c r="S16" s="2">
        <f>IF(Table17[[#This Row],[Party]]="Republican",Table17[[#This Row],[100% Bonds]],"null")</f>
        <v>9.6000000000000002E-2</v>
      </c>
      <c r="T16" s="2">
        <f>IF(Table17[[#This Row],[Party]]="Republican",Table17[[#This Row],[S&amp;P 500 Index ]],"null")</f>
        <v>-4.9000000000000002E-2</v>
      </c>
      <c r="U16" s="2" t="str">
        <f>IF(Table17[[#This Row],[Party]]="Democratic",Table17[[#This Row],[100%Stock]],"null")</f>
        <v>null</v>
      </c>
      <c r="V16" s="2" t="str">
        <f>IF(Table17[[#This Row],[Party]]="Democratic",Table17[[#This Row],[100% Bonds]],"null")</f>
        <v>null</v>
      </c>
      <c r="W16" s="2" t="str">
        <f>IF(Table17[[#This Row],[Party]]="Democratic",Table17[[#This Row],[S&amp;P 500 Index ]],"null")</f>
        <v>null</v>
      </c>
      <c r="X16" s="2">
        <f>ABS(Table17[[#This Row],[S&amp;P 500 Index ]])</f>
        <v>4.9000000000000002E-2</v>
      </c>
      <c r="Y16" s="2">
        <f>ABS(Table17[[#This Row],[100% Bonds]])</f>
        <v>9.6000000000000002E-2</v>
      </c>
    </row>
    <row r="17" spans="1:26" x14ac:dyDescent="0.6">
      <c r="A17" s="1" t="s">
        <v>47</v>
      </c>
      <c r="B17" s="1" t="s">
        <v>43</v>
      </c>
      <c r="C17" s="1">
        <v>1983</v>
      </c>
      <c r="D17" s="2">
        <v>7.4999999999999997E-2</v>
      </c>
      <c r="E17" s="2">
        <v>0.10100000000000001</v>
      </c>
      <c r="F17" s="2">
        <v>0.127</v>
      </c>
      <c r="G17" s="2">
        <v>0.154</v>
      </c>
      <c r="H17" s="2">
        <v>0.18099999999999999</v>
      </c>
      <c r="I17" s="2">
        <v>0.20899999999999999</v>
      </c>
      <c r="J17" s="2">
        <v>0.23699999999999999</v>
      </c>
      <c r="K17" s="2">
        <v>0.26600000000000001</v>
      </c>
      <c r="L17" s="2">
        <v>0.29499999999999998</v>
      </c>
      <c r="M17" s="2">
        <v>0.32500000000000001</v>
      </c>
      <c r="N17" s="2">
        <v>0.35499999999999998</v>
      </c>
      <c r="O17" s="2">
        <v>0.22500000000000001</v>
      </c>
      <c r="P17" s="4">
        <f>IF(Table17[[#This Row],[Party]]="Republican",1,0)</f>
        <v>1</v>
      </c>
      <c r="Q17" s="4">
        <f>IF(Table17[[#This Row],[Party]]="Democratic",1,0)</f>
        <v>0</v>
      </c>
      <c r="R17" s="2">
        <f>IF(Table17[[#This Row],[Party]]="Republican",Table17[[#This Row],[100%Stock]],"null")</f>
        <v>0.35499999999999998</v>
      </c>
      <c r="S17" s="2">
        <f>IF(Table17[[#This Row],[Party]]="Republican",Table17[[#This Row],[100% Bonds]],"null")</f>
        <v>7.4999999999999997E-2</v>
      </c>
      <c r="T17" s="2">
        <f>IF(Table17[[#This Row],[Party]]="Republican",Table17[[#This Row],[S&amp;P 500 Index ]],"null")</f>
        <v>0.22500000000000001</v>
      </c>
      <c r="U17" s="2" t="str">
        <f>IF(Table17[[#This Row],[Party]]="Democratic",Table17[[#This Row],[100%Stock]],"null")</f>
        <v>null</v>
      </c>
      <c r="V17" s="2" t="str">
        <f>IF(Table17[[#This Row],[Party]]="Democratic",Table17[[#This Row],[100% Bonds]],"null")</f>
        <v>null</v>
      </c>
      <c r="W17" s="2" t="str">
        <f>IF(Table17[[#This Row],[Party]]="Democratic",Table17[[#This Row],[S&amp;P 500 Index ]],"null")</f>
        <v>null</v>
      </c>
      <c r="X17" s="2">
        <f>ABS(Table17[[#This Row],[S&amp;P 500 Index ]])</f>
        <v>0.22500000000000001</v>
      </c>
      <c r="Y17" s="2">
        <f>ABS(Table17[[#This Row],[100% Bonds]])</f>
        <v>7.4999999999999997E-2</v>
      </c>
    </row>
    <row r="18" spans="1:26" x14ac:dyDescent="0.6">
      <c r="A18" s="1" t="s">
        <v>47</v>
      </c>
      <c r="B18" s="1" t="s">
        <v>43</v>
      </c>
      <c r="C18" s="1">
        <v>1987</v>
      </c>
      <c r="D18" s="2">
        <v>0.03</v>
      </c>
      <c r="E18" s="2">
        <v>3.1E-2</v>
      </c>
      <c r="F18" s="2">
        <v>3.1E-2</v>
      </c>
      <c r="G18" s="2">
        <v>0.03</v>
      </c>
      <c r="H18" s="2">
        <v>2.8000000000000001E-2</v>
      </c>
      <c r="I18" s="2">
        <v>2.4E-2</v>
      </c>
      <c r="J18" s="2">
        <v>1.9E-2</v>
      </c>
      <c r="K18" s="2">
        <v>1.2999999999999999E-2</v>
      </c>
      <c r="L18" s="2">
        <v>6.0000000000000001E-3</v>
      </c>
      <c r="M18" s="3">
        <v>-3.0000000000000001E-3</v>
      </c>
      <c r="N18" s="3">
        <v>-1.2999999999999999E-2</v>
      </c>
      <c r="O18" s="2">
        <v>5.1999999999999998E-2</v>
      </c>
      <c r="P18" s="4">
        <f>IF(Table17[[#This Row],[Party]]="Republican",1,0)</f>
        <v>1</v>
      </c>
      <c r="Q18" s="4">
        <f>IF(Table17[[#This Row],[Party]]="Democratic",1,0)</f>
        <v>0</v>
      </c>
      <c r="R18" s="2">
        <f>IF(Table17[[#This Row],[Party]]="Republican",Table17[[#This Row],[100%Stock]],"null")</f>
        <v>-1.2999999999999999E-2</v>
      </c>
      <c r="S18" s="2">
        <f>IF(Table17[[#This Row],[Party]]="Republican",Table17[[#This Row],[100% Bonds]],"null")</f>
        <v>0.03</v>
      </c>
      <c r="T18" s="2">
        <f>IF(Table17[[#This Row],[Party]]="Republican",Table17[[#This Row],[S&amp;P 500 Index ]],"null")</f>
        <v>5.1999999999999998E-2</v>
      </c>
      <c r="U18" s="2" t="str">
        <f>IF(Table17[[#This Row],[Party]]="Democratic",Table17[[#This Row],[100%Stock]],"null")</f>
        <v>null</v>
      </c>
      <c r="V18" s="2" t="str">
        <f>IF(Table17[[#This Row],[Party]]="Democratic",Table17[[#This Row],[100% Bonds]],"null")</f>
        <v>null</v>
      </c>
      <c r="W18" s="2" t="str">
        <f>IF(Table17[[#This Row],[Party]]="Democratic",Table17[[#This Row],[S&amp;P 500 Index ]],"null")</f>
        <v>null</v>
      </c>
      <c r="X18" s="2">
        <f>ABS(Table17[[#This Row],[S&amp;P 500 Index ]])</f>
        <v>5.1999999999999998E-2</v>
      </c>
      <c r="Y18" s="2">
        <f>ABS(Table17[[#This Row],[100% Bonds]])</f>
        <v>0.03</v>
      </c>
    </row>
    <row r="19" spans="1:26" x14ac:dyDescent="0.6">
      <c r="A19" s="1" t="s">
        <v>47</v>
      </c>
      <c r="B19" s="1" t="s">
        <v>43</v>
      </c>
      <c r="C19" s="1">
        <v>1988</v>
      </c>
      <c r="D19" s="2">
        <v>6.6000000000000003E-2</v>
      </c>
      <c r="E19" s="2">
        <v>8.5000000000000006E-2</v>
      </c>
      <c r="F19" s="2">
        <v>0.104</v>
      </c>
      <c r="G19" s="2">
        <v>0.122</v>
      </c>
      <c r="H19" s="2">
        <v>0.14199999999999999</v>
      </c>
      <c r="I19" s="2">
        <v>0.161</v>
      </c>
      <c r="J19" s="2">
        <v>0.18099999999999999</v>
      </c>
      <c r="K19" s="2">
        <v>0.2</v>
      </c>
      <c r="L19" s="2">
        <v>0.221</v>
      </c>
      <c r="M19" s="2">
        <v>0.24099999999999999</v>
      </c>
      <c r="N19" s="2">
        <v>0.26100000000000001</v>
      </c>
      <c r="O19" s="2">
        <v>0.16800000000000001</v>
      </c>
      <c r="P19" s="4">
        <f>IF(Table17[[#This Row],[Party]]="Republican",1,0)</f>
        <v>1</v>
      </c>
      <c r="Q19" s="4">
        <f>IF(Table17[[#This Row],[Party]]="Democratic",1,0)</f>
        <v>0</v>
      </c>
      <c r="R19" s="2">
        <f>IF(Table17[[#This Row],[Party]]="Republican",Table17[[#This Row],[100%Stock]],"null")</f>
        <v>0.26100000000000001</v>
      </c>
      <c r="S19" s="2">
        <f>IF(Table17[[#This Row],[Party]]="Republican",Table17[[#This Row],[100% Bonds]],"null")</f>
        <v>6.6000000000000003E-2</v>
      </c>
      <c r="T19" s="2">
        <f>IF(Table17[[#This Row],[Party]]="Republican",Table17[[#This Row],[S&amp;P 500 Index ]],"null")</f>
        <v>0.16800000000000001</v>
      </c>
      <c r="U19" s="2" t="str">
        <f>IF(Table17[[#This Row],[Party]]="Democratic",Table17[[#This Row],[100%Stock]],"null")</f>
        <v>null</v>
      </c>
      <c r="V19" s="2" t="str">
        <f>IF(Table17[[#This Row],[Party]]="Democratic",Table17[[#This Row],[100% Bonds]],"null")</f>
        <v>null</v>
      </c>
      <c r="W19" s="2" t="str">
        <f>IF(Table17[[#This Row],[Party]]="Democratic",Table17[[#This Row],[S&amp;P 500 Index ]],"null")</f>
        <v>null</v>
      </c>
      <c r="X19" s="2">
        <f>ABS(Table17[[#This Row],[S&amp;P 500 Index ]])</f>
        <v>0.16800000000000001</v>
      </c>
      <c r="Y19" s="2">
        <f>ABS(Table17[[#This Row],[100% Bonds]])</f>
        <v>6.6000000000000003E-2</v>
      </c>
    </row>
    <row r="20" spans="1:26" x14ac:dyDescent="0.6">
      <c r="A20" s="1" t="s">
        <v>48</v>
      </c>
      <c r="B20" s="1" t="s">
        <v>43</v>
      </c>
      <c r="C20" s="1">
        <v>1990</v>
      </c>
      <c r="D20" s="2">
        <v>9.2999999999999999E-2</v>
      </c>
      <c r="E20" s="2">
        <v>6.6000000000000003E-2</v>
      </c>
      <c r="F20" s="2">
        <v>0.04</v>
      </c>
      <c r="G20" s="2">
        <v>1.2999999999999999E-2</v>
      </c>
      <c r="H20" s="3">
        <v>-1.2E-2</v>
      </c>
      <c r="I20" s="3">
        <v>-3.7999999999999999E-2</v>
      </c>
      <c r="J20" s="3">
        <v>-6.3E-2</v>
      </c>
      <c r="K20" s="3">
        <v>-8.7999999999999995E-2</v>
      </c>
      <c r="L20" s="3">
        <v>-0.113</v>
      </c>
      <c r="M20" s="3">
        <v>-0.13700000000000001</v>
      </c>
      <c r="N20" s="3">
        <v>-0.161</v>
      </c>
      <c r="O20" s="3">
        <v>-3.1E-2</v>
      </c>
      <c r="P20" s="4">
        <f>IF(Table17[[#This Row],[Party]]="Republican",1,0)</f>
        <v>1</v>
      </c>
      <c r="Q20" s="4">
        <f>IF(Table17[[#This Row],[Party]]="Democratic",1,0)</f>
        <v>0</v>
      </c>
      <c r="R20" s="2">
        <f>IF(Table17[[#This Row],[Party]]="Republican",Table17[[#This Row],[100%Stock]],"null")</f>
        <v>-0.161</v>
      </c>
      <c r="S20" s="2">
        <f>IF(Table17[[#This Row],[Party]]="Republican",Table17[[#This Row],[100% Bonds]],"null")</f>
        <v>9.2999999999999999E-2</v>
      </c>
      <c r="T20" s="2">
        <f>IF(Table17[[#This Row],[Party]]="Republican",Table17[[#This Row],[S&amp;P 500 Index ]],"null")</f>
        <v>-3.1E-2</v>
      </c>
      <c r="U20" s="2" t="str">
        <f>IF(Table17[[#This Row],[Party]]="Democratic",Table17[[#This Row],[100%Stock]],"null")</f>
        <v>null</v>
      </c>
      <c r="V20" s="2" t="str">
        <f>IF(Table17[[#This Row],[Party]]="Democratic",Table17[[#This Row],[100% Bonds]],"null")</f>
        <v>null</v>
      </c>
      <c r="W20" s="2" t="str">
        <f>IF(Table17[[#This Row],[Party]]="Democratic",Table17[[#This Row],[S&amp;P 500 Index ]],"null")</f>
        <v>null</v>
      </c>
      <c r="X20" s="2">
        <f>ABS(Table17[[#This Row],[S&amp;P 500 Index ]])</f>
        <v>3.1E-2</v>
      </c>
      <c r="Y20" s="2">
        <f>ABS(Table17[[#This Row],[100% Bonds]])</f>
        <v>9.2999999999999999E-2</v>
      </c>
    </row>
    <row r="21" spans="1:26" x14ac:dyDescent="0.6">
      <c r="A21" s="1" t="s">
        <v>48</v>
      </c>
      <c r="B21" s="1" t="s">
        <v>43</v>
      </c>
      <c r="C21" s="1">
        <v>1992</v>
      </c>
      <c r="D21" s="2">
        <v>7.1999999999999995E-2</v>
      </c>
      <c r="E21" s="2">
        <v>8.5000000000000006E-2</v>
      </c>
      <c r="F21" s="2">
        <v>9.8000000000000004E-2</v>
      </c>
      <c r="G21" s="2">
        <v>0.111</v>
      </c>
      <c r="H21" s="2">
        <v>0.124</v>
      </c>
      <c r="I21" s="2">
        <v>0.13700000000000001</v>
      </c>
      <c r="J21" s="2">
        <v>0.15</v>
      </c>
      <c r="K21" s="2">
        <v>0.16300000000000001</v>
      </c>
      <c r="L21" s="2">
        <v>0.17599999999999999</v>
      </c>
      <c r="M21" s="2">
        <v>0.189</v>
      </c>
      <c r="N21" s="2">
        <v>0.20200000000000001</v>
      </c>
      <c r="O21" s="2">
        <v>7.5999999999999998E-2</v>
      </c>
      <c r="P21" s="4">
        <f>IF(Table17[[#This Row],[Party]]="Republican",1,0)</f>
        <v>1</v>
      </c>
      <c r="Q21" s="4">
        <f>IF(Table17[[#This Row],[Party]]="Democratic",1,0)</f>
        <v>0</v>
      </c>
      <c r="R21" s="2">
        <f>IF(Table17[[#This Row],[Party]]="Republican",Table17[[#This Row],[100%Stock]],"null")</f>
        <v>0.20200000000000001</v>
      </c>
      <c r="S21" s="2">
        <f>IF(Table17[[#This Row],[Party]]="Republican",Table17[[#This Row],[100% Bonds]],"null")</f>
        <v>7.1999999999999995E-2</v>
      </c>
      <c r="T21" s="2">
        <f>IF(Table17[[#This Row],[Party]]="Republican",Table17[[#This Row],[S&amp;P 500 Index ]],"null")</f>
        <v>7.5999999999999998E-2</v>
      </c>
      <c r="U21" s="2" t="str">
        <f>IF(Table17[[#This Row],[Party]]="Democratic",Table17[[#This Row],[100%Stock]],"null")</f>
        <v>null</v>
      </c>
      <c r="V21" s="2" t="str">
        <f>IF(Table17[[#This Row],[Party]]="Democratic",Table17[[#This Row],[100% Bonds]],"null")</f>
        <v>null</v>
      </c>
      <c r="W21" s="2" t="str">
        <f>IF(Table17[[#This Row],[Party]]="Democratic",Table17[[#This Row],[S&amp;P 500 Index ]],"null")</f>
        <v>null</v>
      </c>
      <c r="X21" s="2">
        <f>ABS(Table17[[#This Row],[S&amp;P 500 Index ]])</f>
        <v>7.5999999999999998E-2</v>
      </c>
      <c r="Y21" s="2">
        <f>ABS(Table17[[#This Row],[100% Bonds]])</f>
        <v>7.1999999999999995E-2</v>
      </c>
      <c r="Z21">
        <f>8.5-4.7</f>
        <v>3.8</v>
      </c>
    </row>
    <row r="22" spans="1:26" x14ac:dyDescent="0.6">
      <c r="A22" s="1" t="s">
        <v>40</v>
      </c>
      <c r="B22" s="1" t="s">
        <v>41</v>
      </c>
      <c r="C22" s="1">
        <v>1993</v>
      </c>
      <c r="D22" s="2">
        <v>9.7000000000000003E-2</v>
      </c>
      <c r="E22" s="2">
        <v>0.104</v>
      </c>
      <c r="F22" s="2">
        <v>0.111</v>
      </c>
      <c r="G22" s="2">
        <v>0.11700000000000001</v>
      </c>
      <c r="H22" s="2">
        <v>0.124</v>
      </c>
      <c r="I22" s="2">
        <v>0.13100000000000001</v>
      </c>
      <c r="J22" s="2">
        <v>0.13800000000000001</v>
      </c>
      <c r="K22" s="2">
        <v>0.14399999999999999</v>
      </c>
      <c r="L22" s="2">
        <v>0.151</v>
      </c>
      <c r="M22" s="2">
        <v>0.158</v>
      </c>
      <c r="N22" s="2">
        <v>0.16500000000000001</v>
      </c>
      <c r="O22" s="2">
        <v>0.10100000000000001</v>
      </c>
      <c r="P22" s="4">
        <f>IF(Table17[[#This Row],[Party]]="Republican",1,0)</f>
        <v>0</v>
      </c>
      <c r="Q22" s="4">
        <f>IF(Table17[[#This Row],[Party]]="Democratic",1,0)</f>
        <v>1</v>
      </c>
      <c r="R22" s="2" t="str">
        <f>IF(Table17[[#This Row],[Party]]="Republican",Table17[[#This Row],[100%Stock]],"null")</f>
        <v>null</v>
      </c>
      <c r="S22" s="2" t="str">
        <f>IF(Table17[[#This Row],[Party]]="Republican",Table17[[#This Row],[100% Bonds]],"null")</f>
        <v>null</v>
      </c>
      <c r="T22" s="2" t="str">
        <f>IF(Table17[[#This Row],[Party]]="Republican",Table17[[#This Row],[S&amp;P 500 Index ]],"null")</f>
        <v>null</v>
      </c>
      <c r="U22" s="2">
        <f>IF(Table17[[#This Row],[Party]]="Democratic",Table17[[#This Row],[100%Stock]],"null")</f>
        <v>0.16500000000000001</v>
      </c>
      <c r="V22" s="2">
        <f>IF(Table17[[#This Row],[Party]]="Democratic",Table17[[#This Row],[100% Bonds]],"null")</f>
        <v>9.7000000000000003E-2</v>
      </c>
      <c r="W22" s="2">
        <f>IF(Table17[[#This Row],[Party]]="Democratic",Table17[[#This Row],[S&amp;P 500 Index ]],"null")</f>
        <v>0.10100000000000001</v>
      </c>
      <c r="X22" s="2">
        <f>ABS(Table17[[#This Row],[S&amp;P 500 Index ]])</f>
        <v>0.10100000000000001</v>
      </c>
      <c r="Y22" s="2">
        <f>ABS(Table17[[#This Row],[100% Bonds]])</f>
        <v>9.7000000000000003E-2</v>
      </c>
    </row>
    <row r="23" spans="1:26" x14ac:dyDescent="0.6">
      <c r="A23" s="1" t="s">
        <v>40</v>
      </c>
      <c r="B23" s="1" t="s">
        <v>41</v>
      </c>
      <c r="C23" s="1">
        <v>1994</v>
      </c>
      <c r="D23" s="3">
        <v>-3.2000000000000001E-2</v>
      </c>
      <c r="E23" s="3">
        <v>-2.9000000000000001E-2</v>
      </c>
      <c r="F23" s="3">
        <v>-2.7E-2</v>
      </c>
      <c r="G23" s="3">
        <v>-2.4E-2</v>
      </c>
      <c r="H23" s="3">
        <v>-2.1999999999999999E-2</v>
      </c>
      <c r="I23" s="3">
        <v>-0.02</v>
      </c>
      <c r="J23" s="3">
        <v>-1.7000000000000001E-2</v>
      </c>
      <c r="K23" s="3">
        <v>-1.4999999999999999E-2</v>
      </c>
      <c r="L23" s="3">
        <v>-1.2999999999999999E-2</v>
      </c>
      <c r="M23" s="3">
        <v>-0.01</v>
      </c>
      <c r="N23" s="3">
        <v>-8.0000000000000002E-3</v>
      </c>
      <c r="O23" s="2">
        <v>1.2999999999999999E-2</v>
      </c>
      <c r="P23" s="4">
        <f>IF(Table17[[#This Row],[Party]]="Republican",1,0)</f>
        <v>0</v>
      </c>
      <c r="Q23" s="4">
        <f>IF(Table17[[#This Row],[Party]]="Democratic",1,0)</f>
        <v>1</v>
      </c>
      <c r="R23" s="2" t="str">
        <f>IF(Table17[[#This Row],[Party]]="Republican",Table17[[#This Row],[100%Stock]],"null")</f>
        <v>null</v>
      </c>
      <c r="S23" s="2" t="str">
        <f>IF(Table17[[#This Row],[Party]]="Republican",Table17[[#This Row],[100% Bonds]],"null")</f>
        <v>null</v>
      </c>
      <c r="T23" s="2" t="str">
        <f>IF(Table17[[#This Row],[Party]]="Republican",Table17[[#This Row],[S&amp;P 500 Index ]],"null")</f>
        <v>null</v>
      </c>
      <c r="U23" s="2">
        <f>IF(Table17[[#This Row],[Party]]="Democratic",Table17[[#This Row],[100%Stock]],"null")</f>
        <v>-8.0000000000000002E-3</v>
      </c>
      <c r="V23" s="2">
        <f>IF(Table17[[#This Row],[Party]]="Democratic",Table17[[#This Row],[100% Bonds]],"null")</f>
        <v>-3.2000000000000001E-2</v>
      </c>
      <c r="W23" s="2">
        <f>IF(Table17[[#This Row],[Party]]="Democratic",Table17[[#This Row],[S&amp;P 500 Index ]],"null")</f>
        <v>1.2999999999999999E-2</v>
      </c>
      <c r="X23" s="2">
        <f>ABS(Table17[[#This Row],[S&amp;P 500 Index ]])</f>
        <v>1.2999999999999999E-2</v>
      </c>
      <c r="Y23" s="2">
        <f>ABS(Table17[[#This Row],[100% Bonds]])</f>
        <v>3.2000000000000001E-2</v>
      </c>
    </row>
    <row r="24" spans="1:26" x14ac:dyDescent="0.6">
      <c r="A24" s="1" t="s">
        <v>40</v>
      </c>
      <c r="B24" s="1" t="s">
        <v>41</v>
      </c>
      <c r="C24" s="1">
        <v>1996</v>
      </c>
      <c r="D24" s="2">
        <v>3.1E-2</v>
      </c>
      <c r="E24" s="2">
        <v>4.9000000000000002E-2</v>
      </c>
      <c r="F24" s="2">
        <v>6.6000000000000003E-2</v>
      </c>
      <c r="G24" s="2">
        <v>8.3000000000000004E-2</v>
      </c>
      <c r="H24" s="2">
        <v>0.10100000000000001</v>
      </c>
      <c r="I24" s="2">
        <v>0.11899999999999999</v>
      </c>
      <c r="J24" s="2">
        <v>0.13700000000000001</v>
      </c>
      <c r="K24" s="2">
        <v>0.155</v>
      </c>
      <c r="L24" s="2">
        <v>0.17299999999999999</v>
      </c>
      <c r="M24" s="2">
        <v>0.191</v>
      </c>
      <c r="N24" s="2">
        <v>0.20899999999999999</v>
      </c>
      <c r="O24" s="2">
        <v>0.23</v>
      </c>
      <c r="P24" s="4">
        <f>IF(Table17[[#This Row],[Party]]="Republican",1,0)</f>
        <v>0</v>
      </c>
      <c r="Q24" s="4">
        <f>IF(Table17[[#This Row],[Party]]="Democratic",1,0)</f>
        <v>1</v>
      </c>
      <c r="R24" s="2" t="str">
        <f>IF(Table17[[#This Row],[Party]]="Republican",Table17[[#This Row],[100%Stock]],"null")</f>
        <v>null</v>
      </c>
      <c r="S24" s="2" t="str">
        <f>IF(Table17[[#This Row],[Party]]="Republican",Table17[[#This Row],[100% Bonds]],"null")</f>
        <v>null</v>
      </c>
      <c r="T24" s="2" t="str">
        <f>IF(Table17[[#This Row],[Party]]="Republican",Table17[[#This Row],[S&amp;P 500 Index ]],"null")</f>
        <v>null</v>
      </c>
      <c r="U24" s="2">
        <f>IF(Table17[[#This Row],[Party]]="Democratic",Table17[[#This Row],[100%Stock]],"null")</f>
        <v>0.20899999999999999</v>
      </c>
      <c r="V24" s="2">
        <f>IF(Table17[[#This Row],[Party]]="Democratic",Table17[[#This Row],[100% Bonds]],"null")</f>
        <v>3.1E-2</v>
      </c>
      <c r="W24" s="2">
        <f>IF(Table17[[#This Row],[Party]]="Democratic",Table17[[#This Row],[S&amp;P 500 Index ]],"null")</f>
        <v>0.23</v>
      </c>
      <c r="X24" s="2">
        <f>ABS(Table17[[#This Row],[S&amp;P 500 Index ]])</f>
        <v>0.23</v>
      </c>
      <c r="Y24" s="2">
        <f>ABS(Table17[[#This Row],[100% Bonds]])</f>
        <v>3.1E-2</v>
      </c>
    </row>
    <row r="25" spans="1:26" x14ac:dyDescent="0.6">
      <c r="A25" s="1" t="s">
        <v>40</v>
      </c>
      <c r="B25" s="1" t="s">
        <v>41</v>
      </c>
      <c r="C25" s="1">
        <v>1997</v>
      </c>
      <c r="D25" s="2">
        <v>7.0000000000000007E-2</v>
      </c>
      <c r="E25" s="2">
        <v>9.0999999999999998E-2</v>
      </c>
      <c r="F25" s="2">
        <v>0.113</v>
      </c>
      <c r="G25" s="2">
        <v>0.13500000000000001</v>
      </c>
      <c r="H25" s="2">
        <v>0.157</v>
      </c>
      <c r="I25" s="2">
        <v>0.17899999999999999</v>
      </c>
      <c r="J25" s="2">
        <v>0.20100000000000001</v>
      </c>
      <c r="K25" s="2">
        <v>0.224</v>
      </c>
      <c r="L25" s="2">
        <v>0.247</v>
      </c>
      <c r="M25" s="2">
        <v>0.27</v>
      </c>
      <c r="N25" s="2">
        <v>0.29299999999999998</v>
      </c>
      <c r="O25" s="2">
        <v>0.33400000000000002</v>
      </c>
      <c r="P25" s="4">
        <f>IF(Table17[[#This Row],[Party]]="Republican",1,0)</f>
        <v>0</v>
      </c>
      <c r="Q25" s="4">
        <f>IF(Table17[[#This Row],[Party]]="Democratic",1,0)</f>
        <v>1</v>
      </c>
      <c r="R25" s="2" t="str">
        <f>IF(Table17[[#This Row],[Party]]="Republican",Table17[[#This Row],[100%Stock]],"null")</f>
        <v>null</v>
      </c>
      <c r="S25" s="2" t="str">
        <f>IF(Table17[[#This Row],[Party]]="Republican",Table17[[#This Row],[100% Bonds]],"null")</f>
        <v>null</v>
      </c>
      <c r="T25" s="2" t="str">
        <f>IF(Table17[[#This Row],[Party]]="Republican",Table17[[#This Row],[S&amp;P 500 Index ]],"null")</f>
        <v>null</v>
      </c>
      <c r="U25" s="2">
        <f>IF(Table17[[#This Row],[Party]]="Democratic",Table17[[#This Row],[100%Stock]],"null")</f>
        <v>0.29299999999999998</v>
      </c>
      <c r="V25" s="2">
        <f>IF(Table17[[#This Row],[Party]]="Democratic",Table17[[#This Row],[100% Bonds]],"null")</f>
        <v>7.0000000000000007E-2</v>
      </c>
      <c r="W25" s="2">
        <f>IF(Table17[[#This Row],[Party]]="Democratic",Table17[[#This Row],[S&amp;P 500 Index ]],"null")</f>
        <v>0.33400000000000002</v>
      </c>
      <c r="X25" s="2">
        <f>ABS(Table17[[#This Row],[S&amp;P 500 Index ]])</f>
        <v>0.33400000000000002</v>
      </c>
      <c r="Y25" s="2">
        <f>ABS(Table17[[#This Row],[100% Bonds]])</f>
        <v>7.0000000000000007E-2</v>
      </c>
    </row>
    <row r="26" spans="1:26" x14ac:dyDescent="0.6">
      <c r="A26" s="1" t="s">
        <v>40</v>
      </c>
      <c r="B26" s="1" t="s">
        <v>41</v>
      </c>
      <c r="C26" s="1">
        <v>1998</v>
      </c>
      <c r="D26" s="2">
        <v>8.1000000000000003E-2</v>
      </c>
      <c r="E26" s="2">
        <v>8.2000000000000003E-2</v>
      </c>
      <c r="F26" s="2">
        <v>8.3000000000000004E-2</v>
      </c>
      <c r="G26" s="2">
        <v>8.2000000000000003E-2</v>
      </c>
      <c r="H26" s="2">
        <v>8.2000000000000003E-2</v>
      </c>
      <c r="I26" s="2">
        <v>0.08</v>
      </c>
      <c r="J26" s="2">
        <v>7.8E-2</v>
      </c>
      <c r="K26" s="2">
        <v>7.4999999999999997E-2</v>
      </c>
      <c r="L26" s="2">
        <v>7.0999999999999994E-2</v>
      </c>
      <c r="M26" s="2">
        <v>6.7000000000000004E-2</v>
      </c>
      <c r="N26" s="2">
        <v>6.0999999999999999E-2</v>
      </c>
      <c r="O26" s="2">
        <v>0.28599999999999998</v>
      </c>
      <c r="P26" s="4">
        <f>IF(Table17[[#This Row],[Party]]="Republican",1,0)</f>
        <v>0</v>
      </c>
      <c r="Q26" s="4">
        <f>IF(Table17[[#This Row],[Party]]="Democratic",1,0)</f>
        <v>1</v>
      </c>
      <c r="R26" s="2" t="str">
        <f>IF(Table17[[#This Row],[Party]]="Republican",Table17[[#This Row],[100%Stock]],"null")</f>
        <v>null</v>
      </c>
      <c r="S26" s="2" t="str">
        <f>IF(Table17[[#This Row],[Party]]="Republican",Table17[[#This Row],[100% Bonds]],"null")</f>
        <v>null</v>
      </c>
      <c r="T26" s="2" t="str">
        <f>IF(Table17[[#This Row],[Party]]="Republican",Table17[[#This Row],[S&amp;P 500 Index ]],"null")</f>
        <v>null</v>
      </c>
      <c r="U26" s="2">
        <f>IF(Table17[[#This Row],[Party]]="Democratic",Table17[[#This Row],[100%Stock]],"null")</f>
        <v>6.0999999999999999E-2</v>
      </c>
      <c r="V26" s="2">
        <f>IF(Table17[[#This Row],[Party]]="Democratic",Table17[[#This Row],[100% Bonds]],"null")</f>
        <v>8.1000000000000003E-2</v>
      </c>
      <c r="W26" s="2">
        <f>IF(Table17[[#This Row],[Party]]="Democratic",Table17[[#This Row],[S&amp;P 500 Index ]],"null")</f>
        <v>0.28599999999999998</v>
      </c>
      <c r="X26" s="2">
        <f>ABS(Table17[[#This Row],[S&amp;P 500 Index ]])</f>
        <v>0.28599999999999998</v>
      </c>
      <c r="Y26" s="2">
        <f>ABS(Table17[[#This Row],[100% Bonds]])</f>
        <v>8.1000000000000003E-2</v>
      </c>
    </row>
    <row r="27" spans="1:26" x14ac:dyDescent="0.6">
      <c r="A27" s="1" t="s">
        <v>40</v>
      </c>
      <c r="B27" s="1" t="s">
        <v>41</v>
      </c>
      <c r="C27" s="1">
        <v>1999</v>
      </c>
      <c r="D27" s="3">
        <v>-5.0000000000000001E-3</v>
      </c>
      <c r="E27" s="2">
        <v>1.2E-2</v>
      </c>
      <c r="F27" s="2">
        <v>2.8000000000000001E-2</v>
      </c>
      <c r="G27" s="2">
        <v>4.4999999999999998E-2</v>
      </c>
      <c r="H27" s="2">
        <v>6.0999999999999999E-2</v>
      </c>
      <c r="I27" s="2">
        <v>7.8E-2</v>
      </c>
      <c r="J27" s="2">
        <v>9.5000000000000001E-2</v>
      </c>
      <c r="K27" s="2">
        <v>0.112</v>
      </c>
      <c r="L27" s="2">
        <v>0.128</v>
      </c>
      <c r="M27" s="2">
        <v>0.14499999999999999</v>
      </c>
      <c r="N27" s="2">
        <v>0.16200000000000001</v>
      </c>
      <c r="O27" s="2">
        <v>0.21</v>
      </c>
      <c r="P27" s="4">
        <f>IF(Table17[[#This Row],[Party]]="Republican",1,0)</f>
        <v>0</v>
      </c>
      <c r="Q27" s="4">
        <f>IF(Table17[[#This Row],[Party]]="Democratic",1,0)</f>
        <v>1</v>
      </c>
      <c r="R27" s="2" t="str">
        <f>IF(Table17[[#This Row],[Party]]="Republican",Table17[[#This Row],[100%Stock]],"null")</f>
        <v>null</v>
      </c>
      <c r="S27" s="2" t="str">
        <f>IF(Table17[[#This Row],[Party]]="Republican",Table17[[#This Row],[100% Bonds]],"null")</f>
        <v>null</v>
      </c>
      <c r="T27" s="2" t="str">
        <f>IF(Table17[[#This Row],[Party]]="Republican",Table17[[#This Row],[S&amp;P 500 Index ]],"null")</f>
        <v>null</v>
      </c>
      <c r="U27" s="2">
        <f>IF(Table17[[#This Row],[Party]]="Democratic",Table17[[#This Row],[100%Stock]],"null")</f>
        <v>0.16200000000000001</v>
      </c>
      <c r="V27" s="2">
        <f>IF(Table17[[#This Row],[Party]]="Democratic",Table17[[#This Row],[100% Bonds]],"null")</f>
        <v>-5.0000000000000001E-3</v>
      </c>
      <c r="W27" s="2">
        <f>IF(Table17[[#This Row],[Party]]="Democratic",Table17[[#This Row],[S&amp;P 500 Index ]],"null")</f>
        <v>0.21</v>
      </c>
      <c r="X27" s="2">
        <f>ABS(Table17[[#This Row],[S&amp;P 500 Index ]])</f>
        <v>0.21</v>
      </c>
      <c r="Y27" s="2">
        <f>ABS(Table17[[#This Row],[100% Bonds]])</f>
        <v>5.0000000000000001E-3</v>
      </c>
    </row>
    <row r="28" spans="1:26" x14ac:dyDescent="0.6">
      <c r="A28" s="1" t="s">
        <v>44</v>
      </c>
      <c r="B28" s="1" t="s">
        <v>43</v>
      </c>
      <c r="C28" s="1">
        <v>2001</v>
      </c>
      <c r="D28" s="2">
        <v>8.1000000000000003E-2</v>
      </c>
      <c r="E28" s="2">
        <v>8.2000000000000003E-2</v>
      </c>
      <c r="F28" s="2">
        <v>8.2000000000000003E-2</v>
      </c>
      <c r="G28" s="2">
        <v>8.2000000000000003E-2</v>
      </c>
      <c r="H28" s="2">
        <v>8.1000000000000003E-2</v>
      </c>
      <c r="I28" s="2">
        <v>0.08</v>
      </c>
      <c r="J28" s="2">
        <v>7.6999999999999999E-2</v>
      </c>
      <c r="K28" s="2">
        <v>7.4999999999999997E-2</v>
      </c>
      <c r="L28" s="2">
        <v>7.1999999999999995E-2</v>
      </c>
      <c r="M28" s="2">
        <v>6.8000000000000005E-2</v>
      </c>
      <c r="N28" s="2">
        <v>6.4000000000000001E-2</v>
      </c>
      <c r="O28" s="3">
        <v>-0.11899999999999999</v>
      </c>
      <c r="P28" s="4">
        <f>IF(Table17[[#This Row],[Party]]="Republican",1,0)</f>
        <v>1</v>
      </c>
      <c r="Q28" s="4">
        <f>IF(Table17[[#This Row],[Party]]="Democratic",1,0)</f>
        <v>0</v>
      </c>
      <c r="R28" s="2">
        <f>IF(Table17[[#This Row],[Party]]="Republican",Table17[[#This Row],[100%Stock]],"null")</f>
        <v>6.4000000000000001E-2</v>
      </c>
      <c r="S28" s="2">
        <f>IF(Table17[[#This Row],[Party]]="Republican",Table17[[#This Row],[100% Bonds]],"null")</f>
        <v>8.1000000000000003E-2</v>
      </c>
      <c r="T28" s="2">
        <f>IF(Table17[[#This Row],[Party]]="Republican",Table17[[#This Row],[S&amp;P 500 Index ]],"null")</f>
        <v>-0.11899999999999999</v>
      </c>
      <c r="U28" s="2" t="str">
        <f>IF(Table17[[#This Row],[Party]]="Democratic",Table17[[#This Row],[100%Stock]],"null")</f>
        <v>null</v>
      </c>
      <c r="V28" s="2" t="str">
        <f>IF(Table17[[#This Row],[Party]]="Democratic",Table17[[#This Row],[100% Bonds]],"null")</f>
        <v>null</v>
      </c>
      <c r="W28" s="2" t="str">
        <f>IF(Table17[[#This Row],[Party]]="Democratic",Table17[[#This Row],[S&amp;P 500 Index ]],"null")</f>
        <v>null</v>
      </c>
      <c r="X28" s="2">
        <f>ABS(Table17[[#This Row],[S&amp;P 500 Index ]])</f>
        <v>0.11899999999999999</v>
      </c>
      <c r="Y28" s="2">
        <f>ABS(Table17[[#This Row],[100% Bonds]])</f>
        <v>8.1000000000000003E-2</v>
      </c>
    </row>
    <row r="29" spans="1:26" x14ac:dyDescent="0.6">
      <c r="A29" s="1" t="s">
        <v>44</v>
      </c>
      <c r="B29" s="1" t="s">
        <v>43</v>
      </c>
      <c r="C29" s="1">
        <v>2003</v>
      </c>
      <c r="D29" s="2">
        <v>3.5000000000000003E-2</v>
      </c>
      <c r="E29" s="2">
        <v>7.0000000000000007E-2</v>
      </c>
      <c r="F29" s="2">
        <v>0.107</v>
      </c>
      <c r="G29" s="2">
        <v>0.14499999999999999</v>
      </c>
      <c r="H29" s="2">
        <v>0.183</v>
      </c>
      <c r="I29" s="2">
        <v>0.222</v>
      </c>
      <c r="J29" s="2">
        <v>0.26200000000000001</v>
      </c>
      <c r="K29" s="2">
        <v>0.30299999999999999</v>
      </c>
      <c r="L29" s="2">
        <v>0.34499999999999997</v>
      </c>
      <c r="M29" s="2">
        <v>0.38800000000000001</v>
      </c>
      <c r="N29" s="2">
        <v>0.43099999999999999</v>
      </c>
      <c r="O29" s="2">
        <v>0.28699999999999998</v>
      </c>
      <c r="P29" s="4">
        <f>IF(Table17[[#This Row],[Party]]="Republican",1,0)</f>
        <v>1</v>
      </c>
      <c r="Q29" s="4">
        <f>IF(Table17[[#This Row],[Party]]="Democratic",1,0)</f>
        <v>0</v>
      </c>
      <c r="R29" s="2">
        <f>IF(Table17[[#This Row],[Party]]="Republican",Table17[[#This Row],[100%Stock]],"null")</f>
        <v>0.43099999999999999</v>
      </c>
      <c r="S29" s="2">
        <f>IF(Table17[[#This Row],[Party]]="Republican",Table17[[#This Row],[100% Bonds]],"null")</f>
        <v>3.5000000000000003E-2</v>
      </c>
      <c r="T29" s="2">
        <f>IF(Table17[[#This Row],[Party]]="Republican",Table17[[#This Row],[S&amp;P 500 Index ]],"null")</f>
        <v>0.28699999999999998</v>
      </c>
      <c r="U29" s="2" t="str">
        <f>IF(Table17[[#This Row],[Party]]="Democratic",Table17[[#This Row],[100%Stock]],"null")</f>
        <v>null</v>
      </c>
      <c r="V29" s="2" t="str">
        <f>IF(Table17[[#This Row],[Party]]="Democratic",Table17[[#This Row],[100% Bonds]],"null")</f>
        <v>null</v>
      </c>
      <c r="W29" s="2" t="str">
        <f>IF(Table17[[#This Row],[Party]]="Democratic",Table17[[#This Row],[S&amp;P 500 Index ]],"null")</f>
        <v>null</v>
      </c>
      <c r="X29" s="2">
        <f>ABS(Table17[[#This Row],[S&amp;P 500 Index ]])</f>
        <v>0.28699999999999998</v>
      </c>
      <c r="Y29" s="2">
        <f>ABS(Table17[[#This Row],[100% Bonds]])</f>
        <v>3.5000000000000003E-2</v>
      </c>
    </row>
    <row r="30" spans="1:26" x14ac:dyDescent="0.6">
      <c r="A30" s="1" t="s">
        <v>44</v>
      </c>
      <c r="B30" s="1" t="s">
        <v>43</v>
      </c>
      <c r="C30" s="1">
        <v>2004</v>
      </c>
      <c r="D30" s="2">
        <v>0.04</v>
      </c>
      <c r="E30" s="2">
        <v>5.3999999999999999E-2</v>
      </c>
      <c r="F30" s="2">
        <v>6.8000000000000005E-2</v>
      </c>
      <c r="G30" s="2">
        <v>8.2000000000000003E-2</v>
      </c>
      <c r="H30" s="2">
        <v>9.6000000000000002E-2</v>
      </c>
      <c r="I30" s="2">
        <v>0.11</v>
      </c>
      <c r="J30" s="2">
        <v>0.124</v>
      </c>
      <c r="K30" s="2">
        <v>0.13900000000000001</v>
      </c>
      <c r="L30" s="2">
        <v>0.153</v>
      </c>
      <c r="M30" s="2">
        <v>0.16700000000000001</v>
      </c>
      <c r="N30" s="2">
        <v>0.18099999999999999</v>
      </c>
      <c r="O30" s="2">
        <v>0.109</v>
      </c>
      <c r="P30" s="4">
        <f>IF(Table17[[#This Row],[Party]]="Republican",1,0)</f>
        <v>1</v>
      </c>
      <c r="Q30" s="4">
        <f>IF(Table17[[#This Row],[Party]]="Democratic",1,0)</f>
        <v>0</v>
      </c>
      <c r="R30" s="2">
        <f>IF(Table17[[#This Row],[Party]]="Republican",Table17[[#This Row],[100%Stock]],"null")</f>
        <v>0.18099999999999999</v>
      </c>
      <c r="S30" s="2">
        <f>IF(Table17[[#This Row],[Party]]="Republican",Table17[[#This Row],[100% Bonds]],"null")</f>
        <v>0.04</v>
      </c>
      <c r="T30" s="2">
        <f>IF(Table17[[#This Row],[Party]]="Republican",Table17[[#This Row],[S&amp;P 500 Index ]],"null")</f>
        <v>0.109</v>
      </c>
      <c r="U30" s="2" t="str">
        <f>IF(Table17[[#This Row],[Party]]="Democratic",Table17[[#This Row],[100%Stock]],"null")</f>
        <v>null</v>
      </c>
      <c r="V30" s="2" t="str">
        <f>IF(Table17[[#This Row],[Party]]="Democratic",Table17[[#This Row],[100% Bonds]],"null")</f>
        <v>null</v>
      </c>
      <c r="W30" s="2" t="str">
        <f>IF(Table17[[#This Row],[Party]]="Democratic",Table17[[#This Row],[S&amp;P 500 Index ]],"null")</f>
        <v>null</v>
      </c>
      <c r="X30" s="2">
        <f>ABS(Table17[[#This Row],[S&amp;P 500 Index ]])</f>
        <v>0.109</v>
      </c>
      <c r="Y30" s="2">
        <f>ABS(Table17[[#This Row],[100% Bonds]])</f>
        <v>0.04</v>
      </c>
    </row>
    <row r="31" spans="1:26" x14ac:dyDescent="0.6">
      <c r="A31" s="1" t="s">
        <v>44</v>
      </c>
      <c r="B31" s="1" t="s">
        <v>43</v>
      </c>
      <c r="C31" s="1">
        <v>2005</v>
      </c>
      <c r="D31" s="2">
        <v>1.7999999999999999E-2</v>
      </c>
      <c r="E31" s="2">
        <v>2.4E-2</v>
      </c>
      <c r="F31" s="2">
        <v>0.03</v>
      </c>
      <c r="G31" s="2">
        <v>3.5999999999999997E-2</v>
      </c>
      <c r="H31" s="2">
        <v>4.2000000000000003E-2</v>
      </c>
      <c r="I31" s="2">
        <v>4.7E-2</v>
      </c>
      <c r="J31" s="2">
        <v>5.2999999999999999E-2</v>
      </c>
      <c r="K31" s="2">
        <v>5.8000000000000003E-2</v>
      </c>
      <c r="L31" s="2">
        <v>6.3E-2</v>
      </c>
      <c r="M31" s="2">
        <v>6.8000000000000005E-2</v>
      </c>
      <c r="N31" s="2">
        <v>7.2999999999999995E-2</v>
      </c>
      <c r="O31" s="2">
        <v>4.9000000000000002E-2</v>
      </c>
      <c r="P31" s="4">
        <f>IF(Table17[[#This Row],[Party]]="Republican",1,0)</f>
        <v>1</v>
      </c>
      <c r="Q31" s="4">
        <f>IF(Table17[[#This Row],[Party]]="Democratic",1,0)</f>
        <v>0</v>
      </c>
      <c r="R31" s="2">
        <f>IF(Table17[[#This Row],[Party]]="Republican",Table17[[#This Row],[100%Stock]],"null")</f>
        <v>7.2999999999999995E-2</v>
      </c>
      <c r="S31" s="2">
        <f>IF(Table17[[#This Row],[Party]]="Republican",Table17[[#This Row],[100% Bonds]],"null")</f>
        <v>1.7999999999999999E-2</v>
      </c>
      <c r="T31" s="2">
        <f>IF(Table17[[#This Row],[Party]]="Republican",Table17[[#This Row],[S&amp;P 500 Index ]],"null")</f>
        <v>4.9000000000000002E-2</v>
      </c>
      <c r="U31" s="2" t="str">
        <f>IF(Table17[[#This Row],[Party]]="Democratic",Table17[[#This Row],[100%Stock]],"null")</f>
        <v>null</v>
      </c>
      <c r="V31" s="2" t="str">
        <f>IF(Table17[[#This Row],[Party]]="Democratic",Table17[[#This Row],[100% Bonds]],"null")</f>
        <v>null</v>
      </c>
      <c r="W31" s="2" t="str">
        <f>IF(Table17[[#This Row],[Party]]="Democratic",Table17[[#This Row],[S&amp;P 500 Index ]],"null")</f>
        <v>null</v>
      </c>
      <c r="X31" s="2">
        <f>ABS(Table17[[#This Row],[S&amp;P 500 Index ]])</f>
        <v>4.9000000000000002E-2</v>
      </c>
      <c r="Y31" s="2">
        <f>ABS(Table17[[#This Row],[100% Bonds]])</f>
        <v>1.7999999999999999E-2</v>
      </c>
    </row>
    <row r="32" spans="1:26" x14ac:dyDescent="0.6">
      <c r="A32" s="1" t="s">
        <v>44</v>
      </c>
      <c r="B32" s="1" t="s">
        <v>43</v>
      </c>
      <c r="C32" s="1">
        <v>2006</v>
      </c>
      <c r="D32" s="2">
        <v>0.03</v>
      </c>
      <c r="E32" s="2">
        <v>4.4999999999999998E-2</v>
      </c>
      <c r="F32" s="2">
        <v>0.06</v>
      </c>
      <c r="G32" s="2">
        <v>7.5999999999999998E-2</v>
      </c>
      <c r="H32" s="2">
        <v>9.0999999999999998E-2</v>
      </c>
      <c r="I32" s="2">
        <v>0.107</v>
      </c>
      <c r="J32" s="2">
        <v>0.123</v>
      </c>
      <c r="K32" s="2">
        <v>0.13800000000000001</v>
      </c>
      <c r="L32" s="2">
        <v>0.154</v>
      </c>
      <c r="M32" s="2">
        <v>0.17</v>
      </c>
      <c r="N32" s="2">
        <v>0.186</v>
      </c>
      <c r="O32" s="2">
        <v>0.158</v>
      </c>
      <c r="P32" s="4">
        <f>IF(Table17[[#This Row],[Party]]="Republican",1,0)</f>
        <v>1</v>
      </c>
      <c r="Q32" s="4">
        <f>IF(Table17[[#This Row],[Party]]="Democratic",1,0)</f>
        <v>0</v>
      </c>
      <c r="R32" s="2">
        <f>IF(Table17[[#This Row],[Party]]="Republican",Table17[[#This Row],[100%Stock]],"null")</f>
        <v>0.186</v>
      </c>
      <c r="S32" s="2">
        <f>IF(Table17[[#This Row],[Party]]="Republican",Table17[[#This Row],[100% Bonds]],"null")</f>
        <v>0.03</v>
      </c>
      <c r="T32" s="2">
        <f>IF(Table17[[#This Row],[Party]]="Republican",Table17[[#This Row],[S&amp;P 500 Index ]],"null")</f>
        <v>0.158</v>
      </c>
      <c r="U32" s="2" t="str">
        <f>IF(Table17[[#This Row],[Party]]="Democratic",Table17[[#This Row],[100%Stock]],"null")</f>
        <v>null</v>
      </c>
      <c r="V32" s="2" t="str">
        <f>IF(Table17[[#This Row],[Party]]="Democratic",Table17[[#This Row],[100% Bonds]],"null")</f>
        <v>null</v>
      </c>
      <c r="W32" s="2" t="str">
        <f>IF(Table17[[#This Row],[Party]]="Democratic",Table17[[#This Row],[S&amp;P 500 Index ]],"null")</f>
        <v>null</v>
      </c>
      <c r="X32" s="2">
        <f>ABS(Table17[[#This Row],[S&amp;P 500 Index ]])</f>
        <v>0.158</v>
      </c>
      <c r="Y32" s="2">
        <f>ABS(Table17[[#This Row],[100% Bonds]])</f>
        <v>0.03</v>
      </c>
    </row>
    <row r="33" spans="1:25" x14ac:dyDescent="0.6">
      <c r="A33" s="1" t="s">
        <v>44</v>
      </c>
      <c r="B33" s="1" t="s">
        <v>43</v>
      </c>
      <c r="C33" s="1">
        <v>2007</v>
      </c>
      <c r="D33" s="2">
        <v>9.2999999999999999E-2</v>
      </c>
      <c r="E33" s="2">
        <v>8.1000000000000003E-2</v>
      </c>
      <c r="F33" s="2">
        <v>6.9000000000000006E-2</v>
      </c>
      <c r="G33" s="2">
        <v>5.7000000000000002E-2</v>
      </c>
      <c r="H33" s="2">
        <v>4.4999999999999998E-2</v>
      </c>
      <c r="I33" s="2">
        <v>3.3000000000000002E-2</v>
      </c>
      <c r="J33" s="2">
        <v>2.1000000000000001E-2</v>
      </c>
      <c r="K33" s="2">
        <v>8.0000000000000002E-3</v>
      </c>
      <c r="L33" s="3">
        <v>-4.0000000000000001E-3</v>
      </c>
      <c r="M33" s="3">
        <v>-1.6E-2</v>
      </c>
      <c r="N33" s="3">
        <v>-2.9000000000000001E-2</v>
      </c>
      <c r="O33" s="2">
        <v>5.5E-2</v>
      </c>
      <c r="P33" s="4">
        <f>IF(Table17[[#This Row],[Party]]="Republican",1,0)</f>
        <v>1</v>
      </c>
      <c r="Q33" s="4">
        <f>IF(Table17[[#This Row],[Party]]="Democratic",1,0)</f>
        <v>0</v>
      </c>
      <c r="R33" s="2">
        <f>IF(Table17[[#This Row],[Party]]="Republican",Table17[[#This Row],[100%Stock]],"null")</f>
        <v>-2.9000000000000001E-2</v>
      </c>
      <c r="S33" s="2">
        <f>IF(Table17[[#This Row],[Party]]="Republican",Table17[[#This Row],[100% Bonds]],"null")</f>
        <v>9.2999999999999999E-2</v>
      </c>
      <c r="T33" s="2">
        <f>IF(Table17[[#This Row],[Party]]="Republican",Table17[[#This Row],[S&amp;P 500 Index ]],"null")</f>
        <v>5.5E-2</v>
      </c>
      <c r="U33" s="2" t="str">
        <f>IF(Table17[[#This Row],[Party]]="Democratic",Table17[[#This Row],[100%Stock]],"null")</f>
        <v>null</v>
      </c>
      <c r="V33" s="2" t="str">
        <f>IF(Table17[[#This Row],[Party]]="Democratic",Table17[[#This Row],[100% Bonds]],"null")</f>
        <v>null</v>
      </c>
      <c r="W33" s="2" t="str">
        <f>IF(Table17[[#This Row],[Party]]="Democratic",Table17[[#This Row],[S&amp;P 500 Index ]],"null")</f>
        <v>null</v>
      </c>
      <c r="X33" s="2">
        <f>ABS(Table17[[#This Row],[S&amp;P 500 Index ]])</f>
        <v>5.5E-2</v>
      </c>
      <c r="Y33" s="2">
        <f>ABS(Table17[[#This Row],[100% Bonds]])</f>
        <v>9.2999999999999999E-2</v>
      </c>
    </row>
    <row r="34" spans="1:25" x14ac:dyDescent="0.6">
      <c r="A34" s="1" t="s">
        <v>44</v>
      </c>
      <c r="B34" s="1" t="s">
        <v>43</v>
      </c>
      <c r="C34" s="1">
        <v>2008</v>
      </c>
      <c r="D34" s="2">
        <v>8.1000000000000003E-2</v>
      </c>
      <c r="E34" s="2">
        <v>2.8000000000000001E-2</v>
      </c>
      <c r="F34" s="3">
        <v>-2.4E-2</v>
      </c>
      <c r="G34" s="3">
        <v>-7.3999999999999996E-2</v>
      </c>
      <c r="H34" s="3">
        <v>-0.122</v>
      </c>
      <c r="I34" s="3">
        <v>-0.16900000000000001</v>
      </c>
      <c r="J34" s="3">
        <v>-0.21299999999999999</v>
      </c>
      <c r="K34" s="3">
        <v>-0.25600000000000001</v>
      </c>
      <c r="L34" s="3">
        <v>-0.29799999999999999</v>
      </c>
      <c r="M34" s="3">
        <v>-0.33800000000000002</v>
      </c>
      <c r="N34" s="3">
        <v>-0.376</v>
      </c>
      <c r="O34" s="3">
        <v>-0.37</v>
      </c>
      <c r="P34" s="4">
        <f>IF(Table17[[#This Row],[Party]]="Republican",1,0)</f>
        <v>1</v>
      </c>
      <c r="Q34" s="4">
        <f>IF(Table17[[#This Row],[Party]]="Democratic",1,0)</f>
        <v>0</v>
      </c>
      <c r="R34" s="2">
        <f>IF(Table17[[#This Row],[Party]]="Republican",Table17[[#This Row],[100%Stock]],"null")</f>
        <v>-0.376</v>
      </c>
      <c r="S34" s="2">
        <f>IF(Table17[[#This Row],[Party]]="Republican",Table17[[#This Row],[100% Bonds]],"null")</f>
        <v>8.1000000000000003E-2</v>
      </c>
      <c r="T34" s="2">
        <f>IF(Table17[[#This Row],[Party]]="Republican",Table17[[#This Row],[S&amp;P 500 Index ]],"null")</f>
        <v>-0.37</v>
      </c>
      <c r="U34" s="2" t="str">
        <f>IF(Table17[[#This Row],[Party]]="Democratic",Table17[[#This Row],[100%Stock]],"null")</f>
        <v>null</v>
      </c>
      <c r="V34" s="2" t="str">
        <f>IF(Table17[[#This Row],[Party]]="Democratic",Table17[[#This Row],[100% Bonds]],"null")</f>
        <v>null</v>
      </c>
      <c r="W34" s="2" t="str">
        <f>IF(Table17[[#This Row],[Party]]="Democratic",Table17[[#This Row],[S&amp;P 500 Index ]],"null")</f>
        <v>null</v>
      </c>
      <c r="X34" s="2">
        <f>ABS(Table17[[#This Row],[S&amp;P 500 Index ]])</f>
        <v>0.37</v>
      </c>
      <c r="Y34" s="2">
        <f>ABS(Table17[[#This Row],[100% Bonds]])</f>
        <v>8.1000000000000003E-2</v>
      </c>
    </row>
    <row r="35" spans="1:25" x14ac:dyDescent="0.6">
      <c r="A35" s="1" t="s">
        <v>46</v>
      </c>
      <c r="B35" s="1" t="s">
        <v>41</v>
      </c>
      <c r="C35" s="1">
        <v>2009</v>
      </c>
      <c r="D35" s="2">
        <v>0.02</v>
      </c>
      <c r="E35" s="2">
        <v>0.05</v>
      </c>
      <c r="F35" s="2">
        <v>8.1000000000000003E-2</v>
      </c>
      <c r="G35" s="2">
        <v>0.111</v>
      </c>
      <c r="H35" s="2">
        <v>0.14099999999999999</v>
      </c>
      <c r="I35" s="2">
        <v>0.17199999999999999</v>
      </c>
      <c r="J35" s="2">
        <v>0.20200000000000001</v>
      </c>
      <c r="K35" s="2">
        <v>0.23100000000000001</v>
      </c>
      <c r="L35" s="2">
        <v>0.26100000000000001</v>
      </c>
      <c r="M35" s="2">
        <v>0.28999999999999998</v>
      </c>
      <c r="N35" s="2">
        <v>0.31900000000000001</v>
      </c>
      <c r="O35" s="2">
        <v>0.26500000000000001</v>
      </c>
      <c r="P35" s="4">
        <f>IF(Table17[[#This Row],[Party]]="Republican",1,0)</f>
        <v>0</v>
      </c>
      <c r="Q35" s="4">
        <f>IF(Table17[[#This Row],[Party]]="Democratic",1,0)</f>
        <v>1</v>
      </c>
      <c r="R35" s="2" t="str">
        <f>IF(Table17[[#This Row],[Party]]="Republican",Table17[[#This Row],[100%Stock]],"null")</f>
        <v>null</v>
      </c>
      <c r="S35" s="2" t="str">
        <f>IF(Table17[[#This Row],[Party]]="Republican",Table17[[#This Row],[100% Bonds]],"null")</f>
        <v>null</v>
      </c>
      <c r="T35" s="2" t="str">
        <f>IF(Table17[[#This Row],[Party]]="Republican",Table17[[#This Row],[S&amp;P 500 Index ]],"null")</f>
        <v>null</v>
      </c>
      <c r="U35" s="2">
        <f>IF(Table17[[#This Row],[Party]]="Democratic",Table17[[#This Row],[100%Stock]],"null")</f>
        <v>0.31900000000000001</v>
      </c>
      <c r="V35" s="2">
        <f>IF(Table17[[#This Row],[Party]]="Democratic",Table17[[#This Row],[100% Bonds]],"null")</f>
        <v>0.02</v>
      </c>
      <c r="W35" s="2">
        <f>IF(Table17[[#This Row],[Party]]="Democratic",Table17[[#This Row],[S&amp;P 500 Index ]],"null")</f>
        <v>0.26500000000000001</v>
      </c>
      <c r="X35" s="2">
        <f>ABS(Table17[[#This Row],[S&amp;P 500 Index ]])</f>
        <v>0.26500000000000001</v>
      </c>
      <c r="Y35" s="2">
        <f>ABS(Table17[[#This Row],[100% Bonds]])</f>
        <v>0.02</v>
      </c>
    </row>
    <row r="36" spans="1:25" x14ac:dyDescent="0.6">
      <c r="A36" s="1" t="s">
        <v>46</v>
      </c>
      <c r="B36" s="1" t="s">
        <v>41</v>
      </c>
      <c r="C36" s="1">
        <v>2010</v>
      </c>
      <c r="D36" s="2">
        <v>5.5E-2</v>
      </c>
      <c r="E36" s="2">
        <v>7.4999999999999997E-2</v>
      </c>
      <c r="F36" s="2">
        <v>9.5000000000000001E-2</v>
      </c>
      <c r="G36" s="2">
        <v>0.115</v>
      </c>
      <c r="H36" s="2">
        <v>0.13400000000000001</v>
      </c>
      <c r="I36" s="2">
        <v>0.153</v>
      </c>
      <c r="J36" s="2">
        <v>0.17199999999999999</v>
      </c>
      <c r="K36" s="2">
        <v>0.19</v>
      </c>
      <c r="L36" s="2">
        <v>0.20799999999999999</v>
      </c>
      <c r="M36" s="2">
        <v>0.22500000000000001</v>
      </c>
      <c r="N36" s="2">
        <v>0.24199999999999999</v>
      </c>
      <c r="O36" s="2">
        <v>0.151</v>
      </c>
      <c r="P36" s="4">
        <f>IF(Table17[[#This Row],[Party]]="Republican",1,0)</f>
        <v>0</v>
      </c>
      <c r="Q36" s="4">
        <f>IF(Table17[[#This Row],[Party]]="Democratic",1,0)</f>
        <v>1</v>
      </c>
      <c r="R36" s="2" t="str">
        <f>IF(Table17[[#This Row],[Party]]="Republican",Table17[[#This Row],[100%Stock]],"null")</f>
        <v>null</v>
      </c>
      <c r="S36" s="2" t="str">
        <f>IF(Table17[[#This Row],[Party]]="Republican",Table17[[#This Row],[100% Bonds]],"null")</f>
        <v>null</v>
      </c>
      <c r="T36" s="2" t="str">
        <f>IF(Table17[[#This Row],[Party]]="Republican",Table17[[#This Row],[S&amp;P 500 Index ]],"null")</f>
        <v>null</v>
      </c>
      <c r="U36" s="2">
        <f>IF(Table17[[#This Row],[Party]]="Democratic",Table17[[#This Row],[100%Stock]],"null")</f>
        <v>0.24199999999999999</v>
      </c>
      <c r="V36" s="2">
        <f>IF(Table17[[#This Row],[Party]]="Democratic",Table17[[#This Row],[100% Bonds]],"null")</f>
        <v>5.5E-2</v>
      </c>
      <c r="W36" s="2">
        <f>IF(Table17[[#This Row],[Party]]="Democratic",Table17[[#This Row],[S&amp;P 500 Index ]],"null")</f>
        <v>0.151</v>
      </c>
      <c r="X36" s="2">
        <f>ABS(Table17[[#This Row],[S&amp;P 500 Index ]])</f>
        <v>0.151</v>
      </c>
      <c r="Y36" s="2">
        <f>ABS(Table17[[#This Row],[100% Bonds]])</f>
        <v>5.5E-2</v>
      </c>
    </row>
    <row r="37" spans="1:25" x14ac:dyDescent="0.6">
      <c r="A37" s="1" t="s">
        <v>46</v>
      </c>
      <c r="B37" s="1" t="s">
        <v>41</v>
      </c>
      <c r="C37" s="1">
        <v>2011</v>
      </c>
      <c r="D37" s="2">
        <v>0.08</v>
      </c>
      <c r="E37" s="2">
        <v>7.0999999999999994E-2</v>
      </c>
      <c r="F37" s="2">
        <v>6.0999999999999999E-2</v>
      </c>
      <c r="G37" s="2">
        <v>5.0999999999999997E-2</v>
      </c>
      <c r="H37" s="2">
        <v>4.1000000000000002E-2</v>
      </c>
      <c r="I37" s="2">
        <v>0.03</v>
      </c>
      <c r="J37" s="2">
        <v>1.9E-2</v>
      </c>
      <c r="K37" s="2">
        <v>7.0000000000000001E-3</v>
      </c>
      <c r="L37" s="3">
        <v>-5.0000000000000001E-3</v>
      </c>
      <c r="M37" s="3">
        <v>-1.7000000000000001E-2</v>
      </c>
      <c r="N37" s="3">
        <v>-2.9000000000000001E-2</v>
      </c>
      <c r="O37" s="2">
        <v>2.1000000000000001E-2</v>
      </c>
      <c r="P37" s="4">
        <f>IF(Table17[[#This Row],[Party]]="Republican",1,0)</f>
        <v>0</v>
      </c>
      <c r="Q37" s="4">
        <f>IF(Table17[[#This Row],[Party]]="Democratic",1,0)</f>
        <v>1</v>
      </c>
      <c r="R37" s="2" t="str">
        <f>IF(Table17[[#This Row],[Party]]="Republican",Table17[[#This Row],[100%Stock]],"null")</f>
        <v>null</v>
      </c>
      <c r="S37" s="2" t="str">
        <f>IF(Table17[[#This Row],[Party]]="Republican",Table17[[#This Row],[100% Bonds]],"null")</f>
        <v>null</v>
      </c>
      <c r="T37" s="2" t="str">
        <f>IF(Table17[[#This Row],[Party]]="Republican",Table17[[#This Row],[S&amp;P 500 Index ]],"null")</f>
        <v>null</v>
      </c>
      <c r="U37" s="2">
        <f>IF(Table17[[#This Row],[Party]]="Democratic",Table17[[#This Row],[100%Stock]],"null")</f>
        <v>-2.9000000000000001E-2</v>
      </c>
      <c r="V37" s="2">
        <f>IF(Table17[[#This Row],[Party]]="Democratic",Table17[[#This Row],[100% Bonds]],"null")</f>
        <v>0.08</v>
      </c>
      <c r="W37" s="2">
        <f>IF(Table17[[#This Row],[Party]]="Democratic",Table17[[#This Row],[S&amp;P 500 Index ]],"null")</f>
        <v>2.1000000000000001E-2</v>
      </c>
      <c r="X37" s="2">
        <f>ABS(Table17[[#This Row],[S&amp;P 500 Index ]])</f>
        <v>2.1000000000000001E-2</v>
      </c>
      <c r="Y37" s="2">
        <f>ABS(Table17[[#This Row],[100% Bonds]])</f>
        <v>0.08</v>
      </c>
    </row>
    <row r="38" spans="1:25" x14ac:dyDescent="0.6">
      <c r="A38" s="1" t="s">
        <v>46</v>
      </c>
      <c r="B38" s="1" t="s">
        <v>41</v>
      </c>
      <c r="C38" s="1">
        <v>2012</v>
      </c>
      <c r="D38" s="2">
        <v>3.4000000000000002E-2</v>
      </c>
      <c r="E38" s="2">
        <v>0.05</v>
      </c>
      <c r="F38" s="2">
        <v>6.6000000000000003E-2</v>
      </c>
      <c r="G38" s="2">
        <v>8.2000000000000003E-2</v>
      </c>
      <c r="H38" s="2">
        <v>9.8000000000000004E-2</v>
      </c>
      <c r="I38" s="2">
        <v>0.114</v>
      </c>
      <c r="J38" s="2">
        <v>0.13100000000000001</v>
      </c>
      <c r="K38" s="2">
        <v>0.14699999999999999</v>
      </c>
      <c r="L38" s="2">
        <v>0.16300000000000001</v>
      </c>
      <c r="M38" s="2">
        <v>0.17899999999999999</v>
      </c>
      <c r="N38" s="2">
        <v>0.19500000000000001</v>
      </c>
      <c r="O38" s="2">
        <v>0.16</v>
      </c>
      <c r="P38" s="4">
        <f>IF(Table17[[#This Row],[Party]]="Republican",1,0)</f>
        <v>0</v>
      </c>
      <c r="Q38" s="4">
        <f>IF(Table17[[#This Row],[Party]]="Democratic",1,0)</f>
        <v>1</v>
      </c>
      <c r="R38" s="2" t="str">
        <f>IF(Table17[[#This Row],[Party]]="Republican",Table17[[#This Row],[100%Stock]],"null")</f>
        <v>null</v>
      </c>
      <c r="S38" s="2" t="str">
        <f>IF(Table17[[#This Row],[Party]]="Republican",Table17[[#This Row],[100% Bonds]],"null")</f>
        <v>null</v>
      </c>
      <c r="T38" s="2" t="str">
        <f>IF(Table17[[#This Row],[Party]]="Republican",Table17[[#This Row],[S&amp;P 500 Index ]],"null")</f>
        <v>null</v>
      </c>
      <c r="U38" s="2">
        <f>IF(Table17[[#This Row],[Party]]="Democratic",Table17[[#This Row],[100%Stock]],"null")</f>
        <v>0.19500000000000001</v>
      </c>
      <c r="V38" s="2">
        <f>IF(Table17[[#This Row],[Party]]="Democratic",Table17[[#This Row],[100% Bonds]],"null")</f>
        <v>3.4000000000000002E-2</v>
      </c>
      <c r="W38" s="2">
        <f>IF(Table17[[#This Row],[Party]]="Democratic",Table17[[#This Row],[S&amp;P 500 Index ]],"null")</f>
        <v>0.16</v>
      </c>
      <c r="X38" s="2">
        <f>ABS(Table17[[#This Row],[S&amp;P 500 Index ]])</f>
        <v>0.16</v>
      </c>
      <c r="Y38" s="2">
        <f>ABS(Table17[[#This Row],[100% Bonds]])</f>
        <v>3.4000000000000002E-2</v>
      </c>
    </row>
    <row r="39" spans="1:25" x14ac:dyDescent="0.6">
      <c r="A39" s="1" t="s">
        <v>46</v>
      </c>
      <c r="B39" s="1" t="s">
        <v>41</v>
      </c>
      <c r="C39" s="1">
        <v>2013</v>
      </c>
      <c r="D39" s="3">
        <v>-3.5999999999999997E-2</v>
      </c>
      <c r="E39" s="2">
        <v>1E-3</v>
      </c>
      <c r="F39" s="2">
        <v>0.04</v>
      </c>
      <c r="G39" s="2">
        <v>7.9000000000000001E-2</v>
      </c>
      <c r="H39" s="2">
        <v>0.12</v>
      </c>
      <c r="I39" s="2">
        <v>0.16200000000000001</v>
      </c>
      <c r="J39" s="2">
        <v>0.20499999999999999</v>
      </c>
      <c r="K39" s="2">
        <v>0.25</v>
      </c>
      <c r="L39" s="2">
        <v>0.29599999999999999</v>
      </c>
      <c r="M39" s="2">
        <v>0.34399999999999997</v>
      </c>
      <c r="N39" s="2">
        <v>0.39300000000000002</v>
      </c>
      <c r="O39" s="2">
        <v>0.32400000000000001</v>
      </c>
      <c r="P39" s="4">
        <f>IF(Table17[[#This Row],[Party]]="Republican",1,0)</f>
        <v>0</v>
      </c>
      <c r="Q39" s="4">
        <f>IF(Table17[[#This Row],[Party]]="Democratic",1,0)</f>
        <v>1</v>
      </c>
      <c r="R39" s="2" t="str">
        <f>IF(Table17[[#This Row],[Party]]="Republican",Table17[[#This Row],[100%Stock]],"null")</f>
        <v>null</v>
      </c>
      <c r="S39" s="2" t="str">
        <f>IF(Table17[[#This Row],[Party]]="Republican",Table17[[#This Row],[100% Bonds]],"null")</f>
        <v>null</v>
      </c>
      <c r="T39" s="2" t="str">
        <f>IF(Table17[[#This Row],[Party]]="Republican",Table17[[#This Row],[S&amp;P 500 Index ]],"null")</f>
        <v>null</v>
      </c>
      <c r="U39" s="2">
        <f>IF(Table17[[#This Row],[Party]]="Democratic",Table17[[#This Row],[100%Stock]],"null")</f>
        <v>0.39300000000000002</v>
      </c>
      <c r="V39" s="2">
        <f>IF(Table17[[#This Row],[Party]]="Democratic",Table17[[#This Row],[100% Bonds]],"null")</f>
        <v>-3.5999999999999997E-2</v>
      </c>
      <c r="W39" s="2">
        <f>IF(Table17[[#This Row],[Party]]="Democratic",Table17[[#This Row],[S&amp;P 500 Index ]],"null")</f>
        <v>0.32400000000000001</v>
      </c>
      <c r="X39" s="2">
        <f>ABS(Table17[[#This Row],[S&amp;P 500 Index ]])</f>
        <v>0.32400000000000001</v>
      </c>
      <c r="Y39" s="2">
        <f>ABS(Table17[[#This Row],[100% Bonds]])</f>
        <v>3.5999999999999997E-2</v>
      </c>
    </row>
    <row r="40" spans="1:25" x14ac:dyDescent="0.6">
      <c r="A40" s="1" t="s">
        <v>46</v>
      </c>
      <c r="B40" s="1" t="s">
        <v>41</v>
      </c>
      <c r="C40" s="1">
        <v>2014</v>
      </c>
      <c r="D40" s="2">
        <v>3.4000000000000002E-2</v>
      </c>
      <c r="E40" s="2">
        <v>3.9E-2</v>
      </c>
      <c r="F40" s="2">
        <v>4.3999999999999997E-2</v>
      </c>
      <c r="G40" s="2">
        <v>4.9000000000000002E-2</v>
      </c>
      <c r="H40" s="2">
        <v>5.3999999999999999E-2</v>
      </c>
      <c r="I40" s="2">
        <v>5.8000000000000003E-2</v>
      </c>
      <c r="J40" s="2">
        <v>6.3E-2</v>
      </c>
      <c r="K40" s="2">
        <v>6.7000000000000004E-2</v>
      </c>
      <c r="L40" s="2">
        <v>7.0999999999999994E-2</v>
      </c>
      <c r="M40" s="2">
        <v>7.5999999999999998E-2</v>
      </c>
      <c r="N40" s="2">
        <v>0.08</v>
      </c>
      <c r="O40" s="2">
        <v>0.13700000000000001</v>
      </c>
      <c r="P40" s="4">
        <f>IF(Table17[[#This Row],[Party]]="Republican",1,0)</f>
        <v>0</v>
      </c>
      <c r="Q40" s="4">
        <f>IF(Table17[[#This Row],[Party]]="Democratic",1,0)</f>
        <v>1</v>
      </c>
      <c r="R40" s="2" t="str">
        <f>IF(Table17[[#This Row],[Party]]="Republican",Table17[[#This Row],[100%Stock]],"null")</f>
        <v>null</v>
      </c>
      <c r="S40" s="2" t="str">
        <f>IF(Table17[[#This Row],[Party]]="Republican",Table17[[#This Row],[100% Bonds]],"null")</f>
        <v>null</v>
      </c>
      <c r="T40" s="2" t="str">
        <f>IF(Table17[[#This Row],[Party]]="Republican",Table17[[#This Row],[S&amp;P 500 Index ]],"null")</f>
        <v>null</v>
      </c>
      <c r="U40" s="2">
        <f>IF(Table17[[#This Row],[Party]]="Democratic",Table17[[#This Row],[100%Stock]],"null")</f>
        <v>0.08</v>
      </c>
      <c r="V40" s="2">
        <f>IF(Table17[[#This Row],[Party]]="Democratic",Table17[[#This Row],[100% Bonds]],"null")</f>
        <v>3.4000000000000002E-2</v>
      </c>
      <c r="W40" s="2">
        <f>IF(Table17[[#This Row],[Party]]="Democratic",Table17[[#This Row],[S&amp;P 500 Index ]],"null")</f>
        <v>0.13700000000000001</v>
      </c>
      <c r="X40" s="2">
        <f>ABS(Table17[[#This Row],[S&amp;P 500 Index ]])</f>
        <v>0.13700000000000001</v>
      </c>
      <c r="Y40" s="2">
        <f>ABS(Table17[[#This Row],[100% Bonds]])</f>
        <v>3.4000000000000002E-2</v>
      </c>
    </row>
    <row r="41" spans="1:25" x14ac:dyDescent="0.6">
      <c r="A41" s="1" t="s">
        <v>46</v>
      </c>
      <c r="B41" s="1" t="s">
        <v>41</v>
      </c>
      <c r="C41" s="1">
        <v>2015</v>
      </c>
      <c r="D41" s="2">
        <v>8.0000000000000002E-3</v>
      </c>
      <c r="E41" s="2">
        <v>5.0000000000000001E-3</v>
      </c>
      <c r="F41" s="2">
        <v>1E-3</v>
      </c>
      <c r="G41" s="3">
        <v>-2E-3</v>
      </c>
      <c r="H41" s="3">
        <v>-6.0000000000000001E-3</v>
      </c>
      <c r="I41" s="3">
        <v>-0.01</v>
      </c>
      <c r="J41" s="3">
        <v>-1.4E-2</v>
      </c>
      <c r="K41" s="3">
        <v>-1.7999999999999999E-2</v>
      </c>
      <c r="L41" s="3">
        <v>-2.3E-2</v>
      </c>
      <c r="M41" s="3">
        <v>-2.8000000000000001E-2</v>
      </c>
      <c r="N41" s="3">
        <v>-3.3000000000000002E-2</v>
      </c>
      <c r="O41" s="2">
        <v>1.4E-2</v>
      </c>
      <c r="P41" s="4">
        <f>IF(Table17[[#This Row],[Party]]="Republican",1,0)</f>
        <v>0</v>
      </c>
      <c r="Q41" s="4">
        <f>IF(Table17[[#This Row],[Party]]="Democratic",1,0)</f>
        <v>1</v>
      </c>
      <c r="R41" s="2" t="str">
        <f>IF(Table17[[#This Row],[Party]]="Republican",Table17[[#This Row],[100%Stock]],"null")</f>
        <v>null</v>
      </c>
      <c r="S41" s="2" t="str">
        <f>IF(Table17[[#This Row],[Party]]="Republican",Table17[[#This Row],[100% Bonds]],"null")</f>
        <v>null</v>
      </c>
      <c r="T41" s="2" t="str">
        <f>IF(Table17[[#This Row],[Party]]="Republican",Table17[[#This Row],[S&amp;P 500 Index ]],"null")</f>
        <v>null</v>
      </c>
      <c r="U41" s="2">
        <f>IF(Table17[[#This Row],[Party]]="Democratic",Table17[[#This Row],[100%Stock]],"null")</f>
        <v>-3.3000000000000002E-2</v>
      </c>
      <c r="V41" s="2">
        <f>IF(Table17[[#This Row],[Party]]="Democratic",Table17[[#This Row],[100% Bonds]],"null")</f>
        <v>8.0000000000000002E-3</v>
      </c>
      <c r="W41" s="2">
        <f>IF(Table17[[#This Row],[Party]]="Democratic",Table17[[#This Row],[S&amp;P 500 Index ]],"null")</f>
        <v>1.4E-2</v>
      </c>
      <c r="X41" s="2">
        <f>ABS(Table17[[#This Row],[S&amp;P 500 Index ]])</f>
        <v>1.4E-2</v>
      </c>
      <c r="Y41" s="2">
        <f>ABS(Table17[[#This Row],[100% Bonds]])</f>
        <v>8.0000000000000002E-3</v>
      </c>
    </row>
    <row r="42" spans="1:25" x14ac:dyDescent="0.6">
      <c r="A42" s="1" t="s">
        <v>46</v>
      </c>
      <c r="B42" s="1" t="s">
        <v>41</v>
      </c>
      <c r="C42" s="1">
        <v>2016</v>
      </c>
      <c r="D42" s="2">
        <v>1.7999999999999999E-2</v>
      </c>
      <c r="E42" s="2">
        <v>3.5999999999999997E-2</v>
      </c>
      <c r="F42" s="2">
        <v>5.5E-2</v>
      </c>
      <c r="G42" s="2">
        <v>7.3999999999999996E-2</v>
      </c>
      <c r="H42" s="2">
        <v>9.2999999999999999E-2</v>
      </c>
      <c r="I42" s="2">
        <v>0.112</v>
      </c>
      <c r="J42" s="2">
        <v>0.13100000000000001</v>
      </c>
      <c r="K42" s="2">
        <v>0.15</v>
      </c>
      <c r="L42" s="2">
        <v>0.16800000000000001</v>
      </c>
      <c r="M42" s="2">
        <v>0.187</v>
      </c>
      <c r="N42" s="2">
        <v>0.20599999999999999</v>
      </c>
      <c r="O42" s="2">
        <v>0.12</v>
      </c>
      <c r="P42" s="4">
        <f>IF(Table17[[#This Row],[Party]]="Republican",1,0)</f>
        <v>0</v>
      </c>
      <c r="Q42" s="4">
        <f>IF(Table17[[#This Row],[Party]]="Democratic",1,0)</f>
        <v>1</v>
      </c>
      <c r="R42" s="2" t="str">
        <f>IF(Table17[[#This Row],[Party]]="Republican",Table17[[#This Row],[100%Stock]],"null")</f>
        <v>null</v>
      </c>
      <c r="S42" s="2" t="str">
        <f>IF(Table17[[#This Row],[Party]]="Republican",Table17[[#This Row],[100% Bonds]],"null")</f>
        <v>null</v>
      </c>
      <c r="T42" s="2" t="str">
        <f>IF(Table17[[#This Row],[Party]]="Republican",Table17[[#This Row],[S&amp;P 500 Index ]],"null")</f>
        <v>null</v>
      </c>
      <c r="U42" s="2">
        <f>IF(Table17[[#This Row],[Party]]="Democratic",Table17[[#This Row],[100%Stock]],"null")</f>
        <v>0.20599999999999999</v>
      </c>
      <c r="V42" s="2">
        <f>IF(Table17[[#This Row],[Party]]="Democratic",Table17[[#This Row],[100% Bonds]],"null")</f>
        <v>1.7999999999999999E-2</v>
      </c>
      <c r="W42" s="2">
        <f>IF(Table17[[#This Row],[Party]]="Democratic",Table17[[#This Row],[S&amp;P 500 Index ]],"null")</f>
        <v>0.12</v>
      </c>
      <c r="X42" s="2">
        <f>ABS(Table17[[#This Row],[S&amp;P 500 Index ]])</f>
        <v>0.12</v>
      </c>
      <c r="Y42" s="2">
        <f>ABS(Table17[[#This Row],[100% Bonds]])</f>
        <v>1.7999999999999999E-2</v>
      </c>
    </row>
    <row r="43" spans="1:25" x14ac:dyDescent="0.6">
      <c r="A43" s="1" t="s">
        <v>49</v>
      </c>
      <c r="B43" s="1" t="s">
        <v>43</v>
      </c>
      <c r="C43" s="1">
        <v>2017</v>
      </c>
      <c r="D43" s="2">
        <v>1.9E-2</v>
      </c>
      <c r="E43" s="2">
        <v>3.1E-2</v>
      </c>
      <c r="F43" s="2">
        <v>4.3999999999999997E-2</v>
      </c>
      <c r="G43" s="2">
        <v>5.7000000000000002E-2</v>
      </c>
      <c r="H43" s="2">
        <v>6.9000000000000006E-2</v>
      </c>
      <c r="I43" s="2">
        <v>8.2000000000000003E-2</v>
      </c>
      <c r="J43" s="2">
        <v>9.5000000000000001E-2</v>
      </c>
      <c r="K43" s="2">
        <v>0.108</v>
      </c>
      <c r="L43" s="2">
        <v>0.122</v>
      </c>
      <c r="M43" s="2">
        <v>0.13500000000000001</v>
      </c>
      <c r="N43" s="2">
        <v>0.14799999999999999</v>
      </c>
      <c r="O43" s="2">
        <v>0.218</v>
      </c>
      <c r="P43" s="4">
        <f>IF(Table17[[#This Row],[Party]]="Republican",1,0)</f>
        <v>1</v>
      </c>
      <c r="Q43" s="4">
        <f>IF(Table17[[#This Row],[Party]]="Democratic",1,0)</f>
        <v>0</v>
      </c>
      <c r="R43" s="2">
        <f>IF(Table17[[#This Row],[Party]]="Republican",Table17[[#This Row],[100%Stock]],"null")</f>
        <v>0.14799999999999999</v>
      </c>
      <c r="S43" s="2">
        <f>IF(Table17[[#This Row],[Party]]="Republican",Table17[[#This Row],[100% Bonds]],"null")</f>
        <v>1.9E-2</v>
      </c>
      <c r="T43" s="2">
        <f>IF(Table17[[#This Row],[Party]]="Republican",Table17[[#This Row],[S&amp;P 500 Index ]],"null")</f>
        <v>0.218</v>
      </c>
      <c r="U43" s="2" t="str">
        <f>IF(Table17[[#This Row],[Party]]="Democratic",Table17[[#This Row],[100%Stock]],"null")</f>
        <v>null</v>
      </c>
      <c r="V43" s="2" t="str">
        <f>IF(Table17[[#This Row],[Party]]="Democratic",Table17[[#This Row],[100% Bonds]],"null")</f>
        <v>null</v>
      </c>
      <c r="W43" s="2" t="str">
        <f>IF(Table17[[#This Row],[Party]]="Democratic",Table17[[#This Row],[S&amp;P 500 Index ]],"null")</f>
        <v>null</v>
      </c>
      <c r="X43" s="2">
        <f>ABS(Table17[[#This Row],[S&amp;P 500 Index ]])</f>
        <v>0.218</v>
      </c>
      <c r="Y43" s="2">
        <f>ABS(Table17[[#This Row],[100% Bonds]])</f>
        <v>1.9E-2</v>
      </c>
    </row>
    <row r="44" spans="1:25" x14ac:dyDescent="0.6">
      <c r="A44" s="1" t="s">
        <v>49</v>
      </c>
      <c r="B44" s="1" t="s">
        <v>43</v>
      </c>
      <c r="C44" s="1">
        <v>2018</v>
      </c>
      <c r="D44" s="2">
        <v>6.0000000000000001E-3</v>
      </c>
      <c r="E44" s="3">
        <v>-5.0000000000000001E-3</v>
      </c>
      <c r="F44" s="3">
        <v>-1.6E-2</v>
      </c>
      <c r="G44" s="3">
        <v>-2.7E-2</v>
      </c>
      <c r="H44" s="3">
        <v>-3.9E-2</v>
      </c>
      <c r="I44" s="3">
        <v>-0.05</v>
      </c>
      <c r="J44" s="3">
        <v>-6.2E-2</v>
      </c>
      <c r="K44" s="3">
        <v>-7.3999999999999996E-2</v>
      </c>
      <c r="L44" s="3">
        <v>-8.5999999999999993E-2</v>
      </c>
      <c r="M44" s="3">
        <v>-9.8000000000000004E-2</v>
      </c>
      <c r="N44" s="3">
        <v>-0.111</v>
      </c>
      <c r="O44" s="3">
        <v>-4.3999999999999997E-2</v>
      </c>
      <c r="P44" s="4">
        <f>IF(Table17[[#This Row],[Party]]="Republican",1,0)</f>
        <v>1</v>
      </c>
      <c r="Q44" s="4">
        <f>IF(Table17[[#This Row],[Party]]="Democratic",1,0)</f>
        <v>0</v>
      </c>
      <c r="R44" s="2">
        <f>IF(Table17[[#This Row],[Party]]="Republican",Table17[[#This Row],[100%Stock]],"null")</f>
        <v>-0.111</v>
      </c>
      <c r="S44" s="2">
        <f>IF(Table17[[#This Row],[Party]]="Republican",Table17[[#This Row],[100% Bonds]],"null")</f>
        <v>6.0000000000000001E-3</v>
      </c>
      <c r="T44" s="2">
        <f>IF(Table17[[#This Row],[Party]]="Republican",Table17[[#This Row],[S&amp;P 500 Index ]],"null")</f>
        <v>-4.3999999999999997E-2</v>
      </c>
      <c r="U44" s="2" t="str">
        <f>IF(Table17[[#This Row],[Party]]="Democratic",Table17[[#This Row],[100%Stock]],"null")</f>
        <v>null</v>
      </c>
      <c r="V44" s="2" t="str">
        <f>IF(Table17[[#This Row],[Party]]="Democratic",Table17[[#This Row],[100% Bonds]],"null")</f>
        <v>null</v>
      </c>
      <c r="W44" s="2" t="str">
        <f>IF(Table17[[#This Row],[Party]]="Democratic",Table17[[#This Row],[S&amp;P 500 Index ]],"null")</f>
        <v>null</v>
      </c>
      <c r="X44" s="2">
        <f>ABS(Table17[[#This Row],[S&amp;P 500 Index ]])</f>
        <v>4.3999999999999997E-2</v>
      </c>
      <c r="Y44" s="2">
        <f>ABS(Table17[[#This Row],[100% Bonds]])</f>
        <v>6.0000000000000001E-3</v>
      </c>
    </row>
    <row r="45" spans="1:25" x14ac:dyDescent="0.6">
      <c r="A45" s="1" t="s">
        <v>49</v>
      </c>
      <c r="B45" s="1" t="s">
        <v>43</v>
      </c>
      <c r="C45" s="1">
        <v>2019</v>
      </c>
      <c r="D45" s="2">
        <v>6.3E-2</v>
      </c>
      <c r="E45" s="2">
        <v>8.2000000000000003E-2</v>
      </c>
      <c r="F45" s="2">
        <v>0.1</v>
      </c>
      <c r="G45" s="2">
        <v>0.11799999999999999</v>
      </c>
      <c r="H45" s="2">
        <v>0.13700000000000001</v>
      </c>
      <c r="I45" s="2">
        <v>0.155</v>
      </c>
      <c r="J45" s="2">
        <v>0.17299999999999999</v>
      </c>
      <c r="K45" s="2">
        <v>0.19</v>
      </c>
      <c r="L45" s="2">
        <v>0.20799999999999999</v>
      </c>
      <c r="M45" s="2">
        <v>0.22500000000000001</v>
      </c>
      <c r="N45" s="2">
        <v>0.24199999999999999</v>
      </c>
      <c r="O45" s="2">
        <v>0.315</v>
      </c>
      <c r="P45" s="4">
        <f>IF(Table17[[#This Row],[Party]]="Republican",1,0)</f>
        <v>1</v>
      </c>
      <c r="Q45" s="4">
        <f>IF(Table17[[#This Row],[Party]]="Democratic",1,0)</f>
        <v>0</v>
      </c>
      <c r="R45" s="2">
        <f>IF(Table17[[#This Row],[Party]]="Republican",Table17[[#This Row],[100%Stock]],"null")</f>
        <v>0.24199999999999999</v>
      </c>
      <c r="S45" s="2">
        <f>IF(Table17[[#This Row],[Party]]="Republican",Table17[[#This Row],[100% Bonds]],"null")</f>
        <v>6.3E-2</v>
      </c>
      <c r="T45" s="2">
        <f>IF(Table17[[#This Row],[Party]]="Republican",Table17[[#This Row],[S&amp;P 500 Index ]],"null")</f>
        <v>0.315</v>
      </c>
      <c r="U45" s="2" t="str">
        <f>IF(Table17[[#This Row],[Party]]="Democratic",Table17[[#This Row],[100%Stock]],"null")</f>
        <v>null</v>
      </c>
      <c r="V45" s="2" t="str">
        <f>IF(Table17[[#This Row],[Party]]="Democratic",Table17[[#This Row],[100% Bonds]],"null")</f>
        <v>null</v>
      </c>
      <c r="W45" s="2" t="str">
        <f>IF(Table17[[#This Row],[Party]]="Democratic",Table17[[#This Row],[S&amp;P 500 Index ]],"null")</f>
        <v>null</v>
      </c>
      <c r="X45" s="2">
        <f>ABS(Table17[[#This Row],[S&amp;P 500 Index ]])</f>
        <v>0.315</v>
      </c>
      <c r="Y45" s="2">
        <f>ABS(Table17[[#This Row],[100% Bonds]])</f>
        <v>6.3E-2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75B-C485-524F-BE6B-C955916FA8E6}">
  <dimension ref="A1:A2"/>
  <sheetViews>
    <sheetView workbookViewId="0">
      <selection activeCell="E7" sqref="E7"/>
    </sheetView>
  </sheetViews>
  <sheetFormatPr defaultColWidth="11" defaultRowHeight="15.6" x14ac:dyDescent="0.6"/>
  <sheetData>
    <row r="1" spans="1:1" x14ac:dyDescent="0.6">
      <c r="A1" t="s">
        <v>51</v>
      </c>
    </row>
    <row r="2" spans="1:1" x14ac:dyDescent="0.6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data-sp500-10-outliers-removed</vt:lpstr>
      <vt:lpstr>data-bond-10-outliers-removed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Stephens</dc:creator>
  <cp:keywords/>
  <dc:description/>
  <cp:lastModifiedBy>Michael Boerman</cp:lastModifiedBy>
  <cp:revision/>
  <dcterms:created xsi:type="dcterms:W3CDTF">2021-01-22T18:02:44Z</dcterms:created>
  <dcterms:modified xsi:type="dcterms:W3CDTF">2021-01-23T19:09:00Z</dcterms:modified>
  <cp:category/>
  <cp:contentStatus/>
</cp:coreProperties>
</file>