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<sst xmlns="http://schemas.openxmlformats.org/spreadsheetml/2006/main" count="1507" uniqueCount="825">
  <si>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</si>
  <si>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</si>
  <si>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</si>
  <si>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</si>
  <si>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</si>
  <si>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</si>
  <si>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</si>
  <si>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</si>
  <si>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</si>
  <si>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</si>
  <si>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</si>
  <si>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</si>
  <si>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</si>
  <si>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</si>
  <si>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</si>
  <si>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</si>
  <si>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</si>
  <si>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</si>
  <si>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</si>
  <si>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BAE Systems</t>
  </si>
  <si>
    <t xml:space="preserve">1MP</t>
  </si>
  <si>
    <t xml:space="preserve">Propeller</t>
  </si>
  <si>
    <t xml:space="preserve">https://www.baesystems.com/en/product/riptide-family-of-autonomous-undersea-vehicles</t>
  </si>
  <si>
    <t xml:space="preserve">2MP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</si>
  <si>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</si>
  <si>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</si>
  <si>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</si>
  <si>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</si>
  <si>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</si>
  <si>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</si>
  <si>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</si>
  <si>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</si>
  <si>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ECA SA</t>
  </si>
  <si>
    <t xml:space="preserve">Alistar</t>
  </si>
  <si>
    <t xml:space="preserve">Li-Ion</t>
  </si>
  <si>
    <t xml:space="preserve">Copros &amp; Scourzic, 2011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</si>
  <si>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</si>
  <si>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</si>
  <si>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</si>
  <si>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</si>
  <si>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</si>
  <si>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Naval Postgraduate School</t>
  </si>
  <si>
    <t xml:space="preserve">Aries</t>
  </si>
  <si>
    <t xml:space="preserve">https://www.nps.edu/web/cavr/auv</t>
  </si>
  <si>
    <t xml:space="preserve">Woods Hole Oceanographic Institution</t>
  </si>
  <si>
    <t xml:space="preserve">Autonomous Benthic Explorer (ABE)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</si>
  <si>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</si>
  <si>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</si>
  <si>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</si>
  <si>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</si>
  <si>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</si>
  <si>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</si>
  <si>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</si>
  <si>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</si>
  <si>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</si>
  <si>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</si>
  <si>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</si>
  <si>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</si>
  <si>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Bluefin Robotics</t>
  </si>
  <si>
    <t xml:space="preserve">Bluefin 21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</si>
  <si>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</si>
  <si>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</si>
  <si>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</si>
  <si>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</si>
  <si>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</si>
  <si>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</si>
  <si>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</si>
  <si>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</si>
  <si>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BPAUV</t>
  </si>
  <si>
    <t xml:space="preserve">Exocetus</t>
  </si>
  <si>
    <t xml:space="preserve">Coastal Glider</t>
  </si>
  <si>
    <t xml:space="preserve">https://www.exocetussystems.com/coastalglider</t>
  </si>
  <si>
    <t xml:space="preserve">Newcastle University</t>
  </si>
  <si>
    <t xml:space="preserve">Delphin 2</t>
  </si>
  <si>
    <t xml:space="preserve">https://doi.org/10.1177/1475090213506185</t>
  </si>
  <si>
    <t xml:space="preserve">Stone Aerospace</t>
  </si>
  <si>
    <t xml:space="preserve">DepthX</t>
  </si>
  <si>
    <t xml:space="preserve">https://stoneaerospace.com/depthx/</t>
  </si>
  <si>
    <t xml:space="preserve">Dorado</t>
  </si>
  <si>
    <t xml:space="preserve">https://www.mbari.org/at-sea/vehicles/autonomous-underwater-vehicles/seafloor-mapping-auv/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</si>
  <si>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</si>
  <si>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</si>
  <si>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</si>
  <si>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</si>
  <si>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</si>
  <si>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</si>
  <si>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</si>
  <si>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</si>
  <si>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</si>
  <si>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</si>
  <si>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</si>
  <si>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</si>
  <si>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Graal Tech</t>
  </si>
  <si>
    <t xml:space="preserve">Folaga</t>
  </si>
  <si>
    <t xml:space="preserve">https://www.graaltech.com/folaga-features</t>
  </si>
  <si>
    <t xml:space="preserve">Teledyne Marine</t>
  </si>
  <si>
    <t xml:space="preserve">Gavia</t>
  </si>
  <si>
    <t xml:space="preserve">http://www.teledynemarine.com/gavia-auv?ProductLineID=15</t>
  </si>
  <si>
    <t xml:space="preserve">HAUV</t>
  </si>
  <si>
    <t xml:space="preserve">https://gdmissionsystems.com/products/underwater-vehicles/bluefin-hauv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</si>
  <si>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</si>
  <si>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</si>
  <si>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</si>
  <si>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</si>
  <si>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</si>
  <si>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</si>
  <si>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</si>
  <si>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</si>
  <si>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</si>
  <si>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</si>
  <si>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</si>
  <si>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HUGIN 4500</t>
  </si>
  <si>
    <t xml:space="preserve">Kongsberg, 2009</t>
  </si>
  <si>
    <t xml:space="preserve">Hugin Superior</t>
  </si>
  <si>
    <t xml:space="preserve">https://www.kongsberg.com/globalassets/maritime/km-products/product-documents/hugin-superior.pdf</t>
  </si>
  <si>
    <t xml:space="preserve">YSI</t>
  </si>
  <si>
    <t xml:space="preserve">I3XO EcoMapper</t>
  </si>
  <si>
    <t xml:space="preserve">https://www.ysi.com/ecomapper</t>
  </si>
  <si>
    <t xml:space="preserve">Maritime and Ocean Engineering Research Institute</t>
  </si>
  <si>
    <t xml:space="preserve">ISiMI</t>
  </si>
  <si>
    <t xml:space="preserve">Jun et al., 2009</t>
  </si>
  <si>
    <t xml:space="preserve">OceanServer Technology</t>
  </si>
  <si>
    <t xml:space="preserve">Iver2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</si>
  <si>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</si>
  <si>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</si>
  <si>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</si>
  <si>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</si>
  <si>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</si>
  <si>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</si>
  <si>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</si>
  <si>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</si>
  <si>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Manta-ceresia</t>
  </si>
  <si>
    <t xml:space="preserve">http://underwater.iis.u-tokyo.ac.jp/robot/manta/Welcome-e.html</t>
  </si>
  <si>
    <t xml:space="preserve">University of Porto Ocean Systems Group</t>
  </si>
  <si>
    <t xml:space="preserve">MARES</t>
  </si>
  <si>
    <t xml:space="preserve">https://oceansys.fe.up.pt/?section=tech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</si>
  <si>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</si>
  <si>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</si>
  <si>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</si>
  <si>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</si>
  <si>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</si>
  <si>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</si>
  <si>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</si>
  <si>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</si>
  <si>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</si>
  <si>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</si>
  <si>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</si>
  <si>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microUUV</t>
  </si>
  <si>
    <t xml:space="preserve">Memorial University</t>
  </si>
  <si>
    <t xml:space="preserve">MUN Explorer</t>
  </si>
  <si>
    <t xml:space="preserve">Moli-Lithium-Ion Cobalt</t>
  </si>
  <si>
    <t xml:space="preserve">Nereus</t>
  </si>
  <si>
    <t xml:space="preserve">Bowen et al., 2008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</si>
  <si>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</si>
  <si>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</si>
  <si>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</si>
  <si>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</si>
  <si>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Office of Naval Research</t>
  </si>
  <si>
    <t xml:space="preserve">Oddysey</t>
  </si>
  <si>
    <t xml:space="preserve">https://doi.org/10.5670/oceanog.1993.03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</si>
  <si>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</si>
  <si>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</si>
  <si>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</si>
  <si>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</si>
  <si>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</si>
  <si>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</si>
  <si>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</si>
  <si>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PAIV AUV</t>
  </si>
  <si>
    <t xml:space="preserve">http://osl.eps.hw.ac.uk/virtualPages/experimentalCapabilities/PAIV%20auv.php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</si>
  <si>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</si>
  <si>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</si>
  <si>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</si>
  <si>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</si>
  <si>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</si>
  <si>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</si>
  <si>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</si>
  <si>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</si>
  <si>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</si>
  <si>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</si>
  <si>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</si>
  <si>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</si>
  <si>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</si>
  <si>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</si>
  <si>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</si>
  <si>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</si>
  <si>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</si>
  <si>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</si>
  <si>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</si>
  <si>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</si>
  <si>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</si>
  <si>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Marine Autonomous Systems Engineering</t>
  </si>
  <si>
    <t xml:space="preserve">SAUVIM</t>
  </si>
  <si>
    <t xml:space="preserve">http://maseinc.com/index.html</t>
  </si>
  <si>
    <t xml:space="preserve">Sea Raptor</t>
  </si>
  <si>
    <t xml:space="preserve">http://www.teledynemarine.com/searaptor-auv?ProductLineID=15</t>
  </si>
  <si>
    <t xml:space="preserve">seaBED</t>
  </si>
  <si>
    <t xml:space="preserve">https://web.whoi.edu/singh/auvasf/seabed/</t>
  </si>
  <si>
    <t xml:space="preserve">SeaBED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</si>
  <si>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</si>
  <si>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</si>
  <si>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</si>
  <si>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</si>
  <si>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</si>
  <si>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Seaglider</t>
  </si>
  <si>
    <t xml:space="preserve">Glider</t>
  </si>
  <si>
    <t xml:space="preserve">https://www.hydroid.com/seaglider#specifications-tab</t>
  </si>
  <si>
    <t xml:space="preserve">iRobot</t>
  </si>
  <si>
    <t xml:space="preserve">Lithium</t>
  </si>
  <si>
    <t xml:space="preserve">Atlas Elektronik</t>
  </si>
  <si>
    <t xml:space="preserve">Seaotter MkII</t>
  </si>
  <si>
    <t xml:space="preserve">Qinetiq</t>
  </si>
  <si>
    <t xml:space="preserve">SEAScout</t>
  </si>
  <si>
    <t xml:space="preserve">https://qinetiq-na.com/wp-content/uploads/SEAScout_Datasheet_LRv2.pdf</t>
  </si>
  <si>
    <t xml:space="preserve">Self-Mooring AUV</t>
  </si>
  <si>
    <t xml:space="preserve">https://www.ascl.ece.vt.edu/self_mooring.html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</si>
  <si>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</si>
  <si>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</si>
  <si>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</si>
  <si>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</si>
  <si>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</si>
  <si>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</si>
  <si>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</si>
  <si>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</si>
  <si>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</si>
  <si>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</si>
  <si>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</si>
  <si>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</si>
  <si>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</si>
  <si>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</si>
  <si>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Osaka University</t>
  </si>
  <si>
    <t xml:space="preserve">SOTAB-I</t>
  </si>
  <si>
    <t xml:space="preserve">http://dx.doi.org/10.1016/j.jlp.2017.03.006</t>
  </si>
  <si>
    <t xml:space="preserve">Scripps Institution of Oceanography</t>
  </si>
  <si>
    <t xml:space="preserve">Spray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</si>
  <si>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</si>
  <si>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</si>
  <si>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</si>
  <si>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</si>
  <si>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</si>
  <si>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</si>
  <si>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Ocean Aero</t>
  </si>
  <si>
    <t xml:space="preserve">SubMaran UUSV</t>
  </si>
  <si>
    <t xml:space="preserve">https://www.oceanaero.com/vehicles/</t>
  </si>
  <si>
    <t xml:space="preserve">Sunfish</t>
  </si>
  <si>
    <t xml:space="preserve">https://sunfishinc.com/</t>
  </si>
  <si>
    <t xml:space="preserve">Tethys</t>
  </si>
  <si>
    <t xml:space="preserve">https://www.mbari.org/at-sea/vehicles/autonomous-underwater-vehicles/long-range-auv-tethys/</t>
  </si>
  <si>
    <t xml:space="preserve">Theseus</t>
  </si>
  <si>
    <t xml:space="preserve">https://ise.bc.ca/wp-content/uploads/2017/12/Theseus-AUV.pdf</t>
  </si>
  <si>
    <t xml:space="preserve">Tri-Dog 1</t>
  </si>
  <si>
    <t xml:space="preserve">http://underwater.iis.u-tokyo.ac.jp/robot/tri/tridog-e.html</t>
  </si>
  <si>
    <t xml:space="preserve">TriMARES</t>
  </si>
  <si>
    <t xml:space="preserve">https://www.researchgate.net/publication/261465972_TriMARES_-_A_hybrid_AUVROV_for_dam_inspection</t>
  </si>
  <si>
    <t xml:space="preserve">Tuna-Sand</t>
  </si>
  <si>
    <t xml:space="preserve">Twin Burger</t>
  </si>
  <si>
    <t xml:space="preserve">http://underwater.iis.u-tokyo.ac.jp/robot/tb/tb-chp1-e.html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</si>
  <si>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</si>
  <si>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</si>
  <si>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</si>
  <si>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Boeing-Liquid Robotics</t>
  </si>
  <si>
    <t xml:space="preserve">Wave Glider</t>
  </si>
  <si>
    <t xml:space="preserve">https://www.boeing.com/resources/boeingdotcom/defense/autonomous-systems/wave-glider-sharc/wave_glider_data_sheet.pdf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</si>
  <si>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</si>
  <si>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</si>
  <si>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</si>
  <si>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</si>
  <si>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</si>
  <si>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</si>
  <si>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</si>
  <si>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</si>
  <si>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Re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</si>
  <si>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</si>
  <si>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</si>
  <si>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</si>
  <si>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</si>
  <si>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</si>
  <si>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</si>
  <si>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</si>
  <si>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</si>
  <si>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</si>
  <si>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</si>
  <si>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</si>
  <si>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</si>
  <si>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</si>
  <si>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</si>
  <si>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</si>
  <si>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</si>
  <si>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</si>
  <si>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</si>
  <si>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</si>
  <si>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</si>
  <si>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</si>
  <si>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</si>
  <si>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</si>
  <si>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</si>
  <si>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</si>
  <si>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</si>
  <si>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</si>
  <si>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</si>
  <si>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</si>
  <si>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</si>
  <si>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</si>
  <si>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</si>
  <si>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</si>
  <si>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</si>
  <si>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</si>
  <si>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</si>
  <si>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</si>
  <si>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</si>
  <si>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</si>
  <si>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</si>
  <si>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</si>
  <si>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</si>
  <si>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</si>
  <si>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</si>
  <si>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</si>
  <si>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</si>
  <si>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</si>
  <si>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</si>
  <si>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</si>
  <si>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</si>
  <si>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</si>
  <si>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</si>
  <si>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</si>
  <si>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</si>
  <si>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</si>
  <si>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</si>
  <si>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</si>
  <si>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</si>
  <si>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</si>
  <si>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</si>
  <si>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</si>
  <si>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</si>
  <si>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</si>
  <si>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</si>
  <si>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</si>
  <si>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</si>
  <si>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</si>
  <si>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</si>
  <si>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</si>
  <si>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</si>
  <si>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</si>
  <si>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</si>
  <si>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</si>
  <si>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</si>
  <si>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</si>
  <si>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</si>
  <si>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</si>
  <si>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</si>
  <si>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</si>
  <si>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</si>
  <si>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</si>
  <si>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</si>
  <si>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</si>
  <si>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</si>
  <si>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</si>
  <si>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</si>
  <si>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</si>
  <si>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</si>
  <si>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</si>
  <si>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</si>
  <si>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</si>
  <si>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</si>
  <si>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</si>
  <si>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</si>
  <si>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</si>
  <si>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</si>
  <si>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</si>
  <si>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</si>
  <si>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</si>
  <si>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</si>
  <si>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</si>
  <si>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</si>
  <si>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</si>
  <si>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</si>
  <si>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</si>
  <si>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</si>
  <si>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</si>
  <si>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</si>
  <si>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</si>
  <si>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</si>
  <si>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</si>
  <si>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</si>
  <si>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</si>
  <si>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</si>
  <si>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</si>
  <si>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</si>
  <si>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</si>
  <si>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</si>
  <si>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</si>
  <si>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</si>
  <si>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</si>
  <si>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</si>
  <si>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</si>
  <si>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</si>
  <si>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</si>
  <si>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</si>
  <si>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</si>
  <si>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</si>
  <si>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</si>
  <si>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</si>
  <si>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</si>
  <si>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</si>
  <si>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</si>
  <si>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</si>
  <si>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</si>
  <si>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</si>
  <si>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</si>
  <si>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</si>
  <si>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</si>
  <si>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</si>
  <si>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</si>
  <si>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</si>
  <si>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</si>
  <si>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</si>
  <si>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</si>
  <si>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</si>
  <si>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</si>
  <si>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</si>
  <si>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</si>
  <si>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</si>
  <si>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</si>
  <si>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</si>
  <si>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</si>
  <si>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</si>
  <si>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</si>
  <si>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</si>
  <si>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</si>
  <si>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</si>
  <si>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</si>
  <si>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</si>
  <si>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</si>
  <si>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</si>
  <si>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</si>
  <si>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</si>
  <si>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</si>
  <si>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</si>
  <si>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</si>
  <si>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</si>
  <si>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</si>
  <si>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</si>
  <si>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</si>
  <si>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</si>
  <si>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</si>
  <si>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</si>
  <si>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</si>
  <si>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</si>
  <si>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</si>
  <si>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</si>
  <si>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</si>
  <si>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</si>
  <si>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</si>
  <si>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</si>
  <si>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</si>
  <si>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</si>
  <si>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</si>
  <si>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</si>
  <si>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</si>
  <si>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</si>
  <si>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</si>
  <si>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</si>
  <si>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</si>
  <si>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</si>
  <si>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</si>
  <si>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</si>
  <si>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</si>
  <si>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</si>
  <si>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</si>
  <si>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</si>
  <si>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</si>
  <si>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</si>
  <si>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</si>
  <si>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Univesrity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</si>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</sst>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D101" headerRowCount="1" totalsRowCount="0" totalsRowShown="0">
  <tableColumns count="30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29"/>
    <tableColumn id="21" name="Column28"/>
    <tableColumn id="22" name="Column18"/>
    <tableColumn id="23" name="Column19"/>
    <tableColumn id="24" name="Column20"/>
    <tableColumn id="25" name="Column21"/>
    <tableColumn id="26" name="Column22"/>
    <tableColumn id="27" name="Column23"/>
    <tableColumn id="28" name="Column24"/>
    <tableColumn id="29" name="Column25"/>
    <tableColumn id="30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Y34" headerRowCount="1" totalsRowCount="0" totalsRowShown="0">
  <tableColumns count="25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Re"/>
    <tableColumn id="20" name="Sw"/>
    <tableColumn id="21" name="Yaw Speed [m/s]"/>
    <tableColumn id="22" name="Yaw Radius [m]"/>
    <tableColumn id="23" name="Max Depth [m]"/>
    <tableColumn id="24" name="Endurance [hr]"/>
    <tableColumn id="25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8" activeCellId="0" sqref="L58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customFormat="fals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0.647</v>
      </c>
      <c r="E2" s="1" t="n">
        <v>0.191</v>
      </c>
      <c r="F2" s="1" t="n">
        <v>0.191</v>
      </c>
      <c r="G2" s="1" t="n">
        <v>29.5</v>
      </c>
      <c r="H2" s="1" t="n">
        <v>7</v>
      </c>
      <c r="I2" s="1" t="n">
        <f aca="false">ROUND(H2*0.514,2)</f>
        <v>3.6</v>
      </c>
      <c r="M2" s="1" t="n">
        <v>300</v>
      </c>
      <c r="S2" s="1" t="s">
        <v>22</v>
      </c>
    </row>
    <row r="3" customFormat="false" ht="13.8" hidden="false" customHeight="true" outlineLevel="0" collapsed="false">
      <c r="A3" s="1" t="s">
        <v>19</v>
      </c>
      <c r="B3" s="1" t="s">
        <v>23</v>
      </c>
      <c r="C3" s="1" t="s">
        <v>21</v>
      </c>
      <c r="D3" s="1" t="n">
        <v>0.8</v>
      </c>
      <c r="E3" s="1" t="n">
        <v>23.8</v>
      </c>
      <c r="F3" s="1" t="n">
        <v>23.8</v>
      </c>
      <c r="G3" s="1" t="n">
        <v>54.5</v>
      </c>
      <c r="H3" s="1" t="n">
        <v>6</v>
      </c>
      <c r="I3" s="1" t="n">
        <f aca="false">ROUND(H3*0.514,2)</f>
        <v>3.08</v>
      </c>
      <c r="M3" s="1" t="n">
        <v>300</v>
      </c>
      <c r="S3" s="1" t="s">
        <v>22</v>
      </c>
    </row>
    <row r="4" customFormat="false" ht="13.8" hidden="false" customHeight="true" outlineLevel="0" collapsed="false">
      <c r="A4" s="1" t="s">
        <v>24</v>
      </c>
      <c r="B4" s="1" t="s">
        <v>25</v>
      </c>
      <c r="C4" s="1" t="s">
        <v>21</v>
      </c>
      <c r="D4" s="1" t="n">
        <f aca="false">ROUND(34*0.0254,2)</f>
        <v>0.86</v>
      </c>
      <c r="E4" s="1" t="n">
        <f aca="false">ROUND(4.75*0.0254,2)</f>
        <v>0.12</v>
      </c>
      <c r="F4" s="1" t="n">
        <v>0.12</v>
      </c>
      <c r="G4" s="1" t="n">
        <f aca="false">ROUND(18.3/2.2,2)</f>
        <v>8.32</v>
      </c>
      <c r="H4" s="1" t="n">
        <v>3</v>
      </c>
      <c r="I4" s="1" t="n">
        <f aca="false">ROUND(H4*0.514,2)</f>
        <v>1.54</v>
      </c>
      <c r="N4" s="3" t="n">
        <v>8</v>
      </c>
      <c r="S4" s="1" t="s">
        <v>26</v>
      </c>
    </row>
    <row r="5" customFormat="false" ht="13.8" hidden="false" customHeight="true" outlineLevel="0" collapsed="false">
      <c r="A5" s="1" t="s">
        <v>24</v>
      </c>
      <c r="B5" s="1" t="s">
        <v>27</v>
      </c>
      <c r="C5" s="1" t="s">
        <v>21</v>
      </c>
      <c r="D5" s="1" t="n">
        <f aca="false">ROUND(81*0.0254,2)</f>
        <v>2.06</v>
      </c>
      <c r="E5" s="1" t="n">
        <f aca="false">ROUND(6.9*0.0254,2)</f>
        <v>0.18</v>
      </c>
      <c r="F5" s="1" t="n">
        <v>0.18</v>
      </c>
      <c r="G5" s="1" t="n">
        <f aca="false">ROUND(91/2.2,2)</f>
        <v>41.36</v>
      </c>
      <c r="H5" s="1" t="n">
        <v>4</v>
      </c>
      <c r="I5" s="1" t="n">
        <f aca="false">ROUND(H5*0.514,2)</f>
        <v>2.06</v>
      </c>
      <c r="M5" s="1" t="n">
        <v>500</v>
      </c>
      <c r="N5" s="3" t="n">
        <v>24</v>
      </c>
      <c r="S5" s="1" t="s">
        <v>28</v>
      </c>
    </row>
    <row r="6" customFormat="false" ht="13.8" hidden="false" customHeight="true" outlineLevel="0" collapsed="false">
      <c r="A6" s="1" t="s">
        <v>29</v>
      </c>
      <c r="B6" s="1" t="s">
        <v>30</v>
      </c>
      <c r="C6" s="1" t="s">
        <v>21</v>
      </c>
      <c r="D6" s="1" t="n">
        <v>1.4</v>
      </c>
      <c r="E6" s="1" t="n">
        <v>1.2</v>
      </c>
      <c r="F6" s="1" t="n">
        <v>0.236</v>
      </c>
      <c r="G6" s="1" t="n">
        <v>45</v>
      </c>
      <c r="H6" s="1" t="n">
        <v>2</v>
      </c>
      <c r="I6" s="1" t="n">
        <f aca="false">ROUND(H6*0.514,2)</f>
        <v>1.03</v>
      </c>
      <c r="M6" s="1" t="n">
        <v>300</v>
      </c>
      <c r="N6" s="3" t="n">
        <v>0.5</v>
      </c>
      <c r="S6" s="1" t="s">
        <v>31</v>
      </c>
    </row>
    <row r="7" customFormat="false" ht="13.8" hidden="false" customHeight="true" outlineLevel="0" collapsed="false">
      <c r="A7" s="1" t="s">
        <v>32</v>
      </c>
      <c r="B7" s="1" t="s">
        <v>33</v>
      </c>
      <c r="C7" s="1" t="s">
        <v>21</v>
      </c>
      <c r="D7" s="1" t="n">
        <v>5</v>
      </c>
      <c r="E7" s="1" t="n">
        <v>1.68</v>
      </c>
      <c r="F7" s="1" t="n">
        <v>1.14</v>
      </c>
      <c r="G7" s="1" t="n">
        <v>2300</v>
      </c>
      <c r="H7" s="1" t="n">
        <v>2.06</v>
      </c>
      <c r="I7" s="1" t="n">
        <v>1.03</v>
      </c>
      <c r="J7" s="2" t="n">
        <v>0.46</v>
      </c>
      <c r="K7" s="1" t="n">
        <f aca="false">J7*G7</f>
        <v>1058</v>
      </c>
      <c r="L7" s="1" t="n">
        <f aca="false">K7*D7</f>
        <v>5290</v>
      </c>
      <c r="M7" s="1" t="n">
        <v>3000</v>
      </c>
      <c r="N7" s="1" t="n">
        <v>20</v>
      </c>
      <c r="O7" s="1" t="n">
        <v>22</v>
      </c>
      <c r="P7" s="1" t="s">
        <v>34</v>
      </c>
      <c r="Q7" s="1"/>
      <c r="S7" s="6" t="s">
        <v>35</v>
      </c>
    </row>
    <row r="8" customFormat="false" ht="13.8" hidden="false" customHeight="true" outlineLevel="0" collapsed="false">
      <c r="A8" s="1" t="s">
        <v>32</v>
      </c>
      <c r="B8" s="1" t="s">
        <v>36</v>
      </c>
      <c r="C8" s="1" t="s">
        <v>21</v>
      </c>
      <c r="D8" s="1" t="n">
        <v>5</v>
      </c>
      <c r="E8" s="1" t="n">
        <v>0.7</v>
      </c>
      <c r="G8" s="1" t="n">
        <v>950</v>
      </c>
      <c r="H8" s="1" t="n">
        <v>4.11</v>
      </c>
      <c r="I8" s="1" t="n">
        <v>2.05</v>
      </c>
      <c r="J8" s="2" t="n">
        <v>1.13</v>
      </c>
      <c r="K8" s="1" t="n">
        <f aca="false">J8*G8</f>
        <v>1073.5</v>
      </c>
      <c r="L8" s="1" t="n">
        <f aca="false">K8*D8</f>
        <v>5367.5</v>
      </c>
      <c r="M8" s="1" t="n">
        <v>300</v>
      </c>
      <c r="N8" s="1" t="n">
        <v>10</v>
      </c>
      <c r="O8" s="1" t="n">
        <v>22</v>
      </c>
      <c r="P8" s="1" t="s">
        <v>34</v>
      </c>
      <c r="Q8" s="1"/>
      <c r="S8" s="6" t="s">
        <v>35</v>
      </c>
    </row>
    <row r="9" customFormat="false" ht="13.8" hidden="false" customHeight="true" outlineLevel="0" collapsed="false">
      <c r="A9" s="1" t="s">
        <v>37</v>
      </c>
      <c r="B9" s="1" t="s">
        <v>38</v>
      </c>
      <c r="C9" s="1" t="s">
        <v>21</v>
      </c>
      <c r="D9" s="1" t="n">
        <v>4</v>
      </c>
      <c r="E9" s="1" t="n">
        <v>2.2</v>
      </c>
      <c r="F9" s="1" t="n">
        <v>1.6</v>
      </c>
      <c r="G9" s="1" t="n">
        <v>3500</v>
      </c>
      <c r="H9" s="1" t="n">
        <v>2.57</v>
      </c>
      <c r="I9" s="1" t="n">
        <v>1.54</v>
      </c>
      <c r="J9" s="2" t="n">
        <v>1.17</v>
      </c>
      <c r="K9" s="1" t="n">
        <f aca="false">J9*G9</f>
        <v>4095</v>
      </c>
      <c r="L9" s="1" t="n">
        <f aca="false">K9*D9</f>
        <v>16380</v>
      </c>
      <c r="N9" s="1" t="n">
        <v>7</v>
      </c>
      <c r="O9" s="1" t="n">
        <v>44</v>
      </c>
      <c r="P9" s="1" t="s">
        <v>39</v>
      </c>
      <c r="Q9" s="1"/>
      <c r="S9" s="1" t="s">
        <v>40</v>
      </c>
    </row>
    <row r="10" customFormat="false" ht="13.8" hidden="false" customHeight="true" outlineLevel="0" collapsed="false">
      <c r="A10" s="1" t="s">
        <v>41</v>
      </c>
      <c r="B10" s="1" t="s">
        <v>42</v>
      </c>
      <c r="C10" s="1" t="s">
        <v>21</v>
      </c>
      <c r="D10" s="1" t="n">
        <v>3</v>
      </c>
      <c r="E10" s="1" t="n">
        <v>0.4</v>
      </c>
      <c r="F10" s="1" t="n">
        <v>0.25</v>
      </c>
      <c r="G10" s="1" t="n">
        <v>220</v>
      </c>
      <c r="H10" s="1" t="n">
        <v>3.5</v>
      </c>
      <c r="I10" s="1" t="n">
        <f aca="false">ROUND(H10*0.514,2)</f>
        <v>1.8</v>
      </c>
      <c r="M10" s="1" t="n">
        <v>50</v>
      </c>
      <c r="N10" s="3" t="n">
        <v>8</v>
      </c>
      <c r="S10" s="1" t="s">
        <v>43</v>
      </c>
    </row>
    <row r="11" s="1" customFormat="true" ht="13.8" hidden="false" customHeight="true" outlineLevel="0" collapsed="false">
      <c r="A11" s="1" t="s">
        <v>44</v>
      </c>
      <c r="B11" s="1" t="s">
        <v>45</v>
      </c>
      <c r="C11" s="1" t="s">
        <v>21</v>
      </c>
      <c r="D11" s="1" t="n">
        <v>3</v>
      </c>
      <c r="E11" s="1" t="n">
        <v>2</v>
      </c>
      <c r="F11" s="1" t="n">
        <v>2.5</v>
      </c>
      <c r="G11" s="1" t="n">
        <v>550</v>
      </c>
      <c r="H11" s="1" t="n">
        <v>0.34</v>
      </c>
      <c r="I11" s="1" t="n">
        <v>0.17</v>
      </c>
      <c r="J11" s="2" t="n">
        <v>2.67</v>
      </c>
      <c r="K11" s="1" t="n">
        <f aca="false">J11*G11</f>
        <v>1468.5</v>
      </c>
      <c r="L11" s="1" t="n">
        <f aca="false">K11*D11</f>
        <v>4405.5</v>
      </c>
      <c r="M11" s="1" t="n">
        <v>6000</v>
      </c>
      <c r="N11" s="1" t="n">
        <v>20</v>
      </c>
      <c r="O11" s="1" t="n">
        <v>5</v>
      </c>
      <c r="R11" s="3"/>
    </row>
    <row r="12" s="1" customFormat="true" ht="13.8" hidden="false" customHeight="true" outlineLevel="0" collapsed="false">
      <c r="A12" s="1" t="s">
        <v>44</v>
      </c>
      <c r="B12" s="1" t="s">
        <v>45</v>
      </c>
      <c r="C12" s="1" t="s">
        <v>21</v>
      </c>
      <c r="D12" s="1" t="n">
        <v>3</v>
      </c>
      <c r="E12" s="1" t="n">
        <v>2</v>
      </c>
      <c r="F12" s="1" t="n">
        <v>2.5</v>
      </c>
      <c r="G12" s="1" t="n">
        <v>550</v>
      </c>
      <c r="H12" s="1" t="n">
        <v>0.34</v>
      </c>
      <c r="I12" s="1" t="n">
        <v>0.17</v>
      </c>
      <c r="J12" s="2" t="n">
        <v>2.67</v>
      </c>
      <c r="K12" s="1" t="n">
        <f aca="false">J12*G12</f>
        <v>1468.5</v>
      </c>
      <c r="L12" s="1" t="n">
        <f aca="false">K12*D12</f>
        <v>4405.5</v>
      </c>
      <c r="M12" s="1" t="n">
        <v>6000</v>
      </c>
      <c r="N12" s="1" t="n">
        <v>20</v>
      </c>
      <c r="O12" s="1" t="n">
        <v>5</v>
      </c>
      <c r="R12" s="3"/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3.7</v>
      </c>
      <c r="E13" s="1" t="n">
        <v>0.8</v>
      </c>
      <c r="F13" s="1" t="n">
        <v>0.8</v>
      </c>
      <c r="G13" s="1" t="n">
        <v>1300</v>
      </c>
      <c r="H13" s="1" t="n">
        <v>3.9</v>
      </c>
      <c r="I13" s="1" t="n">
        <f aca="false">ROUND(H13*0.514,2)</f>
        <v>2</v>
      </c>
      <c r="J13" s="2" t="n">
        <f aca="false">K13/G13</f>
        <v>0.0980769230769231</v>
      </c>
      <c r="K13" s="3" t="n">
        <v>127.5</v>
      </c>
      <c r="L13" s="1" t="n">
        <f aca="false">K13*D13</f>
        <v>471.75</v>
      </c>
      <c r="M13" s="1" t="n">
        <v>6000</v>
      </c>
      <c r="N13" s="3" t="n">
        <v>72</v>
      </c>
      <c r="Q13" s="3" t="n">
        <v>255</v>
      </c>
      <c r="S13" s="1" t="s">
        <v>48</v>
      </c>
    </row>
    <row r="14" customFormat="false" ht="13.8" hidden="false" customHeight="true" outlineLevel="0" collapsed="false">
      <c r="A14" s="1" t="s">
        <v>46</v>
      </c>
      <c r="B14" s="1" t="s">
        <v>49</v>
      </c>
      <c r="C14" s="1" t="s">
        <v>21</v>
      </c>
      <c r="D14" s="1" t="n">
        <v>3.7</v>
      </c>
      <c r="E14" s="1" t="n">
        <v>0.9</v>
      </c>
      <c r="F14" s="1" t="n">
        <v>0.9</v>
      </c>
      <c r="G14" s="1" t="n">
        <v>1300</v>
      </c>
      <c r="H14" s="1" t="n">
        <v>2</v>
      </c>
      <c r="I14" s="1" t="n">
        <v>1</v>
      </c>
      <c r="J14" s="2" t="n">
        <v>0.15</v>
      </c>
      <c r="K14" s="1" t="n">
        <f aca="false">J14*G14</f>
        <v>195</v>
      </c>
      <c r="L14" s="1" t="n">
        <f aca="false">K14*D14</f>
        <v>721.5</v>
      </c>
      <c r="M14" s="1" t="n">
        <v>6000</v>
      </c>
      <c r="N14" s="1" t="n">
        <v>103</v>
      </c>
      <c r="O14" s="1" t="n">
        <v>42</v>
      </c>
      <c r="P14" s="6" t="s">
        <v>50</v>
      </c>
      <c r="Q14" s="1"/>
      <c r="S14" s="6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4.8</v>
      </c>
      <c r="E15" s="1" t="n">
        <v>0.5</v>
      </c>
      <c r="F15" s="1" t="n">
        <v>0.5</v>
      </c>
      <c r="G15" s="1" t="n">
        <v>490</v>
      </c>
      <c r="H15" s="1" t="n">
        <v>4</v>
      </c>
      <c r="I15" s="1" t="n">
        <f aca="false">ROUND(H15*0.514,2)</f>
        <v>2.06</v>
      </c>
      <c r="M15" s="1" t="n">
        <v>150</v>
      </c>
      <c r="S15" s="1" t="s">
        <v>54</v>
      </c>
    </row>
    <row r="16" customFormat="false" ht="13.8" hidden="false" customHeight="true" outlineLevel="0" collapsed="false">
      <c r="A16" s="1" t="s">
        <v>55</v>
      </c>
      <c r="B16" s="1" t="s">
        <v>56</v>
      </c>
      <c r="C16" s="1" t="s">
        <v>21</v>
      </c>
      <c r="D16" s="1" t="n">
        <v>2.5</v>
      </c>
      <c r="E16" s="1" t="n">
        <v>1.5</v>
      </c>
      <c r="F16" s="1" t="n">
        <v>1.2</v>
      </c>
      <c r="G16" s="1" t="n">
        <v>1400</v>
      </c>
      <c r="H16" s="1" t="n">
        <v>0.39</v>
      </c>
      <c r="I16" s="1" t="n">
        <f aca="false">ROUND(H16*0.514,2)</f>
        <v>0.2</v>
      </c>
      <c r="M16" s="1" t="n">
        <v>6000</v>
      </c>
      <c r="N16" s="3" t="n">
        <v>8766</v>
      </c>
      <c r="S16" s="1" t="s">
        <v>57</v>
      </c>
    </row>
    <row r="17" s="1" customFormat="true" ht="13.8" hidden="false" customHeight="true" outlineLevel="0" collapsed="false">
      <c r="A17" s="1" t="s">
        <v>58</v>
      </c>
      <c r="B17" s="1" t="s">
        <v>59</v>
      </c>
      <c r="C17" s="1" t="s">
        <v>21</v>
      </c>
      <c r="D17" s="1" t="n">
        <v>4.93</v>
      </c>
      <c r="E17" s="1" t="n">
        <v>0.53</v>
      </c>
      <c r="F17" s="1" t="n">
        <v>0.53</v>
      </c>
      <c r="G17" s="1" t="n">
        <v>750</v>
      </c>
      <c r="H17" s="1" t="n">
        <v>2.3</v>
      </c>
      <c r="I17" s="1" t="n">
        <v>1.54</v>
      </c>
      <c r="J17" s="2" t="n">
        <v>0.47</v>
      </c>
      <c r="K17" s="1" t="n">
        <f aca="false">J17*G17</f>
        <v>352.5</v>
      </c>
      <c r="L17" s="1" t="n">
        <f aca="false">K17*D17</f>
        <v>1737.825</v>
      </c>
      <c r="M17" s="1" t="n">
        <v>4500</v>
      </c>
      <c r="N17" s="1" t="n">
        <v>25</v>
      </c>
      <c r="O17" s="1" t="n">
        <v>13.5</v>
      </c>
      <c r="R17" s="3"/>
    </row>
    <row r="18" customFormat="false" ht="13.8" hidden="false" customHeight="true" outlineLevel="0" collapsed="false">
      <c r="A18" s="1" t="s">
        <v>60</v>
      </c>
      <c r="B18" s="1" t="s">
        <v>61</v>
      </c>
      <c r="C18" s="1" t="s">
        <v>21</v>
      </c>
      <c r="D18" s="1" t="n">
        <v>4.83</v>
      </c>
      <c r="E18" s="1" t="n">
        <v>0.32</v>
      </c>
      <c r="F18" s="1" t="n">
        <v>0.32</v>
      </c>
      <c r="G18" s="1" t="n">
        <v>250</v>
      </c>
      <c r="H18" s="1" t="n">
        <v>3.08667</v>
      </c>
      <c r="I18" s="1" t="n">
        <v>1.028889</v>
      </c>
      <c r="M18" s="1" t="n">
        <v>200</v>
      </c>
      <c r="N18" s="3" t="n">
        <v>36</v>
      </c>
      <c r="O18" s="3" t="n">
        <v>7.6</v>
      </c>
      <c r="P18" s="3" t="s">
        <v>34</v>
      </c>
      <c r="S18" s="1" t="s">
        <v>62</v>
      </c>
    </row>
    <row r="19" customFormat="false" ht="13.8" hidden="false" customHeight="true" outlineLevel="0" collapsed="false">
      <c r="A19" s="1" t="s">
        <v>60</v>
      </c>
      <c r="B19" s="1" t="s">
        <v>63</v>
      </c>
      <c r="C19" s="1" t="s">
        <v>21</v>
      </c>
      <c r="D19" s="1" t="n">
        <v>4.93</v>
      </c>
      <c r="E19" s="1" t="n">
        <v>0.53</v>
      </c>
      <c r="F19" s="1" t="n">
        <v>0.53</v>
      </c>
      <c r="G19" s="1" t="n">
        <v>750</v>
      </c>
      <c r="H19" s="1" t="n">
        <v>2.315</v>
      </c>
      <c r="I19" s="1" t="n">
        <v>1.5433</v>
      </c>
      <c r="M19" s="1" t="n">
        <v>200</v>
      </c>
      <c r="N19" s="3" t="n">
        <v>25</v>
      </c>
      <c r="O19" s="3" t="n">
        <v>13.5</v>
      </c>
      <c r="P19" s="3" t="s">
        <v>64</v>
      </c>
      <c r="S19" s="1" t="s">
        <v>65</v>
      </c>
    </row>
    <row r="20" customFormat="false" ht="13.8" hidden="false" customHeight="true" outlineLevel="0" collapsed="false">
      <c r="A20" s="1" t="s">
        <v>60</v>
      </c>
      <c r="B20" s="1" t="s">
        <v>66</v>
      </c>
      <c r="C20" s="1" t="s">
        <v>21</v>
      </c>
      <c r="D20" s="1" t="n">
        <v>2.481</v>
      </c>
      <c r="E20" s="1" t="n">
        <v>0.238</v>
      </c>
      <c r="F20" s="1" t="n">
        <v>0.264</v>
      </c>
      <c r="G20" s="1" t="n">
        <v>70</v>
      </c>
      <c r="H20" s="1" t="n">
        <v>3.08667</v>
      </c>
      <c r="I20" s="1" t="n">
        <v>1.028889</v>
      </c>
      <c r="M20" s="1" t="n">
        <v>200</v>
      </c>
      <c r="N20" s="3" t="n">
        <v>12</v>
      </c>
      <c r="O20" s="3" t="n">
        <v>1.9</v>
      </c>
      <c r="P20" s="3" t="s">
        <v>34</v>
      </c>
      <c r="S20" s="1" t="s">
        <v>67</v>
      </c>
    </row>
    <row r="21" customFormat="false" ht="13.8" hidden="false" customHeight="true" outlineLevel="0" collapsed="false">
      <c r="A21" s="1" t="s">
        <v>58</v>
      </c>
      <c r="B21" s="1" t="s">
        <v>68</v>
      </c>
      <c r="C21" s="1" t="s">
        <v>21</v>
      </c>
      <c r="D21" s="1" t="n">
        <v>1.83</v>
      </c>
      <c r="E21" s="1" t="n">
        <v>0.53</v>
      </c>
      <c r="F21" s="1" t="n">
        <v>0.53</v>
      </c>
      <c r="G21" s="1" t="n">
        <v>362.87</v>
      </c>
      <c r="H21" s="1" t="n">
        <v>2.06</v>
      </c>
      <c r="I21" s="1" t="n">
        <v>1.54</v>
      </c>
      <c r="J21" s="2" t="n">
        <v>0.45</v>
      </c>
      <c r="K21" s="1" t="n">
        <f aca="false">J21*G21</f>
        <v>163.2915</v>
      </c>
      <c r="L21" s="1" t="n">
        <f aca="false">K21*D21</f>
        <v>298.823445</v>
      </c>
      <c r="M21" s="1" t="n">
        <v>6000</v>
      </c>
      <c r="N21" s="1" t="n">
        <v>18</v>
      </c>
      <c r="O21" s="1" t="n">
        <v>4.5</v>
      </c>
      <c r="P21" s="1" t="s">
        <v>34</v>
      </c>
      <c r="Q21" s="1"/>
    </row>
    <row r="22" customFormat="false" ht="13.8" hidden="false" customHeight="true" outlineLevel="0" collapsed="false">
      <c r="A22" s="1" t="s">
        <v>69</v>
      </c>
      <c r="B22" s="1" t="s">
        <v>70</v>
      </c>
      <c r="C22" s="1" t="s">
        <v>21</v>
      </c>
      <c r="D22" s="1" t="n">
        <v>1.829</v>
      </c>
      <c r="E22" s="1" t="n">
        <v>1.062</v>
      </c>
      <c r="F22" s="1" t="n">
        <v>0.324</v>
      </c>
      <c r="G22" s="1" t="n">
        <v>109</v>
      </c>
      <c r="H22" s="1" t="n">
        <v>2</v>
      </c>
      <c r="I22" s="1" t="n">
        <f aca="false">ROUND(H22*0.514,2)</f>
        <v>1.03</v>
      </c>
      <c r="M22" s="1" t="n">
        <v>200</v>
      </c>
      <c r="N22" s="3" t="n">
        <f aca="false">30*24</f>
        <v>720</v>
      </c>
      <c r="S22" s="1" t="s">
        <v>71</v>
      </c>
    </row>
    <row r="23" customFormat="false" ht="13.8" hidden="false" customHeight="true" outlineLevel="0" collapsed="false">
      <c r="A23" s="1" t="s">
        <v>72</v>
      </c>
      <c r="B23" s="1" t="s">
        <v>73</v>
      </c>
      <c r="C23" s="1" t="s">
        <v>21</v>
      </c>
      <c r="D23" s="1" t="n">
        <v>1.96</v>
      </c>
      <c r="E23" s="1" t="n">
        <v>0.254</v>
      </c>
      <c r="F23" s="1" t="n">
        <v>0.254</v>
      </c>
      <c r="G23" s="1" t="n">
        <v>50</v>
      </c>
      <c r="H23" s="1" t="n">
        <v>1</v>
      </c>
      <c r="I23" s="1" t="n">
        <f aca="false">ROUND(H23/D23, 2)</f>
        <v>0.51</v>
      </c>
      <c r="M23" s="1" t="n">
        <v>50</v>
      </c>
      <c r="N23" s="3" t="n">
        <v>8</v>
      </c>
      <c r="O23" s="3" t="n">
        <v>0.03</v>
      </c>
      <c r="Q23" s="3" t="n">
        <v>30</v>
      </c>
      <c r="S23" s="1" t="s">
        <v>74</v>
      </c>
    </row>
    <row r="24" customFormat="false" ht="13.8" hidden="false" customHeight="true" outlineLevel="0" collapsed="false">
      <c r="A24" s="1" t="s">
        <v>75</v>
      </c>
      <c r="B24" s="1" t="s">
        <v>76</v>
      </c>
      <c r="C24" s="1" t="s">
        <v>21</v>
      </c>
      <c r="D24" s="1" t="n">
        <v>4.26</v>
      </c>
      <c r="E24" s="1" t="n">
        <v>3.04</v>
      </c>
      <c r="F24" s="1" t="n">
        <v>3.04</v>
      </c>
      <c r="G24" s="1" t="n">
        <v>1350</v>
      </c>
      <c r="H24" s="1" t="n">
        <v>0.39</v>
      </c>
      <c r="I24" s="1" t="n">
        <f aca="false">ROUND(H24*0.514,2)</f>
        <v>0.2</v>
      </c>
      <c r="M24" s="1" t="n">
        <v>1000</v>
      </c>
      <c r="S24" s="1" t="s">
        <v>77</v>
      </c>
    </row>
    <row r="25" customFormat="false" ht="13.8" hidden="false" customHeight="true" outlineLevel="0" collapsed="false">
      <c r="A25" s="1" t="s">
        <v>55</v>
      </c>
      <c r="B25" s="1" t="s">
        <v>78</v>
      </c>
      <c r="C25" s="1" t="s">
        <v>21</v>
      </c>
      <c r="D25" s="1" t="n">
        <v>6.4</v>
      </c>
      <c r="E25" s="1" t="n">
        <v>0.533</v>
      </c>
      <c r="F25" s="1" t="n">
        <v>0.533</v>
      </c>
      <c r="G25" s="1" t="n">
        <v>476</v>
      </c>
      <c r="I25" s="1" t="n">
        <f aca="false">ROUND(H25*0.514,2)</f>
        <v>0</v>
      </c>
      <c r="M25" s="1" t="n">
        <v>6000</v>
      </c>
      <c r="N25" s="3" t="n">
        <v>20</v>
      </c>
      <c r="S25" s="1" t="s">
        <v>79</v>
      </c>
    </row>
    <row r="26" customFormat="false" ht="13.8" hidden="false" customHeight="true" outlineLevel="0" collapsed="false">
      <c r="A26" s="1" t="s">
        <v>55</v>
      </c>
      <c r="B26" s="1" t="s">
        <v>78</v>
      </c>
      <c r="C26" s="1" t="s">
        <v>21</v>
      </c>
      <c r="D26" s="1" t="n">
        <v>5.24</v>
      </c>
      <c r="E26" s="1" t="n">
        <v>0.53</v>
      </c>
      <c r="F26" s="1" t="n">
        <v>0.53</v>
      </c>
      <c r="G26" s="1" t="n">
        <v>1018</v>
      </c>
      <c r="H26" s="1" t="n">
        <v>2.06</v>
      </c>
      <c r="I26" s="1" t="n">
        <v>1.54</v>
      </c>
      <c r="J26" s="2" t="n">
        <v>0.48</v>
      </c>
      <c r="K26" s="1" t="n">
        <f aca="false">J26*G26</f>
        <v>488.64</v>
      </c>
      <c r="L26" s="1" t="n">
        <f aca="false">K26*D26</f>
        <v>2560.4736</v>
      </c>
      <c r="M26" s="1" t="n">
        <v>1500</v>
      </c>
      <c r="N26" s="1" t="n">
        <v>8</v>
      </c>
      <c r="O26" s="1" t="n">
        <v>6</v>
      </c>
      <c r="P26" s="1" t="s">
        <v>34</v>
      </c>
      <c r="Q26" s="1"/>
    </row>
    <row r="27" customFormat="false" ht="13.8" hidden="false" customHeight="true" outlineLevel="0" collapsed="false">
      <c r="A27" s="1" t="s">
        <v>80</v>
      </c>
      <c r="B27" s="1" t="s">
        <v>81</v>
      </c>
      <c r="C27" s="1" t="s">
        <v>21</v>
      </c>
      <c r="D27" s="1" t="n">
        <v>15.5</v>
      </c>
      <c r="E27" s="1" t="n">
        <v>2.6</v>
      </c>
      <c r="F27" s="1" t="n">
        <v>2.6</v>
      </c>
      <c r="G27" s="1" t="n">
        <v>45360</v>
      </c>
      <c r="H27" s="1" t="n">
        <v>8</v>
      </c>
      <c r="I27" s="1" t="n">
        <f aca="false">ROUND(H27*0.514,2)</f>
        <v>4.11</v>
      </c>
      <c r="M27" s="1" t="n">
        <v>3000</v>
      </c>
      <c r="N27" s="3" t="n">
        <f aca="false">ROUND(277800.1/(I27*3600),2)</f>
        <v>18.78</v>
      </c>
      <c r="S27" s="1" t="s">
        <v>82</v>
      </c>
    </row>
    <row r="28" customFormat="false" ht="13.8" hidden="false" customHeight="true" outlineLevel="0" collapsed="false">
      <c r="A28" s="1" t="s">
        <v>83</v>
      </c>
      <c r="B28" s="1" t="s">
        <v>84</v>
      </c>
      <c r="C28" s="1" t="s">
        <v>21</v>
      </c>
      <c r="D28" s="1" t="n">
        <v>7.5</v>
      </c>
      <c r="E28" s="1" t="n">
        <v>0.74</v>
      </c>
      <c r="F28" s="1" t="n">
        <v>0.74</v>
      </c>
      <c r="G28" s="1" t="n">
        <v>1700</v>
      </c>
      <c r="H28" s="1" t="n">
        <v>3.9</v>
      </c>
      <c r="I28" s="1" t="n">
        <f aca="false">ROUND(H28*0.514,2)</f>
        <v>2</v>
      </c>
      <c r="M28" s="1" t="n">
        <v>6000</v>
      </c>
      <c r="N28" s="3" t="n">
        <v>85</v>
      </c>
      <c r="S28" s="1" t="s">
        <v>85</v>
      </c>
    </row>
    <row r="29" customFormat="false" ht="13.8" hidden="false" customHeight="true" outlineLevel="0" collapsed="false">
      <c r="A29" s="1" t="s">
        <v>83</v>
      </c>
      <c r="B29" s="1" t="s">
        <v>84</v>
      </c>
      <c r="C29" s="1" t="s">
        <v>21</v>
      </c>
      <c r="D29" s="1" t="n">
        <v>4.5</v>
      </c>
      <c r="E29" s="1" t="n">
        <v>0.69</v>
      </c>
      <c r="F29" s="1" t="n">
        <v>0.69</v>
      </c>
      <c r="G29" s="1" t="n">
        <v>630</v>
      </c>
      <c r="H29" s="1" t="n">
        <v>2.57</v>
      </c>
      <c r="I29" s="1" t="n">
        <v>1.54</v>
      </c>
      <c r="J29" s="2" t="n">
        <v>0.62</v>
      </c>
      <c r="K29" s="1" t="n">
        <f aca="false">J29*G29</f>
        <v>390.6</v>
      </c>
      <c r="L29" s="1" t="n">
        <f aca="false">K29*D29</f>
        <v>1757.7</v>
      </c>
      <c r="M29" s="1" t="n">
        <v>3000</v>
      </c>
      <c r="N29" s="1" t="n">
        <v>22</v>
      </c>
      <c r="O29" s="1" t="n">
        <v>13.2</v>
      </c>
      <c r="P29" s="1" t="s">
        <v>34</v>
      </c>
      <c r="Q29" s="1"/>
    </row>
    <row r="30" customFormat="false" ht="13.8" hidden="false" customHeight="true" outlineLevel="0" collapsed="false">
      <c r="A30" s="1" t="s">
        <v>83</v>
      </c>
      <c r="B30" s="1" t="s">
        <v>84</v>
      </c>
      <c r="C30" s="1" t="s">
        <v>21</v>
      </c>
      <c r="D30" s="1" t="n">
        <v>5.5</v>
      </c>
      <c r="E30" s="1" t="n">
        <v>0.74</v>
      </c>
      <c r="F30" s="1" t="n">
        <v>0.74</v>
      </c>
      <c r="G30" s="1" t="n">
        <v>1250</v>
      </c>
      <c r="H30" s="1" t="n">
        <v>2.5</v>
      </c>
      <c r="I30" s="1" t="n">
        <v>1.5</v>
      </c>
      <c r="J30" s="2" t="n">
        <v>0.39</v>
      </c>
      <c r="K30" s="1" t="n">
        <f aca="false">J30*G30</f>
        <v>487.5</v>
      </c>
      <c r="L30" s="1" t="n">
        <f aca="false">K30*D30</f>
        <v>2681.25</v>
      </c>
      <c r="M30" s="1" t="n">
        <v>5000</v>
      </c>
      <c r="N30" s="1" t="n">
        <v>19</v>
      </c>
      <c r="O30" s="1" t="n">
        <v>14</v>
      </c>
      <c r="P30" s="1" t="s">
        <v>34</v>
      </c>
      <c r="Q30" s="1"/>
    </row>
    <row r="31" customFormat="false" ht="13.8" hidden="false" customHeight="true" outlineLevel="0" collapsed="false">
      <c r="A31" s="1" t="s">
        <v>86</v>
      </c>
      <c r="B31" s="1" t="s">
        <v>87</v>
      </c>
      <c r="C31" s="1" t="s">
        <v>21</v>
      </c>
      <c r="D31" s="1" t="n">
        <v>1.9</v>
      </c>
      <c r="E31" s="1" t="n">
        <v>0.29</v>
      </c>
      <c r="F31" s="1" t="n">
        <v>0.29</v>
      </c>
      <c r="G31" s="1" t="n">
        <v>99</v>
      </c>
      <c r="H31" s="1" t="n">
        <v>5.84</v>
      </c>
      <c r="I31" s="1" t="n">
        <f aca="false">ROUND(H31*0.514,2)</f>
        <v>3</v>
      </c>
      <c r="M31" s="1" t="n">
        <v>150</v>
      </c>
      <c r="N31" s="3" t="n">
        <v>18</v>
      </c>
      <c r="S31" s="1" t="s">
        <v>88</v>
      </c>
    </row>
    <row r="32" customFormat="false" ht="13.8" hidden="false" customHeight="true" outlineLevel="0" collapsed="false">
      <c r="A32" s="1" t="s">
        <v>89</v>
      </c>
      <c r="B32" s="1" t="s">
        <v>90</v>
      </c>
      <c r="C32" s="1" t="s">
        <v>21</v>
      </c>
      <c r="D32" s="1" t="n">
        <v>2.11</v>
      </c>
      <c r="E32" s="1" t="n">
        <v>0.34</v>
      </c>
      <c r="F32" s="1" t="n">
        <v>0.34</v>
      </c>
      <c r="G32" s="1" t="n">
        <v>97</v>
      </c>
      <c r="H32" s="1" t="n">
        <v>5.83</v>
      </c>
      <c r="I32" s="1" t="n">
        <f aca="false">ROUND(H32*0.514,2)</f>
        <v>3</v>
      </c>
      <c r="M32" s="1" t="n">
        <v>200</v>
      </c>
      <c r="N32" s="3" t="n">
        <v>10</v>
      </c>
      <c r="S32" s="1" t="s">
        <v>91</v>
      </c>
    </row>
    <row r="33" customFormat="false" ht="13.8" hidden="false" customHeight="true" outlineLevel="0" collapsed="false">
      <c r="A33" s="1" t="s">
        <v>92</v>
      </c>
      <c r="B33" s="1" t="s">
        <v>93</v>
      </c>
      <c r="C33" s="1" t="s">
        <v>21</v>
      </c>
      <c r="D33" s="1" t="n">
        <v>2.18</v>
      </c>
      <c r="E33" s="1" t="n">
        <v>0.15</v>
      </c>
      <c r="F33" s="1" t="n">
        <v>0.15</v>
      </c>
      <c r="G33" s="1" t="n">
        <v>31</v>
      </c>
      <c r="H33" s="1" t="n">
        <v>4</v>
      </c>
      <c r="I33" s="1" t="n">
        <f aca="false">ROUND(H33*0.514,2)</f>
        <v>2.06</v>
      </c>
      <c r="M33" s="1" t="n">
        <v>80</v>
      </c>
      <c r="N33" s="3" t="n">
        <v>14</v>
      </c>
      <c r="S33" s="1" t="s">
        <v>94</v>
      </c>
    </row>
    <row r="34" customFormat="false" ht="13.8" hidden="false" customHeight="true" outlineLevel="0" collapsed="false">
      <c r="A34" s="1" t="s">
        <v>95</v>
      </c>
      <c r="B34" s="1" t="s">
        <v>96</v>
      </c>
      <c r="C34" s="1" t="s">
        <v>21</v>
      </c>
      <c r="D34" s="1" t="n">
        <v>4.5</v>
      </c>
      <c r="E34" s="1" t="n">
        <v>0.2</v>
      </c>
      <c r="F34" s="1" t="n">
        <v>0.2</v>
      </c>
      <c r="G34" s="1" t="n">
        <v>130</v>
      </c>
      <c r="H34" s="1" t="n">
        <v>5.5</v>
      </c>
      <c r="I34" s="1" t="n">
        <f aca="false">ROUND(H34*0.514,2)</f>
        <v>2.83</v>
      </c>
      <c r="M34" s="1" t="n">
        <v>1000</v>
      </c>
      <c r="N34" s="3" t="n">
        <v>8</v>
      </c>
      <c r="S34" s="1" t="s">
        <v>97</v>
      </c>
    </row>
    <row r="35" customFormat="false" ht="13.8" hidden="false" customHeight="true" outlineLevel="0" collapsed="false">
      <c r="A35" s="1" t="s">
        <v>60</v>
      </c>
      <c r="B35" s="1" t="s">
        <v>98</v>
      </c>
      <c r="C35" s="1" t="s">
        <v>21</v>
      </c>
      <c r="D35" s="1" t="n">
        <v>1.33</v>
      </c>
      <c r="E35" s="1" t="n">
        <v>93</v>
      </c>
      <c r="F35" s="1" t="n">
        <v>38</v>
      </c>
      <c r="G35" s="1" t="n">
        <v>72.6</v>
      </c>
      <c r="H35" s="1" t="n">
        <v>1.5</v>
      </c>
      <c r="I35" s="1" t="n">
        <f aca="false">ROUND(H35*0.514,2)</f>
        <v>0.77</v>
      </c>
      <c r="M35" s="1" t="n">
        <v>60</v>
      </c>
      <c r="N35" s="3" t="n">
        <v>3.5</v>
      </c>
      <c r="S35" s="1" t="s">
        <v>99</v>
      </c>
    </row>
    <row r="36" customFormat="false" ht="13.8" hidden="false" customHeight="true" outlineLevel="0" collapsed="false">
      <c r="A36" s="1" t="s">
        <v>100</v>
      </c>
      <c r="B36" s="1" t="s">
        <v>101</v>
      </c>
      <c r="C36" s="1" t="s">
        <v>21</v>
      </c>
      <c r="D36" s="1" t="n">
        <v>4.5</v>
      </c>
      <c r="E36" s="1" t="n">
        <v>0.75</v>
      </c>
      <c r="F36" s="1" t="n">
        <v>0.75</v>
      </c>
      <c r="G36" s="1" t="n">
        <v>850</v>
      </c>
      <c r="H36" s="1" t="n">
        <v>6</v>
      </c>
      <c r="I36" s="1" t="n">
        <f aca="false">ROUND(H36*0.514,2)</f>
        <v>3.08</v>
      </c>
      <c r="M36" s="1" t="n">
        <v>1000</v>
      </c>
      <c r="N36" s="3" t="n">
        <v>24</v>
      </c>
      <c r="S36" s="1" t="s">
        <v>102</v>
      </c>
    </row>
    <row r="37" customFormat="false" ht="13.8" hidden="false" customHeight="true" outlineLevel="0" collapsed="false">
      <c r="A37" s="1" t="s">
        <v>103</v>
      </c>
      <c r="B37" s="1" t="s">
        <v>104</v>
      </c>
      <c r="C37" s="1" t="s">
        <v>21</v>
      </c>
      <c r="D37" s="1" t="n">
        <v>4.5</v>
      </c>
      <c r="E37" s="1" t="n">
        <v>0.75</v>
      </c>
      <c r="F37" s="1" t="n">
        <v>0.75</v>
      </c>
      <c r="G37" s="1" t="n">
        <v>850</v>
      </c>
      <c r="H37" s="1" t="n">
        <v>3.08</v>
      </c>
      <c r="I37" s="1" t="n">
        <v>2.05</v>
      </c>
      <c r="J37" s="2" t="n">
        <v>0.36</v>
      </c>
      <c r="K37" s="1" t="n">
        <f aca="false">J37*G37</f>
        <v>306</v>
      </c>
      <c r="L37" s="1" t="n">
        <f aca="false">K37*D37</f>
        <v>1377</v>
      </c>
      <c r="M37" s="1" t="n">
        <v>1000</v>
      </c>
      <c r="N37" s="1" t="n">
        <v>24</v>
      </c>
      <c r="O37" s="1" t="n">
        <v>15</v>
      </c>
      <c r="P37" s="1" t="s">
        <v>64</v>
      </c>
      <c r="Q37" s="1"/>
      <c r="S37" s="6" t="s">
        <v>105</v>
      </c>
    </row>
    <row r="38" customFormat="false" ht="13.8" hidden="false" customHeight="true" outlineLevel="0" collapsed="false">
      <c r="A38" s="1" t="s">
        <v>100</v>
      </c>
      <c r="B38" s="1" t="s">
        <v>106</v>
      </c>
      <c r="C38" s="1" t="s">
        <v>21</v>
      </c>
      <c r="D38" s="1" t="n">
        <v>5.5</v>
      </c>
      <c r="E38" s="1" t="n">
        <v>1</v>
      </c>
      <c r="F38" s="1" t="n">
        <v>1</v>
      </c>
      <c r="G38" s="1" t="n">
        <v>1400</v>
      </c>
      <c r="H38" s="1" t="n">
        <v>4</v>
      </c>
      <c r="I38" s="1" t="n">
        <f aca="false">ROUND(H38*0.514,2)</f>
        <v>2.06</v>
      </c>
      <c r="M38" s="1" t="n">
        <v>3000</v>
      </c>
      <c r="N38" s="3" t="n">
        <v>60</v>
      </c>
      <c r="S38" s="1" t="s">
        <v>102</v>
      </c>
    </row>
    <row r="39" customFormat="false" ht="13.8" hidden="false" customHeight="true" outlineLevel="0" collapsed="false">
      <c r="A39" s="1" t="s">
        <v>103</v>
      </c>
      <c r="B39" s="1" t="s">
        <v>107</v>
      </c>
      <c r="C39" s="1" t="s">
        <v>21</v>
      </c>
      <c r="D39" s="1" t="n">
        <v>5.5</v>
      </c>
      <c r="E39" s="1" t="n">
        <v>1</v>
      </c>
      <c r="F39" s="1" t="n">
        <v>1</v>
      </c>
      <c r="G39" s="1" t="n">
        <v>1400</v>
      </c>
      <c r="H39" s="1" t="n">
        <v>2.05</v>
      </c>
      <c r="I39" s="1" t="n">
        <v>2.05</v>
      </c>
      <c r="J39" s="2" t="n">
        <v>0.26</v>
      </c>
      <c r="K39" s="1" t="n">
        <f aca="false">J39*G39</f>
        <v>364</v>
      </c>
      <c r="L39" s="1" t="n">
        <f aca="false">K39*D39</f>
        <v>2002</v>
      </c>
      <c r="M39" s="1" t="n">
        <v>3000</v>
      </c>
      <c r="N39" s="1" t="n">
        <v>60</v>
      </c>
      <c r="O39" s="1" t="n">
        <v>45</v>
      </c>
      <c r="P39" s="1" t="s">
        <v>108</v>
      </c>
      <c r="Q39" s="1"/>
      <c r="S39" s="6" t="s">
        <v>109</v>
      </c>
    </row>
    <row r="40" customFormat="false" ht="13.8" hidden="false" customHeight="true" outlineLevel="0" collapsed="false">
      <c r="A40" s="1" t="s">
        <v>100</v>
      </c>
      <c r="B40" s="1" t="s">
        <v>110</v>
      </c>
      <c r="C40" s="1" t="s">
        <v>21</v>
      </c>
      <c r="D40" s="1" t="n">
        <v>6</v>
      </c>
      <c r="E40" s="1" t="n">
        <v>1</v>
      </c>
      <c r="F40" s="1" t="n">
        <v>1</v>
      </c>
      <c r="G40" s="1" t="n">
        <v>1900</v>
      </c>
      <c r="H40" s="1" t="n">
        <v>4</v>
      </c>
      <c r="I40" s="1" t="n">
        <f aca="false">ROUND(H40*0.514,2)</f>
        <v>2.06</v>
      </c>
      <c r="M40" s="1" t="n">
        <v>4500</v>
      </c>
      <c r="N40" s="3" t="n">
        <v>60</v>
      </c>
      <c r="S40" s="1" t="s">
        <v>102</v>
      </c>
    </row>
    <row r="41" customFormat="false" ht="13.8" hidden="false" customHeight="true" outlineLevel="0" collapsed="false">
      <c r="A41" s="1" t="s">
        <v>103</v>
      </c>
      <c r="B41" s="1" t="s">
        <v>111</v>
      </c>
      <c r="C41" s="1" t="s">
        <v>21</v>
      </c>
      <c r="D41" s="1" t="n">
        <v>6</v>
      </c>
      <c r="E41" s="1" t="n">
        <v>1</v>
      </c>
      <c r="F41" s="1" t="n">
        <v>1</v>
      </c>
      <c r="G41" s="1" t="n">
        <v>1900</v>
      </c>
      <c r="H41" s="1" t="n">
        <v>2.05</v>
      </c>
      <c r="I41" s="1" t="n">
        <v>2.05</v>
      </c>
      <c r="J41" s="2" t="n">
        <v>0.31</v>
      </c>
      <c r="K41" s="1" t="n">
        <f aca="false">J41*G41</f>
        <v>589</v>
      </c>
      <c r="L41" s="1" t="n">
        <f aca="false">K41*D41</f>
        <v>3534</v>
      </c>
      <c r="M41" s="1" t="n">
        <v>4500</v>
      </c>
      <c r="N41" s="1" t="n">
        <v>50</v>
      </c>
      <c r="O41" s="1" t="n">
        <v>60</v>
      </c>
      <c r="P41" s="1" t="s">
        <v>108</v>
      </c>
      <c r="Q41" s="1"/>
      <c r="S41" s="6" t="s">
        <v>112</v>
      </c>
    </row>
    <row r="42" customFormat="false" ht="13.8" hidden="false" customHeight="true" outlineLevel="0" collapsed="false">
      <c r="A42" s="1" t="s">
        <v>100</v>
      </c>
      <c r="B42" s="1" t="s">
        <v>113</v>
      </c>
      <c r="C42" s="1" t="s">
        <v>21</v>
      </c>
      <c r="D42" s="1" t="n">
        <v>6.6</v>
      </c>
      <c r="E42" s="1" t="n">
        <v>0.875</v>
      </c>
      <c r="F42" s="1" t="n">
        <v>0.875</v>
      </c>
      <c r="G42" s="1" t="n">
        <v>2200</v>
      </c>
      <c r="H42" s="1" t="n">
        <v>5.2</v>
      </c>
      <c r="I42" s="1" t="n">
        <f aca="false">ROUND(H42*0.514,2)</f>
        <v>2.67</v>
      </c>
      <c r="M42" s="1" t="n">
        <v>6000</v>
      </c>
      <c r="N42" s="3" t="n">
        <v>72</v>
      </c>
      <c r="S42" s="1" t="s">
        <v>114</v>
      </c>
    </row>
    <row r="43" customFormat="false" ht="13.8" hidden="false" customHeight="true" outlineLevel="0" collapsed="false">
      <c r="A43" s="1" t="s">
        <v>115</v>
      </c>
      <c r="B43" s="1" t="s">
        <v>116</v>
      </c>
      <c r="C43" s="1" t="s">
        <v>21</v>
      </c>
      <c r="D43" s="1" t="n">
        <v>1.527</v>
      </c>
      <c r="E43" s="1" t="n">
        <v>0.147</v>
      </c>
      <c r="F43" s="1" t="n">
        <v>0.147</v>
      </c>
      <c r="G43" s="1" t="n">
        <v>20.41</v>
      </c>
      <c r="H43" s="1" t="n">
        <v>4</v>
      </c>
      <c r="I43" s="1" t="n">
        <f aca="false">ROUND(H43*0.514,2)</f>
        <v>2.06</v>
      </c>
      <c r="M43" s="1" t="n">
        <v>1000</v>
      </c>
      <c r="N43" s="3" t="n">
        <v>14</v>
      </c>
      <c r="S43" s="1" t="s">
        <v>117</v>
      </c>
    </row>
    <row r="44" customFormat="false" ht="13.8" hidden="false" customHeight="true" outlineLevel="0" collapsed="false">
      <c r="A44" s="1" t="s">
        <v>118</v>
      </c>
      <c r="B44" s="1" t="s">
        <v>119</v>
      </c>
      <c r="C44" s="1" t="s">
        <v>21</v>
      </c>
      <c r="D44" s="1" t="n">
        <v>1.5</v>
      </c>
      <c r="E44" s="1" t="n">
        <v>0.2</v>
      </c>
      <c r="F44" s="1" t="n">
        <v>0.2</v>
      </c>
      <c r="G44" s="1" t="n">
        <v>20</v>
      </c>
      <c r="H44" s="1" t="n">
        <v>2</v>
      </c>
      <c r="I44" s="1" t="n">
        <v>0.7</v>
      </c>
      <c r="J44" s="2" t="n">
        <v>3.7</v>
      </c>
      <c r="K44" s="1" t="n">
        <f aca="false">J44*G44</f>
        <v>74</v>
      </c>
      <c r="L44" s="1" t="n">
        <f aca="false">K44*D44</f>
        <v>111</v>
      </c>
      <c r="M44" s="1" t="n">
        <v>20</v>
      </c>
      <c r="N44" s="1" t="n">
        <v>4</v>
      </c>
      <c r="O44" s="1" t="n">
        <v>0.207</v>
      </c>
      <c r="P44" s="1" t="s">
        <v>64</v>
      </c>
      <c r="Q44" s="1"/>
      <c r="S44" s="1" t="s">
        <v>120</v>
      </c>
    </row>
    <row r="45" s="1" customFormat="true" ht="13.8" hidden="false" customHeight="true" outlineLevel="0" collapsed="false">
      <c r="A45" s="1" t="s">
        <v>121</v>
      </c>
      <c r="B45" s="1" t="s">
        <v>122</v>
      </c>
      <c r="C45" s="1" t="s">
        <v>21</v>
      </c>
      <c r="D45" s="1" t="n">
        <v>0.13</v>
      </c>
      <c r="E45" s="1" t="n">
        <v>0.01</v>
      </c>
      <c r="F45" s="1" t="n">
        <v>0.01</v>
      </c>
      <c r="G45" s="1" t="n">
        <v>19</v>
      </c>
      <c r="H45" s="1" t="n">
        <v>2.06</v>
      </c>
      <c r="I45" s="1" t="n">
        <v>1.29</v>
      </c>
      <c r="J45" s="2" t="n">
        <v>1.75</v>
      </c>
      <c r="K45" s="1" t="n">
        <f aca="false">J45*G45</f>
        <v>33.25</v>
      </c>
      <c r="L45" s="1" t="n">
        <f aca="false">K45*D45</f>
        <v>4.3225</v>
      </c>
      <c r="M45" s="1" t="n">
        <v>100</v>
      </c>
      <c r="N45" s="1" t="n">
        <v>24</v>
      </c>
      <c r="O45" s="1" t="n">
        <v>0.6</v>
      </c>
      <c r="R45" s="3"/>
    </row>
    <row r="46" customFormat="false" ht="13.8" hidden="false" customHeight="true" outlineLevel="0" collapsed="false">
      <c r="A46" s="1" t="s">
        <v>123</v>
      </c>
      <c r="B46" s="1" t="s">
        <v>124</v>
      </c>
      <c r="C46" s="1" t="s">
        <v>21</v>
      </c>
      <c r="D46" s="1" t="n">
        <f aca="false">ROUND(85*0.0254,2)</f>
        <v>2.16</v>
      </c>
      <c r="E46" s="1" t="n">
        <f aca="false">ROUND(5.8*0.0254,2)</f>
        <v>0.15</v>
      </c>
      <c r="F46" s="1" t="n">
        <f aca="false">ROUND(5.8*0.0254,2)</f>
        <v>0.15</v>
      </c>
      <c r="G46" s="1" t="n">
        <f aca="false">ROUND(85/2.2,2)</f>
        <v>38.64</v>
      </c>
      <c r="H46" s="1" t="n">
        <v>4</v>
      </c>
      <c r="I46" s="1" t="n">
        <f aca="false">ROUND(H46*0.514,2)</f>
        <v>2.06</v>
      </c>
      <c r="M46" s="1" t="n">
        <v>100</v>
      </c>
      <c r="N46" s="3" t="n">
        <v>14</v>
      </c>
      <c r="S46" s="1" t="s">
        <v>125</v>
      </c>
    </row>
    <row r="47" customFormat="false" ht="13.8" hidden="false" customHeight="true" outlineLevel="0" collapsed="false">
      <c r="A47" s="1" t="s">
        <v>123</v>
      </c>
      <c r="B47" s="1" t="s">
        <v>126</v>
      </c>
      <c r="C47" s="1" t="s">
        <v>21</v>
      </c>
      <c r="D47" s="1" t="n">
        <v>2.5</v>
      </c>
      <c r="E47" s="1" t="n">
        <v>0.23</v>
      </c>
      <c r="F47" s="1" t="n">
        <v>0.23</v>
      </c>
      <c r="G47" s="1" t="n">
        <f aca="false">ROUND(200/2.2,2)</f>
        <v>90.91</v>
      </c>
      <c r="H47" s="1" t="n">
        <v>5</v>
      </c>
      <c r="I47" s="1" t="n">
        <f aca="false">ROUND(H47*0.514,2)</f>
        <v>2.57</v>
      </c>
      <c r="M47" s="1" t="n">
        <v>300</v>
      </c>
      <c r="N47" s="3" t="n">
        <v>26.7</v>
      </c>
      <c r="S47" s="1" t="s">
        <v>127</v>
      </c>
    </row>
    <row r="48" customFormat="false" ht="13.8" hidden="false" customHeight="true" outlineLevel="0" collapsed="false">
      <c r="A48" s="1" t="s">
        <v>128</v>
      </c>
      <c r="B48" s="1" t="s">
        <v>129</v>
      </c>
      <c r="C48" s="1" t="s">
        <v>21</v>
      </c>
      <c r="D48" s="1" t="n">
        <v>1.52</v>
      </c>
      <c r="E48" s="1" t="n">
        <v>0.17</v>
      </c>
      <c r="F48" s="1" t="n">
        <v>0.44</v>
      </c>
      <c r="G48" s="1" t="n">
        <v>70</v>
      </c>
      <c r="H48" s="1" t="n">
        <v>2.91</v>
      </c>
      <c r="I48" s="1" t="n">
        <f aca="false">ROUND(H48*0.514,2)</f>
        <v>1.5</v>
      </c>
      <c r="M48" s="1" t="n">
        <v>60</v>
      </c>
      <c r="N48" s="3" t="n">
        <v>2.5</v>
      </c>
      <c r="S48" s="1" t="s">
        <v>130</v>
      </c>
    </row>
    <row r="49" customFormat="false" ht="13.8" hidden="false" customHeight="true" outlineLevel="0" collapsed="false">
      <c r="A49" s="1" t="s">
        <v>29</v>
      </c>
      <c r="B49" s="1" t="s">
        <v>131</v>
      </c>
      <c r="C49" s="1" t="s">
        <v>21</v>
      </c>
      <c r="D49" s="1" t="n">
        <v>0.45</v>
      </c>
      <c r="E49" s="1" t="n">
        <v>0.63</v>
      </c>
      <c r="F49" s="1" t="n">
        <v>0.135</v>
      </c>
      <c r="G49" s="1" t="n">
        <v>14</v>
      </c>
      <c r="H49" s="1" t="n">
        <v>1.95</v>
      </c>
      <c r="I49" s="1" t="n">
        <f aca="false">ROUND(H49*0.514,2)</f>
        <v>1</v>
      </c>
      <c r="M49" s="1" t="n">
        <v>10</v>
      </c>
      <c r="N49" s="3" t="n">
        <v>2.5</v>
      </c>
      <c r="S49" s="1" t="s">
        <v>132</v>
      </c>
    </row>
    <row r="50" customFormat="false" ht="13.8" hidden="false" customHeight="true" outlineLevel="0" collapsed="false">
      <c r="A50" s="1" t="s">
        <v>133</v>
      </c>
      <c r="B50" s="1" t="s">
        <v>134</v>
      </c>
      <c r="C50" s="1" t="s">
        <v>21</v>
      </c>
      <c r="D50" s="1" t="n">
        <v>1.5</v>
      </c>
      <c r="E50" s="1" t="n">
        <v>0.2</v>
      </c>
      <c r="F50" s="1" t="n">
        <v>0.2</v>
      </c>
      <c r="G50" s="1" t="n">
        <v>32</v>
      </c>
      <c r="H50" s="1" t="n">
        <v>3.9</v>
      </c>
      <c r="I50" s="1" t="n">
        <f aca="false">ROUND(H50*0.514,2)</f>
        <v>2</v>
      </c>
      <c r="M50" s="1" t="n">
        <v>100</v>
      </c>
      <c r="N50" s="3" t="n">
        <v>10</v>
      </c>
      <c r="S50" s="1" t="s">
        <v>135</v>
      </c>
    </row>
    <row r="51" customFormat="false" ht="13.8" hidden="false" customHeight="true" outlineLevel="0" collapsed="false">
      <c r="A51" s="1" t="s">
        <v>136</v>
      </c>
      <c r="B51" s="1" t="s">
        <v>137</v>
      </c>
      <c r="C51" s="1" t="s">
        <v>21</v>
      </c>
      <c r="D51" s="1" t="n">
        <v>1.5</v>
      </c>
      <c r="E51" s="1" t="n">
        <v>0.8</v>
      </c>
      <c r="F51" s="1" t="n">
        <v>0.8</v>
      </c>
      <c r="G51" s="1" t="n">
        <v>454</v>
      </c>
      <c r="H51" s="1" t="n">
        <v>8</v>
      </c>
      <c r="I51" s="1" t="n">
        <f aca="false">ROUND(H51*0.514,2)</f>
        <v>4.11</v>
      </c>
      <c r="M51" s="1" t="n">
        <v>304</v>
      </c>
      <c r="N51" s="3" t="n">
        <v>16</v>
      </c>
      <c r="S51" s="1" t="s">
        <v>138</v>
      </c>
    </row>
    <row r="52" customFormat="false" ht="13.8" hidden="false" customHeight="true" outlineLevel="0" collapsed="false">
      <c r="A52" s="1" t="s">
        <v>136</v>
      </c>
      <c r="B52" s="1" t="s">
        <v>139</v>
      </c>
      <c r="C52" s="1" t="s">
        <v>21</v>
      </c>
      <c r="D52" s="1" t="n">
        <v>3</v>
      </c>
      <c r="E52" s="1" t="n">
        <v>1.5</v>
      </c>
      <c r="F52" s="1" t="n">
        <v>1.3</v>
      </c>
      <c r="G52" s="1" t="n">
        <v>954</v>
      </c>
      <c r="H52" s="1" t="n">
        <v>6</v>
      </c>
      <c r="I52" s="1" t="n">
        <f aca="false">ROUND(H52*0.514,2)</f>
        <v>3.08</v>
      </c>
      <c r="M52" s="1" t="n">
        <v>4000</v>
      </c>
      <c r="N52" s="3" t="n">
        <v>24</v>
      </c>
      <c r="S52" s="1" t="s">
        <v>138</v>
      </c>
    </row>
    <row r="53" customFormat="false" ht="13.8" hidden="false" customHeight="true" outlineLevel="0" collapsed="false">
      <c r="A53" s="1" t="s">
        <v>136</v>
      </c>
      <c r="B53" s="1" t="s">
        <v>140</v>
      </c>
      <c r="C53" s="1" t="s">
        <v>21</v>
      </c>
      <c r="D53" s="1" t="n">
        <v>4.9</v>
      </c>
      <c r="E53" s="1" t="n">
        <v>1.5</v>
      </c>
      <c r="F53" s="1" t="n">
        <v>1.3</v>
      </c>
      <c r="G53" s="1" t="n">
        <v>1590</v>
      </c>
      <c r="H53" s="1" t="n">
        <v>6</v>
      </c>
      <c r="I53" s="1" t="n">
        <f aca="false">ROUND(H53*0.514,2)</f>
        <v>3.08</v>
      </c>
      <c r="M53" s="1" t="n">
        <v>4000</v>
      </c>
      <c r="N53" s="3" t="n">
        <v>80</v>
      </c>
      <c r="S53" s="1" t="s">
        <v>138</v>
      </c>
    </row>
    <row r="54" customFormat="false" ht="13.8" hidden="false" customHeight="true" outlineLevel="0" collapsed="false">
      <c r="A54" s="1" t="s">
        <v>141</v>
      </c>
      <c r="B54" s="1" t="s">
        <v>142</v>
      </c>
      <c r="C54" s="1" t="s">
        <v>21</v>
      </c>
      <c r="D54" s="1" t="n">
        <v>1.035</v>
      </c>
      <c r="E54" s="1" t="n">
        <v>0.35</v>
      </c>
      <c r="F54" s="1" t="n">
        <v>0.875</v>
      </c>
      <c r="G54" s="1" t="n">
        <v>30</v>
      </c>
      <c r="H54" s="1" t="n">
        <v>2.91</v>
      </c>
      <c r="I54" s="1" t="n">
        <f aca="false">ROUND(H54*0.514,2)</f>
        <v>1.5</v>
      </c>
      <c r="M54" s="1" t="n">
        <v>1</v>
      </c>
      <c r="N54" s="3" t="n">
        <v>11</v>
      </c>
      <c r="S54" s="1" t="s">
        <v>143</v>
      </c>
    </row>
    <row r="55" customFormat="false" ht="13.8" hidden="false" customHeight="true" outlineLevel="0" collapsed="false">
      <c r="A55" s="1" t="s">
        <v>144</v>
      </c>
      <c r="B55" s="1" t="s">
        <v>145</v>
      </c>
      <c r="C55" s="1" t="s">
        <v>21</v>
      </c>
      <c r="D55" s="1" t="n">
        <v>0.68</v>
      </c>
      <c r="E55" s="1" t="n">
        <v>0.11</v>
      </c>
      <c r="F55" s="1" t="n">
        <v>0.11</v>
      </c>
      <c r="G55" s="1" t="n">
        <v>3.5</v>
      </c>
      <c r="I55" s="1" t="n">
        <f aca="false">ROUND(H55*0.514,2)</f>
        <v>0</v>
      </c>
      <c r="M55" s="1" t="n">
        <v>5</v>
      </c>
      <c r="N55" s="3" t="n">
        <v>3</v>
      </c>
      <c r="S55" s="1" t="s">
        <v>146</v>
      </c>
    </row>
    <row r="56" customFormat="false" ht="13.8" hidden="false" customHeight="true" outlineLevel="0" collapsed="false">
      <c r="A56" s="1" t="s">
        <v>19</v>
      </c>
      <c r="B56" s="1" t="s">
        <v>147</v>
      </c>
      <c r="C56" s="1" t="s">
        <v>21</v>
      </c>
      <c r="D56" s="1" t="n">
        <v>0.559</v>
      </c>
      <c r="E56" s="1" t="n">
        <v>0.124</v>
      </c>
      <c r="F56" s="1" t="n">
        <v>0.124</v>
      </c>
      <c r="G56" s="1" t="n">
        <v>11.3</v>
      </c>
      <c r="H56" s="1" t="n">
        <v>10</v>
      </c>
      <c r="I56" s="1" t="n">
        <f aca="false">ROUND(H56*0.514,2)</f>
        <v>5.14</v>
      </c>
      <c r="M56" s="1" t="n">
        <v>300</v>
      </c>
      <c r="N56" s="3" t="n">
        <v>30</v>
      </c>
      <c r="S56" s="1" t="s">
        <v>22</v>
      </c>
    </row>
    <row r="57" customFormat="false" ht="13.8" hidden="false" customHeight="true" outlineLevel="0" collapsed="false">
      <c r="A57" s="1" t="s">
        <v>148</v>
      </c>
      <c r="B57" s="1" t="s">
        <v>149</v>
      </c>
      <c r="C57" s="1" t="s">
        <v>21</v>
      </c>
      <c r="D57" s="1" t="n">
        <v>5.3</v>
      </c>
      <c r="E57" s="1" t="n">
        <v>0.69</v>
      </c>
      <c r="F57" s="1" t="n">
        <v>0.69</v>
      </c>
      <c r="G57" s="1" t="n">
        <v>830</v>
      </c>
      <c r="H57" s="1" t="n">
        <v>2.5</v>
      </c>
      <c r="I57" s="1" t="n">
        <v>1.5</v>
      </c>
      <c r="J57" s="2" t="n">
        <f aca="false">K57/G57</f>
        <v>0.878513253012048</v>
      </c>
      <c r="K57" s="1" t="n">
        <v>729.166</v>
      </c>
      <c r="L57" s="1" t="n">
        <f aca="false">K57*D57</f>
        <v>3864.5798</v>
      </c>
      <c r="M57" s="1" t="n">
        <v>3000</v>
      </c>
      <c r="N57" s="3" t="n">
        <v>16</v>
      </c>
      <c r="O57" s="3" t="n">
        <v>17.5</v>
      </c>
      <c r="P57" s="3" t="s">
        <v>150</v>
      </c>
    </row>
    <row r="58" customFormat="false" ht="13.8" hidden="false" customHeight="true" outlineLevel="0" collapsed="false">
      <c r="A58" s="1" t="s">
        <v>44</v>
      </c>
      <c r="B58" s="1" t="s">
        <v>151</v>
      </c>
      <c r="C58" s="1" t="s">
        <v>21</v>
      </c>
      <c r="D58" s="1" t="n">
        <v>5</v>
      </c>
      <c r="E58" s="1" t="n">
        <v>2</v>
      </c>
      <c r="F58" s="1" t="n">
        <v>1.5</v>
      </c>
      <c r="G58" s="1" t="n">
        <v>2800</v>
      </c>
      <c r="H58" s="1" t="n">
        <v>1.54</v>
      </c>
      <c r="I58" s="1" t="n">
        <v>1.5</v>
      </c>
      <c r="J58" s="2" t="n">
        <v>0.21</v>
      </c>
      <c r="K58" s="1" t="n">
        <f aca="false">J58*G58</f>
        <v>588</v>
      </c>
      <c r="L58" s="1" t="n">
        <f aca="false">K58*D58</f>
        <v>2940</v>
      </c>
      <c r="M58" s="1" t="n">
        <v>11000</v>
      </c>
      <c r="N58" s="1" t="n">
        <v>20</v>
      </c>
      <c r="O58" s="1" t="n">
        <v>18</v>
      </c>
      <c r="P58" s="1" t="s">
        <v>34</v>
      </c>
      <c r="Q58" s="1"/>
      <c r="S58" s="6" t="s">
        <v>152</v>
      </c>
    </row>
    <row r="59" customFormat="false" ht="13.8" hidden="false" customHeight="true" outlineLevel="0" collapsed="false">
      <c r="A59" s="1" t="s">
        <v>144</v>
      </c>
      <c r="B59" s="1" t="s">
        <v>153</v>
      </c>
      <c r="C59" s="1" t="s">
        <v>21</v>
      </c>
      <c r="D59" s="1" t="n">
        <v>1.6</v>
      </c>
      <c r="E59" s="1" t="n">
        <v>0.28</v>
      </c>
      <c r="F59" s="1" t="n">
        <v>0.28</v>
      </c>
      <c r="G59" s="1" t="n">
        <v>45</v>
      </c>
      <c r="H59" s="1" t="n">
        <v>5</v>
      </c>
      <c r="I59" s="1" t="n">
        <f aca="false">ROUND(H59*0.514,2)</f>
        <v>2.57</v>
      </c>
      <c r="M59" s="1" t="n">
        <v>100</v>
      </c>
      <c r="N59" s="3" t="n">
        <v>22</v>
      </c>
      <c r="S59" s="1" t="s">
        <v>154</v>
      </c>
    </row>
    <row r="60" customFormat="false" ht="13.8" hidden="false" customHeight="true" outlineLevel="0" collapsed="false">
      <c r="A60" s="1" t="s">
        <v>144</v>
      </c>
      <c r="B60" s="1" t="s">
        <v>155</v>
      </c>
      <c r="C60" s="1" t="s">
        <v>21</v>
      </c>
      <c r="D60" s="1" t="n">
        <v>0.7</v>
      </c>
      <c r="E60" s="1" t="n">
        <v>0.7</v>
      </c>
      <c r="F60" s="1" t="n">
        <v>0.6</v>
      </c>
      <c r="G60" s="1" t="n">
        <v>41</v>
      </c>
      <c r="H60" s="1" t="n">
        <v>5</v>
      </c>
      <c r="I60" s="1" t="n">
        <f aca="false">ROUND(H60*0.514,2)</f>
        <v>2.57</v>
      </c>
      <c r="M60" s="1" t="n">
        <v>100</v>
      </c>
      <c r="N60" s="3" t="n">
        <v>3</v>
      </c>
      <c r="S60" s="1" t="s">
        <v>156</v>
      </c>
    </row>
    <row r="61" customFormat="false" ht="13.8" hidden="false" customHeight="true" outlineLevel="0" collapsed="false">
      <c r="A61" s="1" t="s">
        <v>157</v>
      </c>
      <c r="B61" s="1" t="s">
        <v>158</v>
      </c>
      <c r="C61" s="1" t="s">
        <v>21</v>
      </c>
      <c r="D61" s="1" t="n">
        <v>2.1</v>
      </c>
      <c r="E61" s="1" t="n">
        <v>0.6</v>
      </c>
      <c r="F61" s="1" t="n">
        <v>0.6</v>
      </c>
      <c r="G61" s="1" t="n">
        <v>150</v>
      </c>
      <c r="H61" s="1" t="n">
        <v>3.89</v>
      </c>
      <c r="I61" s="1" t="n">
        <v>0.42</v>
      </c>
      <c r="J61" s="2" t="n">
        <f aca="false">K61/G61</f>
        <v>0.809523333333333</v>
      </c>
      <c r="K61" s="3" t="n">
        <v>121.4285</v>
      </c>
      <c r="L61" s="1" t="n">
        <f aca="false">K61*D61</f>
        <v>254.99985</v>
      </c>
      <c r="M61" s="1" t="n">
        <v>6700</v>
      </c>
      <c r="N61" s="3" t="n">
        <v>4000</v>
      </c>
      <c r="Q61" s="3" t="n">
        <v>51</v>
      </c>
      <c r="S61" s="1" t="s">
        <v>159</v>
      </c>
    </row>
    <row r="62" customFormat="false" ht="13.8" hidden="false" customHeight="true" outlineLevel="0" collapsed="false">
      <c r="A62" s="1" t="s">
        <v>160</v>
      </c>
      <c r="B62" s="1" t="s">
        <v>161</v>
      </c>
      <c r="C62" s="1" t="s">
        <v>21</v>
      </c>
      <c r="D62" s="1" t="n">
        <v>2.6</v>
      </c>
      <c r="E62" s="1" t="n">
        <v>1.5</v>
      </c>
      <c r="F62" s="1" t="n">
        <v>1.3</v>
      </c>
      <c r="G62" s="1" t="n">
        <v>25</v>
      </c>
      <c r="H62" s="1" t="n">
        <v>3.9</v>
      </c>
      <c r="I62" s="1" t="n">
        <f aca="false">ROUND(H62*0.514,2)</f>
        <v>2</v>
      </c>
      <c r="M62" s="1" t="n">
        <v>6000</v>
      </c>
      <c r="N62" s="3" t="n">
        <v>8</v>
      </c>
      <c r="S62" s="1" t="s">
        <v>162</v>
      </c>
    </row>
    <row r="63" customFormat="false" ht="13.8" hidden="false" customHeight="true" outlineLevel="0" collapsed="false">
      <c r="A63" s="1" t="s">
        <v>163</v>
      </c>
      <c r="B63" s="1" t="s">
        <v>161</v>
      </c>
      <c r="C63" s="1" t="s">
        <v>21</v>
      </c>
      <c r="D63" s="1" t="n">
        <v>2.6</v>
      </c>
      <c r="E63" s="1" t="n">
        <v>0.7</v>
      </c>
      <c r="F63" s="1" t="n">
        <v>1.4</v>
      </c>
      <c r="G63" s="1" t="n">
        <v>650</v>
      </c>
      <c r="H63" s="1" t="n">
        <v>2.06</v>
      </c>
      <c r="I63" s="1" t="n">
        <v>1.54</v>
      </c>
      <c r="J63" s="2" t="n">
        <v>0.81</v>
      </c>
      <c r="K63" s="1" t="n">
        <f aca="false">J63*G63</f>
        <v>526.5</v>
      </c>
      <c r="L63" s="1" t="n">
        <f aca="false">K63*D63</f>
        <v>1368.9</v>
      </c>
      <c r="M63" s="1" t="n">
        <v>6000</v>
      </c>
      <c r="N63" s="1" t="n">
        <v>5.56</v>
      </c>
      <c r="O63" s="1" t="n">
        <v>4.5</v>
      </c>
      <c r="P63" s="1" t="s">
        <v>34</v>
      </c>
      <c r="Q63" s="1"/>
    </row>
    <row r="64" customFormat="false" ht="13.8" hidden="false" customHeight="true" outlineLevel="0" collapsed="false">
      <c r="A64" s="1" t="s">
        <v>164</v>
      </c>
      <c r="B64" s="1" t="s">
        <v>165</v>
      </c>
      <c r="C64" s="1" t="s">
        <v>21</v>
      </c>
      <c r="D64" s="1" t="n">
        <v>1.83</v>
      </c>
      <c r="E64" s="1" t="n">
        <v>0.26</v>
      </c>
      <c r="F64" s="1" t="n">
        <v>0.26</v>
      </c>
      <c r="G64" s="1" t="n">
        <v>55</v>
      </c>
      <c r="H64" s="1" t="n">
        <v>6</v>
      </c>
      <c r="I64" s="1" t="n">
        <f aca="false">ROUND(H64*0.514,2)</f>
        <v>3.08</v>
      </c>
      <c r="M64" s="1" t="n">
        <v>300</v>
      </c>
      <c r="N64" s="3" t="n">
        <v>10</v>
      </c>
      <c r="S64" s="1" t="s">
        <v>166</v>
      </c>
    </row>
    <row r="65" customFormat="false" ht="13.8" hidden="false" customHeight="true" outlineLevel="0" collapsed="false">
      <c r="A65" s="1" t="s">
        <v>144</v>
      </c>
      <c r="B65" s="1" t="s">
        <v>167</v>
      </c>
      <c r="C65" s="1" t="s">
        <v>21</v>
      </c>
      <c r="D65" s="1" t="n">
        <v>1.3</v>
      </c>
      <c r="E65" s="1" t="n">
        <v>0.8</v>
      </c>
      <c r="F65" s="1" t="n">
        <v>1.2</v>
      </c>
      <c r="G65" s="1" t="n">
        <v>350</v>
      </c>
      <c r="I65" s="1" t="n">
        <f aca="false">ROUND(H65*0.514,2)</f>
        <v>0</v>
      </c>
      <c r="M65" s="1" t="n">
        <v>1000</v>
      </c>
      <c r="S65" s="1" t="s">
        <v>168</v>
      </c>
    </row>
    <row r="66" customFormat="false" ht="13.8" hidden="false" customHeight="true" outlineLevel="0" collapsed="false">
      <c r="A66" s="1" t="s">
        <v>29</v>
      </c>
      <c r="B66" s="1" t="s">
        <v>169</v>
      </c>
      <c r="C66" s="1" t="s">
        <v>21</v>
      </c>
      <c r="D66" s="1" t="n">
        <v>1.5</v>
      </c>
      <c r="E66" s="1" t="n">
        <v>0.75</v>
      </c>
      <c r="F66" s="1" t="n">
        <v>0.45</v>
      </c>
      <c r="G66" s="1" t="n">
        <v>220</v>
      </c>
      <c r="H66" s="1" t="n">
        <v>2</v>
      </c>
      <c r="I66" s="1" t="n">
        <f aca="false">ROUND(H66*0.514,2)</f>
        <v>1.03</v>
      </c>
      <c r="M66" s="1" t="n">
        <v>2000</v>
      </c>
      <c r="N66" s="3" t="n">
        <v>1</v>
      </c>
      <c r="S66" s="1" t="s">
        <v>170</v>
      </c>
    </row>
    <row r="67" customFormat="false" ht="13.8" hidden="false" customHeight="true" outlineLevel="0" collapsed="false">
      <c r="A67" s="1" t="s">
        <v>29</v>
      </c>
      <c r="B67" s="1" t="s">
        <v>171</v>
      </c>
      <c r="C67" s="1" t="s">
        <v>21</v>
      </c>
      <c r="D67" s="1" t="n">
        <v>8.27</v>
      </c>
      <c r="E67" s="1" t="n">
        <v>1.15</v>
      </c>
      <c r="F67" s="1" t="n">
        <v>1.15</v>
      </c>
      <c r="G67" s="1" t="n">
        <v>4740</v>
      </c>
      <c r="H67" s="1" t="n">
        <v>3</v>
      </c>
      <c r="I67" s="1" t="n">
        <f aca="false">ROUND(H67*0.514,2)</f>
        <v>1.54</v>
      </c>
      <c r="M67" s="1" t="n">
        <v>400</v>
      </c>
      <c r="N67" s="3" t="n">
        <v>18.04</v>
      </c>
      <c r="S67" s="1" t="s">
        <v>172</v>
      </c>
    </row>
    <row r="68" customFormat="false" ht="13.8" hidden="false" customHeight="true" outlineLevel="0" collapsed="false">
      <c r="A68" s="1" t="s">
        <v>29</v>
      </c>
      <c r="B68" s="1" t="s">
        <v>173</v>
      </c>
      <c r="C68" s="1" t="s">
        <v>21</v>
      </c>
      <c r="D68" s="1" t="n">
        <v>4.4</v>
      </c>
      <c r="E68" s="1" t="n">
        <v>1.08</v>
      </c>
      <c r="F68" s="1" t="n">
        <v>0.81</v>
      </c>
      <c r="G68" s="1" t="n">
        <v>1630</v>
      </c>
      <c r="H68" s="1" t="n">
        <v>3</v>
      </c>
      <c r="I68" s="1" t="n">
        <f aca="false">ROUND(H68*0.514,2)</f>
        <v>1.54</v>
      </c>
      <c r="M68" s="1" t="n">
        <v>4000</v>
      </c>
      <c r="N68" s="3" t="n">
        <v>10.82</v>
      </c>
      <c r="S68" s="1" t="s">
        <v>172</v>
      </c>
    </row>
    <row r="69" customFormat="false" ht="13.8" hidden="false" customHeight="true" outlineLevel="0" collapsed="false">
      <c r="A69" s="1" t="s">
        <v>174</v>
      </c>
      <c r="B69" s="1" t="s">
        <v>175</v>
      </c>
      <c r="C69" s="1" t="s">
        <v>21</v>
      </c>
      <c r="D69" s="1" t="n">
        <v>1.7</v>
      </c>
      <c r="E69" s="1" t="n">
        <v>0.19</v>
      </c>
      <c r="F69" s="1" t="n">
        <v>0.19</v>
      </c>
      <c r="G69" s="1" t="n">
        <v>36</v>
      </c>
      <c r="H69" s="1" t="n">
        <v>5</v>
      </c>
      <c r="I69" s="1" t="n">
        <f aca="false">ROUND(H69*0.514,2)</f>
        <v>2.57</v>
      </c>
      <c r="J69" s="2" t="n">
        <f aca="false">K69/G69</f>
        <v>0.486380555555556</v>
      </c>
      <c r="K69" s="3" t="n">
        <v>17.5097</v>
      </c>
      <c r="L69" s="1" t="n">
        <f aca="false">K69*D69</f>
        <v>29.76649</v>
      </c>
      <c r="M69" s="1" t="n">
        <v>100</v>
      </c>
      <c r="N69" s="3" t="n">
        <v>12</v>
      </c>
      <c r="Q69" s="3" t="n">
        <v>45</v>
      </c>
      <c r="S69" s="1" t="s">
        <v>176</v>
      </c>
    </row>
    <row r="70" customFormat="false" ht="13.8" hidden="false" customHeight="true" outlineLevel="0" collapsed="false">
      <c r="A70" s="1" t="s">
        <v>174</v>
      </c>
      <c r="B70" s="1" t="s">
        <v>175</v>
      </c>
      <c r="C70" s="1" t="s">
        <v>21</v>
      </c>
      <c r="D70" s="1" t="n">
        <v>1.6</v>
      </c>
      <c r="E70" s="1" t="n">
        <v>0.19</v>
      </c>
      <c r="F70" s="1" t="n">
        <v>0.19</v>
      </c>
      <c r="G70" s="1" t="n">
        <v>37</v>
      </c>
      <c r="H70" s="1" t="n">
        <v>2.6</v>
      </c>
      <c r="I70" s="1" t="n">
        <v>1.5</v>
      </c>
      <c r="J70" s="2" t="n">
        <v>0.82</v>
      </c>
      <c r="K70" s="1" t="n">
        <f aca="false">J70*G70</f>
        <v>30.34</v>
      </c>
      <c r="L70" s="1" t="n">
        <f aca="false">K70*D70</f>
        <v>48.544</v>
      </c>
      <c r="M70" s="1" t="n">
        <v>100</v>
      </c>
      <c r="N70" s="1" t="n">
        <v>22</v>
      </c>
      <c r="O70" s="1" t="n">
        <v>1</v>
      </c>
      <c r="P70" s="1" t="s">
        <v>34</v>
      </c>
      <c r="Q70" s="1"/>
    </row>
    <row r="71" customFormat="false" ht="13.8" hidden="false" customHeight="true" outlineLevel="0" collapsed="false">
      <c r="A71" s="1" t="s">
        <v>174</v>
      </c>
      <c r="B71" s="1" t="s">
        <v>177</v>
      </c>
      <c r="C71" s="1" t="s">
        <v>21</v>
      </c>
      <c r="D71" s="1" t="n">
        <v>2.51</v>
      </c>
      <c r="E71" s="1" t="n">
        <v>0.19</v>
      </c>
      <c r="F71" s="1" t="n">
        <v>0.19</v>
      </c>
      <c r="G71" s="1" t="n">
        <f aca="false">ROUND(130/2.2,2)</f>
        <v>59.09</v>
      </c>
      <c r="H71" s="1" t="n">
        <v>5</v>
      </c>
      <c r="I71" s="1" t="n">
        <f aca="false">ROUND(H71*0.514,2)</f>
        <v>2.57</v>
      </c>
      <c r="M71" s="1" t="n">
        <v>305</v>
      </c>
      <c r="N71" s="3" t="n">
        <v>29</v>
      </c>
      <c r="S71" s="1" t="s">
        <v>178</v>
      </c>
    </row>
    <row r="72" customFormat="false" ht="13.8" hidden="false" customHeight="true" outlineLevel="0" collapsed="false">
      <c r="A72" s="1" t="s">
        <v>174</v>
      </c>
      <c r="B72" s="1" t="s">
        <v>179</v>
      </c>
      <c r="C72" s="1" t="s">
        <v>21</v>
      </c>
      <c r="D72" s="1" t="n">
        <v>5.5</v>
      </c>
      <c r="E72" s="1" t="n">
        <v>0.324</v>
      </c>
      <c r="F72" s="1" t="n">
        <v>0.324</v>
      </c>
      <c r="G72" s="1" t="n">
        <v>385</v>
      </c>
      <c r="H72" s="1" t="n">
        <v>4</v>
      </c>
      <c r="I72" s="1" t="n">
        <f aca="false">ROUND(H72*0.514,2)</f>
        <v>2.06</v>
      </c>
      <c r="M72" s="1" t="n">
        <v>1500</v>
      </c>
      <c r="N72" s="3" t="n">
        <v>24</v>
      </c>
      <c r="S72" s="1" t="s">
        <v>180</v>
      </c>
    </row>
    <row r="73" customFormat="false" ht="13.8" hidden="false" customHeight="true" outlineLevel="0" collapsed="false">
      <c r="A73" s="1" t="s">
        <v>174</v>
      </c>
      <c r="B73" s="1" t="s">
        <v>179</v>
      </c>
      <c r="C73" s="1" t="s">
        <v>21</v>
      </c>
      <c r="D73" s="1" t="n">
        <v>3.25</v>
      </c>
      <c r="E73" s="1" t="n">
        <v>0.32</v>
      </c>
      <c r="F73" s="1" t="n">
        <v>0.32</v>
      </c>
      <c r="G73" s="1" t="n">
        <v>240</v>
      </c>
      <c r="H73" s="1" t="n">
        <v>2.6</v>
      </c>
      <c r="I73" s="1" t="n">
        <v>1.5</v>
      </c>
      <c r="J73" s="2" t="n">
        <v>0.21</v>
      </c>
      <c r="K73" s="1" t="n">
        <f aca="false">J73*G73</f>
        <v>50.4</v>
      </c>
      <c r="L73" s="1" t="n">
        <f aca="false">K73*D73</f>
        <v>163.8</v>
      </c>
      <c r="M73" s="1" t="n">
        <v>600</v>
      </c>
      <c r="N73" s="1" t="n">
        <v>70</v>
      </c>
      <c r="O73" s="1" t="n">
        <v>5.2</v>
      </c>
      <c r="P73" s="1" t="s">
        <v>34</v>
      </c>
      <c r="Q73" s="1"/>
    </row>
    <row r="74" customFormat="false" ht="13.8" hidden="false" customHeight="true" outlineLevel="0" collapsed="false">
      <c r="A74" s="1" t="s">
        <v>174</v>
      </c>
      <c r="B74" s="1" t="s">
        <v>181</v>
      </c>
      <c r="C74" s="1" t="s">
        <v>21</v>
      </c>
      <c r="D74" s="1" t="n">
        <v>3.96</v>
      </c>
      <c r="E74" s="1" t="n">
        <v>0.71</v>
      </c>
      <c r="F74" s="1" t="n">
        <v>0.71</v>
      </c>
      <c r="G74" s="1" t="n">
        <v>862</v>
      </c>
      <c r="H74" s="1" t="n">
        <v>4.5</v>
      </c>
      <c r="I74" s="1" t="n">
        <f aca="false">ROUND(H74*0.514,2)</f>
        <v>2.31</v>
      </c>
      <c r="M74" s="1" t="n">
        <v>6000</v>
      </c>
      <c r="N74" s="3" t="n">
        <v>22</v>
      </c>
      <c r="S74" s="1" t="s">
        <v>182</v>
      </c>
    </row>
    <row r="75" customFormat="false" ht="13.8" hidden="false" customHeight="true" outlineLevel="0" collapsed="false">
      <c r="A75" s="1" t="s">
        <v>174</v>
      </c>
      <c r="B75" s="1" t="s">
        <v>181</v>
      </c>
      <c r="C75" s="1" t="s">
        <v>21</v>
      </c>
      <c r="D75" s="1" t="n">
        <v>3.84</v>
      </c>
      <c r="E75" s="1" t="n">
        <v>0.71</v>
      </c>
      <c r="F75" s="1" t="n">
        <v>0.71</v>
      </c>
      <c r="G75" s="1" t="n">
        <v>862</v>
      </c>
      <c r="H75" s="1" t="n">
        <v>2.6</v>
      </c>
      <c r="I75" s="1" t="n">
        <v>1.543</v>
      </c>
      <c r="J75" s="2" t="n">
        <v>0.38</v>
      </c>
      <c r="K75" s="1" t="n">
        <f aca="false">J75*G75</f>
        <v>327.56</v>
      </c>
      <c r="L75" s="1" t="n">
        <f aca="false">K75*D75</f>
        <v>1257.8304</v>
      </c>
      <c r="M75" s="1" t="n">
        <v>6000</v>
      </c>
      <c r="N75" s="1" t="n">
        <v>22</v>
      </c>
      <c r="O75" s="1" t="n">
        <v>11</v>
      </c>
      <c r="P75" s="1" t="s">
        <v>34</v>
      </c>
      <c r="Q75" s="1"/>
    </row>
    <row r="76" customFormat="false" ht="13.8" hidden="false" customHeight="true" outlineLevel="0" collapsed="false">
      <c r="A76" s="1" t="s">
        <v>174</v>
      </c>
      <c r="B76" s="1" t="s">
        <v>183</v>
      </c>
      <c r="C76" s="1" t="s">
        <v>21</v>
      </c>
      <c r="D76" s="1" t="n">
        <f aca="false">ROUND(36*0.0254,2)</f>
        <v>0.91</v>
      </c>
      <c r="E76" s="1" t="n">
        <f aca="false">ROUND(4.875*0.0254,2)</f>
        <v>0.12</v>
      </c>
      <c r="F76" s="1" t="n">
        <f aca="false">ROUND(4.875*0.0254,2)</f>
        <v>0.12</v>
      </c>
      <c r="H76" s="1" t="n">
        <v>10</v>
      </c>
      <c r="I76" s="1" t="n">
        <f aca="false">ROUND(H76*0.514,2)</f>
        <v>5.14</v>
      </c>
      <c r="M76" s="1" t="n">
        <v>300</v>
      </c>
      <c r="S76" s="1" t="s">
        <v>184</v>
      </c>
    </row>
    <row r="77" customFormat="false" ht="13.8" hidden="false" customHeight="true" outlineLevel="0" collapsed="false">
      <c r="A77" s="1" t="s">
        <v>185</v>
      </c>
      <c r="B77" s="1" t="s">
        <v>186</v>
      </c>
      <c r="C77" s="1" t="s">
        <v>21</v>
      </c>
      <c r="D77" s="1" t="n">
        <v>4.094</v>
      </c>
      <c r="E77" s="1" t="n">
        <v>1.35</v>
      </c>
      <c r="F77" s="1" t="n">
        <v>0.67</v>
      </c>
      <c r="G77" s="1" t="n">
        <v>1500</v>
      </c>
      <c r="H77" s="1" t="n">
        <v>4</v>
      </c>
      <c r="I77" s="1" t="n">
        <f aca="false">ROUND(H77*0.514,2)</f>
        <v>2.06</v>
      </c>
      <c r="M77" s="1" t="n">
        <v>3000</v>
      </c>
      <c r="N77" s="3" t="n">
        <v>14</v>
      </c>
      <c r="S77" s="1" t="s">
        <v>187</v>
      </c>
    </row>
    <row r="78" customFormat="false" ht="13.8" hidden="false" customHeight="true" outlineLevel="0" collapsed="false">
      <c r="A78" s="1" t="s">
        <v>185</v>
      </c>
      <c r="B78" s="1" t="s">
        <v>188</v>
      </c>
      <c r="C78" s="1" t="s">
        <v>21</v>
      </c>
      <c r="D78" s="1" t="n">
        <v>3.6</v>
      </c>
      <c r="E78" s="1" t="n">
        <v>0.66</v>
      </c>
      <c r="F78" s="1" t="n">
        <v>0.45</v>
      </c>
      <c r="G78" s="1" t="n">
        <v>650</v>
      </c>
      <c r="H78" s="1" t="n">
        <v>5</v>
      </c>
      <c r="I78" s="1" t="n">
        <f aca="false">ROUND(H78*0.514,2)</f>
        <v>2.57</v>
      </c>
      <c r="M78" s="1" t="n">
        <v>1200</v>
      </c>
      <c r="N78" s="3" t="n">
        <v>8</v>
      </c>
      <c r="S78" s="1" t="s">
        <v>189</v>
      </c>
    </row>
    <row r="79" customFormat="false" ht="13.8" hidden="false" customHeight="true" outlineLevel="0" collapsed="false">
      <c r="A79" s="1" t="s">
        <v>190</v>
      </c>
      <c r="B79" s="1" t="s">
        <v>191</v>
      </c>
      <c r="C79" s="1" t="s">
        <v>21</v>
      </c>
      <c r="D79" s="1" t="n">
        <v>6.1</v>
      </c>
      <c r="E79" s="1" t="n">
        <v>1.8</v>
      </c>
      <c r="F79" s="1" t="n">
        <v>2.1</v>
      </c>
      <c r="G79" s="1" t="n">
        <v>6500</v>
      </c>
      <c r="H79" s="1" t="n">
        <v>3</v>
      </c>
      <c r="I79" s="1" t="n">
        <f aca="false">ROUND(H79*0.514,2)</f>
        <v>1.54</v>
      </c>
      <c r="M79" s="1" t="n">
        <v>6000</v>
      </c>
      <c r="S79" s="1" t="s">
        <v>192</v>
      </c>
    </row>
    <row r="80" customFormat="false" ht="13.8" hidden="false" customHeight="true" outlineLevel="0" collapsed="false">
      <c r="A80" s="1" t="s">
        <v>95</v>
      </c>
      <c r="B80" s="1" t="s">
        <v>193</v>
      </c>
      <c r="C80" s="1" t="s">
        <v>21</v>
      </c>
      <c r="D80" s="1" t="n">
        <v>5.5</v>
      </c>
      <c r="E80" s="1" t="n">
        <v>0.63</v>
      </c>
      <c r="F80" s="1" t="n">
        <v>0.63</v>
      </c>
      <c r="G80" s="1" t="n">
        <v>1200</v>
      </c>
      <c r="H80" s="1" t="n">
        <v>3</v>
      </c>
      <c r="I80" s="1" t="n">
        <f aca="false">ROUND(H80*0.514,2)</f>
        <v>1.54</v>
      </c>
      <c r="M80" s="1" t="n">
        <v>6000</v>
      </c>
      <c r="N80" s="3" t="n">
        <v>24</v>
      </c>
      <c r="S80" s="1" t="s">
        <v>194</v>
      </c>
    </row>
    <row r="81" customFormat="false" ht="13.8" hidden="false" customHeight="true" outlineLevel="0" collapsed="false">
      <c r="A81" s="1" t="s">
        <v>44</v>
      </c>
      <c r="B81" s="1" t="s">
        <v>195</v>
      </c>
      <c r="C81" s="1" t="s">
        <v>21</v>
      </c>
      <c r="D81" s="1" t="n">
        <v>2</v>
      </c>
      <c r="E81" s="1" t="n">
        <v>1.5</v>
      </c>
      <c r="F81" s="1" t="n">
        <v>1.5</v>
      </c>
      <c r="G81" s="1" t="n">
        <v>250</v>
      </c>
      <c r="H81" s="1" t="n">
        <v>1.16</v>
      </c>
      <c r="I81" s="1" t="n">
        <f aca="false">ROUND(H81*0.514,2)</f>
        <v>0.6</v>
      </c>
      <c r="M81" s="1" t="n">
        <v>6000</v>
      </c>
      <c r="N81" s="3" t="n">
        <v>24</v>
      </c>
      <c r="S81" s="1" t="s">
        <v>196</v>
      </c>
    </row>
    <row r="82" customFormat="false" ht="13.8" hidden="false" customHeight="true" outlineLevel="0" collapsed="false">
      <c r="A82" s="1" t="s">
        <v>44</v>
      </c>
      <c r="B82" s="1" t="s">
        <v>197</v>
      </c>
      <c r="C82" s="1" t="s">
        <v>21</v>
      </c>
      <c r="D82" s="1" t="n">
        <v>1.9</v>
      </c>
      <c r="E82" s="1" t="n">
        <v>0.34</v>
      </c>
      <c r="F82" s="1" t="n">
        <v>1.5</v>
      </c>
      <c r="G82" s="1" t="n">
        <v>250</v>
      </c>
      <c r="H82" s="1" t="n">
        <v>1.54</v>
      </c>
      <c r="I82" s="1" t="n">
        <v>1</v>
      </c>
      <c r="J82" s="2" t="n">
        <v>1</v>
      </c>
      <c r="K82" s="1" t="n">
        <f aca="false">J82*G82</f>
        <v>250</v>
      </c>
      <c r="L82" s="1" t="n">
        <f aca="false">K82*D82</f>
        <v>475</v>
      </c>
      <c r="M82" s="1" t="n">
        <v>2000</v>
      </c>
      <c r="N82" s="1" t="n">
        <v>8</v>
      </c>
      <c r="O82" s="1" t="n">
        <v>2</v>
      </c>
      <c r="P82" s="1" t="s">
        <v>34</v>
      </c>
      <c r="Q82" s="1"/>
    </row>
    <row r="83" customFormat="false" ht="13.8" hidden="false" customHeight="true" outlineLevel="0" collapsed="false">
      <c r="A83" s="1" t="s">
        <v>198</v>
      </c>
      <c r="B83" s="1" t="s">
        <v>199</v>
      </c>
      <c r="C83" s="1" t="s">
        <v>21</v>
      </c>
      <c r="D83" s="1" t="n">
        <v>3.25</v>
      </c>
      <c r="E83" s="1" t="n">
        <v>0.58</v>
      </c>
      <c r="F83" s="1" t="n">
        <v>0.67</v>
      </c>
      <c r="G83" s="1" t="n">
        <v>220</v>
      </c>
      <c r="H83" s="1" t="n">
        <v>6</v>
      </c>
      <c r="I83" s="1" t="n">
        <f aca="false">ROUND(H83*0.514,2)</f>
        <v>3.08</v>
      </c>
      <c r="M83" s="1" t="n">
        <v>600</v>
      </c>
      <c r="N83" s="3" t="n">
        <v>20</v>
      </c>
      <c r="S83" s="1" t="s">
        <v>200</v>
      </c>
    </row>
    <row r="84" customFormat="false" ht="13.8" hidden="false" customHeight="true" outlineLevel="0" collapsed="false">
      <c r="A84" s="1" t="s">
        <v>198</v>
      </c>
      <c r="B84" s="1" t="s">
        <v>201</v>
      </c>
      <c r="C84" s="1" t="s">
        <v>21</v>
      </c>
      <c r="D84" s="1" t="n">
        <v>1.31</v>
      </c>
      <c r="E84" s="1" t="n">
        <v>0.39</v>
      </c>
      <c r="F84" s="1" t="n">
        <v>0.39</v>
      </c>
      <c r="G84" s="1" t="n">
        <v>43</v>
      </c>
      <c r="H84" s="1" t="n">
        <v>6</v>
      </c>
      <c r="I84" s="1" t="n">
        <f aca="false">ROUND(H84*0.514,2)</f>
        <v>3.08</v>
      </c>
      <c r="M84" s="1" t="n">
        <v>300</v>
      </c>
      <c r="N84" s="3" t="n">
        <f aca="false">ROUND(1200/(I84*3600),2)</f>
        <v>0.11</v>
      </c>
      <c r="S84" s="1" t="s">
        <v>202</v>
      </c>
    </row>
    <row r="85" customFormat="false" ht="13.8" hidden="false" customHeight="true" outlineLevel="0" collapsed="false">
      <c r="A85" s="1" t="s">
        <v>174</v>
      </c>
      <c r="B85" s="1" t="s">
        <v>203</v>
      </c>
      <c r="C85" s="1" t="s">
        <v>204</v>
      </c>
      <c r="D85" s="1" t="n">
        <v>2</v>
      </c>
      <c r="E85" s="1" t="n">
        <v>1.3</v>
      </c>
      <c r="F85" s="1" t="n">
        <v>1.3</v>
      </c>
      <c r="G85" s="1" t="n">
        <v>60</v>
      </c>
      <c r="H85" s="1" t="n">
        <v>0.5</v>
      </c>
      <c r="I85" s="1" t="n">
        <f aca="false">ROUND(H85*0.514,2)</f>
        <v>0.26</v>
      </c>
      <c r="J85" s="2" t="n">
        <f aca="false">K85/G85</f>
        <v>0.03205</v>
      </c>
      <c r="K85" s="3" t="n">
        <v>1.923</v>
      </c>
      <c r="L85" s="1" t="n">
        <f aca="false">K85*D85</f>
        <v>3.846</v>
      </c>
      <c r="M85" s="1" t="n">
        <v>1000</v>
      </c>
      <c r="N85" s="3" t="n">
        <f aca="false">730.5*10</f>
        <v>7305</v>
      </c>
      <c r="Q85" s="3" t="n">
        <v>0.5</v>
      </c>
      <c r="S85" s="1" t="s">
        <v>205</v>
      </c>
    </row>
    <row r="86" customFormat="false" ht="13.8" hidden="false" customHeight="true" outlineLevel="0" collapsed="false">
      <c r="A86" s="1" t="s">
        <v>206</v>
      </c>
      <c r="B86" s="1" t="s">
        <v>203</v>
      </c>
      <c r="C86" s="1" t="s">
        <v>204</v>
      </c>
      <c r="D86" s="1" t="n">
        <v>1.8</v>
      </c>
      <c r="E86" s="1" t="n">
        <v>0.3</v>
      </c>
      <c r="F86" s="1" t="n">
        <v>0.4</v>
      </c>
      <c r="G86" s="1" t="n">
        <v>52</v>
      </c>
      <c r="I86" s="1" t="n">
        <v>0.25</v>
      </c>
      <c r="J86" s="2" t="n">
        <v>0.07</v>
      </c>
      <c r="K86" s="1" t="n">
        <f aca="false">J86*G86</f>
        <v>3.64</v>
      </c>
      <c r="L86" s="1" t="n">
        <f aca="false">K86*D86</f>
        <v>6.552</v>
      </c>
      <c r="M86" s="1" t="n">
        <v>1000</v>
      </c>
      <c r="N86" s="1" t="n">
        <v>5111</v>
      </c>
      <c r="O86" s="1" t="n">
        <v>4.72</v>
      </c>
      <c r="P86" s="1" t="s">
        <v>207</v>
      </c>
      <c r="Q86" s="1"/>
    </row>
    <row r="87" s="1" customFormat="true" ht="13.8" hidden="false" customHeight="true" outlineLevel="0" collapsed="false">
      <c r="A87" s="1" t="s">
        <v>208</v>
      </c>
      <c r="B87" s="1" t="s">
        <v>209</v>
      </c>
      <c r="C87" s="1" t="s">
        <v>21</v>
      </c>
      <c r="D87" s="1" t="n">
        <v>3.45</v>
      </c>
      <c r="E87" s="1" t="n">
        <v>0.98</v>
      </c>
      <c r="F87" s="1" t="n">
        <v>0.48</v>
      </c>
      <c r="G87" s="1" t="n">
        <v>1100</v>
      </c>
      <c r="H87" s="1" t="n">
        <v>4.12</v>
      </c>
      <c r="I87" s="1" t="n">
        <v>2.06</v>
      </c>
      <c r="J87" s="2" t="n">
        <v>0.66</v>
      </c>
      <c r="K87" s="1" t="n">
        <f aca="false">J87*G87</f>
        <v>726</v>
      </c>
      <c r="L87" s="1" t="n">
        <f aca="false">K87*D87</f>
        <v>2504.7</v>
      </c>
      <c r="M87" s="1" t="n">
        <v>600</v>
      </c>
      <c r="N87" s="1" t="n">
        <v>24</v>
      </c>
      <c r="O87" s="1" t="n">
        <v>36</v>
      </c>
      <c r="R87" s="3"/>
    </row>
    <row r="88" customFormat="false" ht="13.8" hidden="false" customHeight="true" outlineLevel="0" collapsed="false">
      <c r="A88" s="1" t="s">
        <v>210</v>
      </c>
      <c r="B88" s="1" t="s">
        <v>211</v>
      </c>
      <c r="C88" s="1" t="s">
        <v>21</v>
      </c>
      <c r="D88" s="1" t="n">
        <f aca="false">ROUND(48*0.0254,2)</f>
        <v>1.22</v>
      </c>
      <c r="E88" s="1" t="n">
        <v>0.12</v>
      </c>
      <c r="F88" s="1" t="n">
        <v>0.12</v>
      </c>
      <c r="H88" s="1" t="n">
        <v>15</v>
      </c>
      <c r="I88" s="1" t="n">
        <f aca="false">ROUND(H88*0.514,2)</f>
        <v>7.71</v>
      </c>
      <c r="M88" s="1" t="n">
        <v>243.84</v>
      </c>
      <c r="S88" s="1" t="s">
        <v>212</v>
      </c>
    </row>
    <row r="89" customFormat="false" ht="13.8" hidden="false" customHeight="true" outlineLevel="0" collapsed="false">
      <c r="A89" s="1" t="s">
        <v>24</v>
      </c>
      <c r="B89" s="1" t="s">
        <v>213</v>
      </c>
      <c r="C89" s="1" t="s">
        <v>21</v>
      </c>
      <c r="D89" s="1" t="n">
        <f aca="false">ROUND(89*0.0254,2)</f>
        <v>2.26</v>
      </c>
      <c r="E89" s="1" t="n">
        <v>0.18</v>
      </c>
      <c r="F89" s="1" t="n">
        <v>0.18</v>
      </c>
      <c r="G89" s="1" t="n">
        <v>34</v>
      </c>
      <c r="H89" s="1" t="n">
        <v>4</v>
      </c>
      <c r="I89" s="1" t="n">
        <f aca="false">ROUND(H89*0.514,2)</f>
        <v>2.06</v>
      </c>
      <c r="M89" s="1" t="n">
        <v>500</v>
      </c>
      <c r="N89" s="3" t="n">
        <v>25</v>
      </c>
      <c r="S89" s="1" t="s">
        <v>214</v>
      </c>
    </row>
    <row r="90" customFormat="false" ht="13.8" hidden="false" customHeight="true" outlineLevel="0" collapsed="false">
      <c r="A90" s="1" t="s">
        <v>215</v>
      </c>
      <c r="B90" s="1" t="s">
        <v>216</v>
      </c>
      <c r="C90" s="1" t="s">
        <v>21</v>
      </c>
      <c r="D90" s="1" t="n">
        <v>2.9</v>
      </c>
      <c r="E90" s="1" t="n">
        <v>2.2</v>
      </c>
      <c r="F90" s="1" t="n">
        <v>1.8</v>
      </c>
      <c r="G90" s="1" t="n">
        <v>1250</v>
      </c>
      <c r="H90" s="1" t="n">
        <v>2</v>
      </c>
      <c r="I90" s="1" t="n">
        <f aca="false">ROUND(H90*0.514,2)</f>
        <v>1.03</v>
      </c>
      <c r="M90" s="1" t="n">
        <v>6000</v>
      </c>
      <c r="N90" s="3" t="n">
        <v>60</v>
      </c>
      <c r="S90" s="1" t="s">
        <v>217</v>
      </c>
    </row>
    <row r="91" customFormat="false" ht="13.8" hidden="false" customHeight="true" outlineLevel="0" collapsed="false">
      <c r="A91" s="1" t="s">
        <v>218</v>
      </c>
      <c r="B91" s="1" t="s">
        <v>219</v>
      </c>
      <c r="C91" s="1" t="s">
        <v>21</v>
      </c>
      <c r="D91" s="1" t="n">
        <v>0.455</v>
      </c>
      <c r="E91" s="1" t="n">
        <v>0.1</v>
      </c>
      <c r="F91" s="1" t="n">
        <v>0.14</v>
      </c>
      <c r="H91" s="1" t="n">
        <v>1</v>
      </c>
      <c r="I91" s="1" t="n">
        <f aca="false">ROUND(H91/D91, 2)</f>
        <v>2.2</v>
      </c>
      <c r="N91" s="3" t="n">
        <v>2</v>
      </c>
      <c r="S91" s="1" t="s">
        <v>220</v>
      </c>
    </row>
    <row r="92" customFormat="false" ht="13.8" hidden="false" customHeight="true" outlineLevel="0" collapsed="false">
      <c r="A92" s="1" t="s">
        <v>95</v>
      </c>
      <c r="B92" s="1" t="s">
        <v>221</v>
      </c>
      <c r="C92" s="1" t="s">
        <v>204</v>
      </c>
      <c r="D92" s="1" t="n">
        <v>1.5</v>
      </c>
      <c r="E92" s="1" t="n">
        <v>0.21</v>
      </c>
      <c r="F92" s="1" t="n">
        <v>0.21</v>
      </c>
      <c r="G92" s="1" t="n">
        <v>52</v>
      </c>
      <c r="I92" s="1" t="n">
        <v>0.35</v>
      </c>
      <c r="J92" s="2" t="n">
        <v>0.2</v>
      </c>
      <c r="K92" s="1" t="n">
        <f aca="false">J92*G92</f>
        <v>10.4</v>
      </c>
      <c r="L92" s="1" t="n">
        <f aca="false">K92*D92</f>
        <v>15.6</v>
      </c>
      <c r="M92" s="1" t="n">
        <v>1000</v>
      </c>
      <c r="N92" s="1" t="n">
        <v>528</v>
      </c>
      <c r="O92" s="1" t="n">
        <v>1.9005</v>
      </c>
      <c r="P92" s="1" t="s">
        <v>222</v>
      </c>
      <c r="Q92" s="1"/>
    </row>
    <row r="93" customFormat="false" ht="13.8" hidden="false" customHeight="true" outlineLevel="0" collapsed="false">
      <c r="A93" s="1" t="s">
        <v>95</v>
      </c>
      <c r="B93" s="1" t="s">
        <v>223</v>
      </c>
      <c r="C93" s="1" t="s">
        <v>204</v>
      </c>
      <c r="D93" s="1" t="n">
        <v>1.5</v>
      </c>
      <c r="E93" s="1" t="n">
        <v>0.21</v>
      </c>
      <c r="F93" s="1" t="n">
        <v>0.21</v>
      </c>
      <c r="G93" s="1" t="n">
        <v>52</v>
      </c>
      <c r="I93" s="1" t="n">
        <v>0.35</v>
      </c>
      <c r="J93" s="2" t="n">
        <v>0.12</v>
      </c>
      <c r="K93" s="1" t="n">
        <f aca="false">J93*G93</f>
        <v>6.24</v>
      </c>
      <c r="L93" s="1" t="n">
        <f aca="false">K93*D93</f>
        <v>9.36</v>
      </c>
      <c r="M93" s="1" t="n">
        <v>200</v>
      </c>
      <c r="N93" s="1" t="n">
        <v>840</v>
      </c>
      <c r="O93" s="1" t="n">
        <v>1.9005</v>
      </c>
      <c r="P93" s="1" t="s">
        <v>222</v>
      </c>
      <c r="Q93" s="1"/>
    </row>
    <row r="94" customFormat="false" ht="13.8" hidden="false" customHeight="true" outlineLevel="0" collapsed="false">
      <c r="A94" s="1" t="s">
        <v>95</v>
      </c>
      <c r="B94" s="1" t="s">
        <v>224</v>
      </c>
      <c r="C94" s="1" t="s">
        <v>204</v>
      </c>
      <c r="D94" s="1" t="n">
        <v>1.5</v>
      </c>
      <c r="E94" s="1" t="n">
        <v>0.22</v>
      </c>
      <c r="F94" s="1" t="n">
        <v>0.22</v>
      </c>
      <c r="G94" s="1" t="n">
        <v>70</v>
      </c>
      <c r="I94" s="1" t="n">
        <f aca="false">ROUND(H94*0.514,2)</f>
        <v>0</v>
      </c>
      <c r="M94" s="1" t="n">
        <v>1000</v>
      </c>
      <c r="N94" s="3" t="n">
        <v>13149</v>
      </c>
      <c r="S94" s="1" t="s">
        <v>225</v>
      </c>
    </row>
    <row r="95" customFormat="false" ht="13.8" hidden="false" customHeight="true" outlineLevel="0" collapsed="false">
      <c r="A95" s="1" t="s">
        <v>226</v>
      </c>
      <c r="B95" s="1" t="s">
        <v>227</v>
      </c>
      <c r="C95" s="1" t="s">
        <v>21</v>
      </c>
      <c r="D95" s="1" t="n">
        <v>1.32</v>
      </c>
      <c r="E95" s="1" t="n">
        <v>0.92</v>
      </c>
      <c r="F95" s="1" t="n">
        <v>0.45</v>
      </c>
      <c r="G95" s="1" t="n">
        <v>30</v>
      </c>
      <c r="H95" s="1" t="n">
        <v>6.48</v>
      </c>
      <c r="I95" s="1" t="n">
        <f aca="false">ROUND(H95*0.514,2)</f>
        <v>3.33</v>
      </c>
      <c r="N95" s="3" t="n">
        <v>10</v>
      </c>
      <c r="S95" s="1" t="s">
        <v>228</v>
      </c>
    </row>
    <row r="96" customFormat="false" ht="13.8" hidden="false" customHeight="true" outlineLevel="0" collapsed="false">
      <c r="A96" s="1" t="s">
        <v>229</v>
      </c>
      <c r="B96" s="1" t="s">
        <v>230</v>
      </c>
      <c r="C96" s="1" t="s">
        <v>21</v>
      </c>
      <c r="D96" s="1" t="n">
        <v>2.5</v>
      </c>
      <c r="E96" s="1" t="n">
        <v>0.667</v>
      </c>
      <c r="F96" s="1" t="n">
        <v>0.667</v>
      </c>
      <c r="G96" s="1" t="n">
        <v>312</v>
      </c>
      <c r="I96" s="1" t="n">
        <f aca="false">ROUND(H96/D96, 2)</f>
        <v>0</v>
      </c>
      <c r="M96" s="1" t="n">
        <v>2000</v>
      </c>
      <c r="S96" s="1" t="s">
        <v>231</v>
      </c>
    </row>
    <row r="97" s="1" customFormat="true" ht="13.8" hidden="false" customHeight="true" outlineLevel="0" collapsed="false">
      <c r="A97" s="1" t="s">
        <v>232</v>
      </c>
      <c r="B97" s="1" t="s">
        <v>233</v>
      </c>
      <c r="C97" s="1" t="s">
        <v>21</v>
      </c>
      <c r="D97" s="1" t="n">
        <v>1.8</v>
      </c>
      <c r="E97" s="1" t="n">
        <v>0.3</v>
      </c>
      <c r="F97" s="1" t="n">
        <v>0.3</v>
      </c>
      <c r="G97" s="1" t="n">
        <v>51.8</v>
      </c>
      <c r="H97" s="1" t="n">
        <v>0.35</v>
      </c>
      <c r="I97" s="1" t="n">
        <v>0.25</v>
      </c>
      <c r="J97" s="2" t="n">
        <v>0.04</v>
      </c>
      <c r="K97" s="1" t="n">
        <f aca="false">J97*G97</f>
        <v>2.072</v>
      </c>
      <c r="L97" s="1" t="n">
        <f aca="false">K97*D97</f>
        <v>3.7296</v>
      </c>
      <c r="M97" s="1" t="n">
        <v>1500</v>
      </c>
      <c r="N97" s="1" t="n">
        <v>6666</v>
      </c>
      <c r="O97" s="1" t="n">
        <v>3.6111</v>
      </c>
      <c r="R97" s="3"/>
    </row>
    <row r="98" customFormat="false" ht="13.8" hidden="false" customHeight="true" outlineLevel="0" collapsed="false">
      <c r="A98" s="1" t="s">
        <v>234</v>
      </c>
      <c r="B98" s="1" t="s">
        <v>235</v>
      </c>
      <c r="C98" s="1" t="s">
        <v>21</v>
      </c>
      <c r="D98" s="1" t="n">
        <v>1.2</v>
      </c>
      <c r="E98" s="1" t="n">
        <v>0.15</v>
      </c>
      <c r="F98" s="1" t="n">
        <v>0.15</v>
      </c>
      <c r="G98" s="1" t="n">
        <v>26</v>
      </c>
      <c r="H98" s="1" t="n">
        <v>2.91</v>
      </c>
      <c r="I98" s="1" t="n">
        <f aca="false">ROUND(H98*0.514,2)</f>
        <v>1.5</v>
      </c>
      <c r="M98" s="1" t="n">
        <v>100</v>
      </c>
      <c r="N98" s="3" t="n">
        <v>4</v>
      </c>
      <c r="S98" s="1" t="s">
        <v>236</v>
      </c>
    </row>
    <row r="99" customFormat="false" ht="13.8" hidden="false" customHeight="true" outlineLevel="0" collapsed="false">
      <c r="A99" s="1" t="s">
        <v>237</v>
      </c>
      <c r="B99" s="1" t="s">
        <v>238</v>
      </c>
      <c r="C99" s="1" t="s">
        <v>21</v>
      </c>
      <c r="D99" s="1" t="n">
        <v>1.6</v>
      </c>
      <c r="E99" s="1" t="n">
        <v>0.2</v>
      </c>
      <c r="F99" s="1" t="n">
        <v>0.2</v>
      </c>
      <c r="G99" s="1" t="n">
        <v>45</v>
      </c>
      <c r="H99" s="1" t="n">
        <v>4.48</v>
      </c>
      <c r="I99" s="1" t="n">
        <f aca="false">ROUND(H99*0.514,2)</f>
        <v>2.3</v>
      </c>
      <c r="M99" s="1" t="n">
        <v>100</v>
      </c>
      <c r="N99" s="3" t="n">
        <v>6</v>
      </c>
      <c r="S99" s="1" t="s">
        <v>239</v>
      </c>
    </row>
    <row r="100" customFormat="false" ht="13.8" hidden="false" customHeight="true" outlineLevel="0" collapsed="false">
      <c r="A100" s="1" t="s">
        <v>240</v>
      </c>
      <c r="B100" s="1" t="s">
        <v>241</v>
      </c>
      <c r="C100" s="1" t="s">
        <v>21</v>
      </c>
      <c r="D100" s="1" t="n">
        <v>2.43</v>
      </c>
      <c r="E100" s="1" t="n">
        <v>0.48</v>
      </c>
      <c r="F100" s="1" t="n">
        <v>2.13</v>
      </c>
      <c r="G100" s="1" t="n">
        <v>56.7</v>
      </c>
      <c r="H100" s="1" t="n">
        <v>5.83</v>
      </c>
      <c r="I100" s="1" t="n">
        <f aca="false">ROUND(H100*0.514,2)</f>
        <v>3</v>
      </c>
      <c r="M100" s="1" t="n">
        <v>22.86</v>
      </c>
      <c r="N100" s="3" t="n">
        <v>4000</v>
      </c>
      <c r="S100" s="1" t="s">
        <v>242</v>
      </c>
    </row>
    <row r="101" customFormat="false" ht="13.8" hidden="false" customHeight="true" outlineLevel="0" collapsed="false">
      <c r="A101" s="1" t="s">
        <v>75</v>
      </c>
      <c r="B101" s="1" t="s">
        <v>243</v>
      </c>
      <c r="C101" s="1" t="s">
        <v>21</v>
      </c>
      <c r="D101" s="1" t="n">
        <v>1.61</v>
      </c>
      <c r="E101" s="1" t="n">
        <v>0.47</v>
      </c>
      <c r="F101" s="1" t="n">
        <v>0.2</v>
      </c>
      <c r="G101" s="1" t="n">
        <v>50</v>
      </c>
      <c r="I101" s="1" t="n">
        <f aca="false">ROUND(H101*0.514,2)</f>
        <v>0</v>
      </c>
      <c r="S101" s="1" t="s">
        <v>244</v>
      </c>
    </row>
    <row r="102" customFormat="false" ht="13.8" hidden="false" customHeight="true" outlineLevel="0" collapsed="false">
      <c r="A102" s="1" t="s">
        <v>55</v>
      </c>
      <c r="B102" s="1" t="s">
        <v>245</v>
      </c>
      <c r="C102" s="1" t="s">
        <v>21</v>
      </c>
      <c r="D102" s="1" t="n">
        <v>2.3</v>
      </c>
      <c r="E102" s="1" t="n">
        <v>0.305</v>
      </c>
      <c r="F102" s="1" t="n">
        <v>0.305</v>
      </c>
      <c r="G102" s="1" t="n">
        <v>120</v>
      </c>
      <c r="H102" s="1" t="n">
        <v>1.95</v>
      </c>
      <c r="I102" s="1" t="n">
        <f aca="false">ROUND(H102*0.514,2)</f>
        <v>1</v>
      </c>
      <c r="N102" s="3" t="n">
        <v>740</v>
      </c>
      <c r="S102" s="1" t="s">
        <v>246</v>
      </c>
    </row>
    <row r="103" customFormat="false" ht="13.8" hidden="false" customHeight="true" outlineLevel="0" collapsed="false">
      <c r="A103" s="1" t="s">
        <v>83</v>
      </c>
      <c r="B103" s="1" t="s">
        <v>247</v>
      </c>
      <c r="C103" s="1" t="s">
        <v>21</v>
      </c>
      <c r="D103" s="1" t="n">
        <v>10.7</v>
      </c>
      <c r="E103" s="1" t="n">
        <v>1.27</v>
      </c>
      <c r="F103" s="1" t="n">
        <v>1.27</v>
      </c>
      <c r="G103" s="1" t="n">
        <v>8600</v>
      </c>
      <c r="H103" s="1" t="n">
        <v>4</v>
      </c>
      <c r="I103" s="1" t="n">
        <f aca="false">ROUND(H103*0.514,2)</f>
        <v>2.06</v>
      </c>
      <c r="M103" s="1" t="n">
        <v>1000</v>
      </c>
      <c r="N103" s="3" t="n">
        <v>183.4</v>
      </c>
      <c r="S103" s="1" t="s">
        <v>248</v>
      </c>
    </row>
    <row r="104" customFormat="false" ht="13.8" hidden="false" customHeight="true" outlineLevel="0" collapsed="false">
      <c r="A104" s="1" t="s">
        <v>83</v>
      </c>
      <c r="B104" s="1" t="s">
        <v>247</v>
      </c>
      <c r="C104" s="1" t="s">
        <v>21</v>
      </c>
      <c r="D104" s="1" t="n">
        <v>10.7</v>
      </c>
      <c r="E104" s="1" t="n">
        <v>0.13</v>
      </c>
      <c r="F104" s="1" t="n">
        <v>0.13</v>
      </c>
      <c r="G104" s="1" t="n">
        <v>8600</v>
      </c>
      <c r="I104" s="1" t="n">
        <v>2.06</v>
      </c>
      <c r="J104" s="2" t="n">
        <v>0.56</v>
      </c>
      <c r="K104" s="1" t="n">
        <f aca="false">J104*G104</f>
        <v>4816</v>
      </c>
      <c r="L104" s="1" t="n">
        <f aca="false">K104*D104</f>
        <v>51531.2</v>
      </c>
      <c r="M104" s="1" t="n">
        <v>2000</v>
      </c>
      <c r="N104" s="1" t="n">
        <v>60</v>
      </c>
      <c r="O104" s="1" t="n">
        <v>600</v>
      </c>
      <c r="P104" s="1" t="s">
        <v>34</v>
      </c>
      <c r="Q104" s="1"/>
    </row>
    <row r="105" customFormat="false" ht="13.8" hidden="false" customHeight="true" outlineLevel="0" collapsed="false">
      <c r="A105" s="1" t="s">
        <v>29</v>
      </c>
      <c r="B105" s="1" t="s">
        <v>249</v>
      </c>
      <c r="C105" s="1" t="s">
        <v>21</v>
      </c>
      <c r="D105" s="1" t="n">
        <v>2</v>
      </c>
      <c r="E105" s="1" t="n">
        <v>0.9</v>
      </c>
      <c r="F105" s="1" t="n">
        <v>0.6</v>
      </c>
      <c r="G105" s="1" t="n">
        <v>200</v>
      </c>
      <c r="H105" s="1" t="n">
        <v>1.37</v>
      </c>
      <c r="I105" s="1" t="n">
        <f aca="false">ROUND(H105*0.514,2)</f>
        <v>0.7</v>
      </c>
      <c r="M105" s="1" t="n">
        <v>110</v>
      </c>
      <c r="N105" s="3" t="n">
        <v>4</v>
      </c>
      <c r="S105" s="1" t="s">
        <v>250</v>
      </c>
    </row>
    <row r="106" customFormat="false" ht="13.8" hidden="false" customHeight="true" outlineLevel="0" collapsed="false">
      <c r="A106" s="1" t="s">
        <v>133</v>
      </c>
      <c r="B106" s="1" t="s">
        <v>251</v>
      </c>
      <c r="C106" s="1" t="s">
        <v>21</v>
      </c>
      <c r="D106" s="1" t="n">
        <v>1.3</v>
      </c>
      <c r="E106" s="1" t="n">
        <v>0.8</v>
      </c>
      <c r="F106" s="1" t="n">
        <v>0.5</v>
      </c>
      <c r="G106" s="1" t="n">
        <v>70</v>
      </c>
      <c r="H106" s="1" t="n">
        <v>3.9</v>
      </c>
      <c r="I106" s="1" t="n">
        <f aca="false">ROUND(H106*0.514,2)</f>
        <v>2</v>
      </c>
      <c r="M106" s="1" t="n">
        <v>100</v>
      </c>
      <c r="N106" s="3" t="n">
        <v>10</v>
      </c>
      <c r="S106" s="1" t="s">
        <v>252</v>
      </c>
    </row>
    <row r="107" customFormat="false" ht="13.8" hidden="false" customHeight="true" outlineLevel="0" collapsed="false">
      <c r="A107" s="1" t="s">
        <v>29</v>
      </c>
      <c r="B107" s="1" t="s">
        <v>253</v>
      </c>
      <c r="C107" s="1" t="s">
        <v>21</v>
      </c>
      <c r="D107" s="1" t="n">
        <v>1.1</v>
      </c>
      <c r="E107" s="1" t="n">
        <v>0.7</v>
      </c>
      <c r="F107" s="1" t="n">
        <v>0.71</v>
      </c>
      <c r="G107" s="1" t="n">
        <v>240</v>
      </c>
      <c r="H107" s="1" t="n">
        <v>2.5</v>
      </c>
      <c r="I107" s="1" t="n">
        <f aca="false">ROUND(H107*0.514,2)</f>
        <v>1.29</v>
      </c>
      <c r="M107" s="1" t="n">
        <v>1500</v>
      </c>
      <c r="N107" s="3" t="n">
        <v>5</v>
      </c>
      <c r="S107" s="1" t="s">
        <v>172</v>
      </c>
    </row>
    <row r="108" customFormat="false" ht="13.8" hidden="false" customHeight="true" outlineLevel="0" collapsed="false">
      <c r="A108" s="1" t="s">
        <v>29</v>
      </c>
      <c r="B108" s="1" t="s">
        <v>254</v>
      </c>
      <c r="C108" s="1" t="s">
        <v>21</v>
      </c>
      <c r="D108" s="1" t="n">
        <v>1.54</v>
      </c>
      <c r="E108" s="1" t="n">
        <v>0.86</v>
      </c>
      <c r="F108" s="1" t="n">
        <v>0.54</v>
      </c>
      <c r="G108" s="1" t="n">
        <v>120</v>
      </c>
      <c r="H108" s="1" t="n">
        <v>1</v>
      </c>
      <c r="I108" s="1" t="n">
        <f aca="false">ROUND(H108*0.514,2)</f>
        <v>0.51</v>
      </c>
      <c r="M108" s="1" t="n">
        <v>50</v>
      </c>
      <c r="N108" s="3" t="n">
        <v>2</v>
      </c>
      <c r="S108" s="1" t="s">
        <v>255</v>
      </c>
    </row>
    <row r="109" customFormat="false" ht="13.8" hidden="false" customHeight="true" outlineLevel="0" collapsed="false">
      <c r="A109" s="1" t="s">
        <v>256</v>
      </c>
      <c r="B109" s="1" t="s">
        <v>257</v>
      </c>
      <c r="C109" s="1" t="s">
        <v>21</v>
      </c>
      <c r="D109" s="1" t="n">
        <v>10</v>
      </c>
      <c r="E109" s="1" t="n">
        <v>1.3</v>
      </c>
      <c r="F109" s="1" t="n">
        <v>1.5</v>
      </c>
      <c r="G109" s="1" t="n">
        <v>7257.48</v>
      </c>
      <c r="H109" s="1" t="n">
        <v>3</v>
      </c>
      <c r="I109" s="1" t="n">
        <f aca="false">ROUND(H109*0.514,2)</f>
        <v>1.54</v>
      </c>
      <c r="M109" s="1" t="n">
        <v>3500</v>
      </c>
      <c r="N109" s="3" t="n">
        <v>18</v>
      </c>
      <c r="S109" s="1" t="s">
        <v>258</v>
      </c>
    </row>
    <row r="110" customFormat="false" ht="13.8" hidden="false" customHeight="true" outlineLevel="0" collapsed="false">
      <c r="A110" s="1" t="s">
        <v>259</v>
      </c>
      <c r="B110" s="1" t="s">
        <v>260</v>
      </c>
      <c r="C110" s="1" t="s">
        <v>204</v>
      </c>
      <c r="D110" s="1" t="n">
        <v>3.05</v>
      </c>
      <c r="E110" s="1" t="n">
        <v>0.81</v>
      </c>
      <c r="F110" s="1" t="n">
        <v>8</v>
      </c>
      <c r="G110" s="1" t="n">
        <v>500</v>
      </c>
      <c r="H110" s="1" t="n">
        <v>1.3</v>
      </c>
      <c r="I110" s="1" t="n">
        <f aca="false">ROUND(H110*0.514,2)</f>
        <v>0.67</v>
      </c>
      <c r="M110" s="1" t="n">
        <v>15</v>
      </c>
      <c r="N110" s="3" t="n">
        <v>8766</v>
      </c>
      <c r="S110" s="1" t="s">
        <v>261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U3" activeCellId="0" sqref="U3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9.75"/>
    <col collapsed="false" customWidth="true" hidden="false" outlineLevel="0" max="18" min="16" style="1" width="19.75"/>
    <col collapsed="false" customWidth="true" hidden="false" outlineLevel="0" max="19" min="19" style="1" width="23.13"/>
    <col collapsed="false" customWidth="true" hidden="false" outlineLevel="0" max="22" min="20" style="1" width="18.61"/>
    <col collapsed="false" customWidth="true" hidden="false" outlineLevel="0" max="23" min="23" style="1" width="13.25"/>
    <col collapsed="false" customWidth="true" hidden="false" outlineLevel="0" max="24" min="24" style="1" width="12.5"/>
    <col collapsed="false" customWidth="true" hidden="false" outlineLevel="0" max="25" min="25" style="1" width="13.25"/>
    <col collapsed="false" customWidth="true" hidden="false" outlineLevel="0" max="28" min="26" style="1" width="15.2"/>
    <col collapsed="false" customWidth="true" hidden="false" outlineLevel="0" max="29" min="29" style="1" width="16.33"/>
    <col collapsed="false" customWidth="true" hidden="false" outlineLevel="0" max="30" min="30" style="1" width="45.6"/>
    <col collapsed="false" customWidth="true" hidden="false" outlineLevel="0" max="71" min="31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s="7" customFormat="true" ht="12.8" hidden="false" customHeight="false" outlineLevel="0" collapsed="false">
      <c r="A1" s="7" t="s">
        <v>1</v>
      </c>
      <c r="B1" s="7" t="s">
        <v>262</v>
      </c>
      <c r="C1" s="7" t="s">
        <v>263</v>
      </c>
      <c r="D1" s="7" t="s">
        <v>2</v>
      </c>
      <c r="E1" s="7" t="s">
        <v>264</v>
      </c>
      <c r="F1" s="7" t="s">
        <v>265</v>
      </c>
      <c r="G1" s="7" t="s">
        <v>266</v>
      </c>
      <c r="H1" s="7" t="s">
        <v>267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268</v>
      </c>
      <c r="S1" s="7" t="s">
        <v>269</v>
      </c>
      <c r="T1" s="7" t="s">
        <v>270</v>
      </c>
      <c r="U1" s="7" t="s">
        <v>271</v>
      </c>
      <c r="V1" s="7" t="s">
        <v>272</v>
      </c>
      <c r="W1" s="7" t="s">
        <v>273</v>
      </c>
      <c r="X1" s="7" t="s">
        <v>12</v>
      </c>
      <c r="Y1" s="7" t="s">
        <v>13</v>
      </c>
      <c r="Z1" s="7" t="s">
        <v>274</v>
      </c>
      <c r="AA1" s="7" t="s">
        <v>275</v>
      </c>
      <c r="AB1" s="7" t="s">
        <v>16</v>
      </c>
      <c r="AC1" s="7" t="s">
        <v>276</v>
      </c>
      <c r="AD1" s="7" t="s">
        <v>18</v>
      </c>
    </row>
    <row r="2" customFormat="false" ht="12.8" hidden="false" customHeight="false" outlineLevel="0" collapsed="false">
      <c r="A2" s="1" t="s">
        <v>277</v>
      </c>
      <c r="B2" s="1" t="s">
        <v>278</v>
      </c>
      <c r="C2" s="1" t="s">
        <v>279</v>
      </c>
      <c r="D2" s="1" t="s">
        <v>280</v>
      </c>
      <c r="E2" s="1" t="s">
        <v>281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T2" s="1" t="n">
        <f aca="false">N2*I2/0.000001</f>
        <v>960</v>
      </c>
      <c r="AD2" s="1" t="s">
        <v>282</v>
      </c>
    </row>
    <row r="3" customFormat="false" ht="12.8" hidden="false" customHeight="false" outlineLevel="0" collapsed="false">
      <c r="A3" s="1" t="s">
        <v>283</v>
      </c>
      <c r="B3" s="1" t="s">
        <v>284</v>
      </c>
      <c r="C3" s="1" t="s">
        <v>285</v>
      </c>
      <c r="D3" s="1" t="s">
        <v>280</v>
      </c>
      <c r="E3" s="1" t="s">
        <v>286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0.0025</v>
      </c>
      <c r="T3" s="1" t="n">
        <f aca="false">N3*I3/0.000001</f>
        <v>2265.6</v>
      </c>
      <c r="U3" s="1" t="n">
        <f aca="false">(4*PI()*R3*S3*I3^2)/0.000001</f>
        <v>1158.11671581934</v>
      </c>
      <c r="AD3" s="1" t="s">
        <v>287</v>
      </c>
    </row>
    <row r="4" customFormat="false" ht="12.8" hidden="false" customHeight="false" outlineLevel="0" collapsed="false">
      <c r="A4" s="1" t="s">
        <v>288</v>
      </c>
      <c r="B4" s="1" t="s">
        <v>289</v>
      </c>
      <c r="C4" s="1" t="s">
        <v>290</v>
      </c>
      <c r="D4" s="1" t="s">
        <v>280</v>
      </c>
      <c r="E4" s="1" t="s">
        <v>291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0.025</v>
      </c>
      <c r="T4" s="1" t="n">
        <f aca="false">N4*I4/0.000001</f>
        <v>16352</v>
      </c>
      <c r="U4" s="1" t="n">
        <f aca="false">(4*PI()*R4*S4*I4^2)/0.000001</f>
        <v>16741.54725098</v>
      </c>
      <c r="V4" s="1" t="n">
        <v>0.057</v>
      </c>
      <c r="W4" s="1" t="n">
        <v>0.136</v>
      </c>
      <c r="AA4" s="1" t="n">
        <v>0.62</v>
      </c>
      <c r="AD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  <c r="C5" s="1" t="s">
        <v>295</v>
      </c>
      <c r="D5" s="1" t="s">
        <v>280</v>
      </c>
      <c r="E5" s="1" t="s">
        <v>296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0.02</v>
      </c>
      <c r="T5" s="1" t="n">
        <f aca="false">N5*I5/0.000001</f>
        <v>17680</v>
      </c>
      <c r="U5" s="1" t="n">
        <f aca="false">(4*PI()*R5*S5*I5^2)/0.000001</f>
        <v>11621.3795441594</v>
      </c>
      <c r="AD5" s="1" t="s">
        <v>297</v>
      </c>
    </row>
    <row r="6" customFormat="false" ht="12.8" hidden="false" customHeight="false" outlineLevel="0" collapsed="false">
      <c r="A6" s="1" t="s">
        <v>298</v>
      </c>
      <c r="B6" s="1" t="s">
        <v>299</v>
      </c>
      <c r="C6" s="1" t="s">
        <v>300</v>
      </c>
      <c r="D6" s="1" t="s">
        <v>280</v>
      </c>
      <c r="E6" s="1" t="s">
        <v>301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0.014</v>
      </c>
      <c r="T6" s="1" t="n">
        <f aca="false">N6*I6/0.000001</f>
        <v>213500</v>
      </c>
      <c r="U6" s="1" t="n">
        <f aca="false">(4*PI()*R6*S6*I6^2)/0.000001</f>
        <v>224538.951199058</v>
      </c>
      <c r="AD6" s="1" t="s">
        <v>302</v>
      </c>
    </row>
    <row r="7" customFormat="false" ht="12.8" hidden="false" customHeight="false" outlineLevel="0" collapsed="false">
      <c r="A7" s="1" t="s">
        <v>303</v>
      </c>
      <c r="B7" s="1" t="s">
        <v>304</v>
      </c>
      <c r="C7" s="1" t="s">
        <v>305</v>
      </c>
      <c r="D7" s="1" t="s">
        <v>280</v>
      </c>
      <c r="E7" s="1" t="s">
        <v>286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T7" s="1" t="n">
        <f aca="false">N7*I7/0.000001</f>
        <v>1449</v>
      </c>
      <c r="AD7" s="1" t="s">
        <v>306</v>
      </c>
    </row>
    <row r="8" customFormat="false" ht="12.8" hidden="false" customHeight="false" outlineLevel="0" collapsed="false">
      <c r="A8" s="1" t="s">
        <v>307</v>
      </c>
      <c r="B8" s="1" t="s">
        <v>308</v>
      </c>
      <c r="C8" s="1" t="s">
        <v>309</v>
      </c>
      <c r="D8" s="1" t="s">
        <v>280</v>
      </c>
      <c r="E8" s="1" t="s">
        <v>310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S8" s="1" t="n">
        <v>0.0016</v>
      </c>
      <c r="T8" s="1" t="n">
        <f aca="false">N8*I8/0.000001</f>
        <v>5400</v>
      </c>
      <c r="U8" s="1" t="n">
        <f aca="false">(4*PI()*R8*S8*I8^2)/0.000001</f>
        <v>897.54045475999</v>
      </c>
      <c r="W8" s="1" t="n">
        <v>0.4</v>
      </c>
      <c r="Y8" s="1" t="n">
        <v>4</v>
      </c>
      <c r="Z8" s="1" t="n">
        <v>2.8</v>
      </c>
      <c r="AA8" s="1" t="n">
        <v>0.096</v>
      </c>
      <c r="AD8" s="1" t="s">
        <v>311</v>
      </c>
    </row>
    <row r="9" customFormat="false" ht="12.8" hidden="false" customHeight="false" outlineLevel="0" collapsed="false">
      <c r="A9" s="1" t="s">
        <v>312</v>
      </c>
      <c r="B9" s="1" t="s">
        <v>313</v>
      </c>
      <c r="C9" s="1" t="s">
        <v>309</v>
      </c>
      <c r="D9" s="1" t="s">
        <v>280</v>
      </c>
      <c r="E9" s="1" t="s">
        <v>296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S9" s="1" t="n">
        <v>0.025</v>
      </c>
      <c r="T9" s="1" t="n">
        <f aca="false">N9*I9/0.000001</f>
        <v>14800</v>
      </c>
      <c r="U9" s="1" t="n">
        <f aca="false">(4*PI()*R9*S9*I9^2)/0.000001</f>
        <v>24084.7059194808</v>
      </c>
      <c r="AD9" s="1" t="s">
        <v>314</v>
      </c>
    </row>
    <row r="10" customFormat="false" ht="12.8" hidden="false" customHeight="false" outlineLevel="0" collapsed="false">
      <c r="A10" s="1" t="s">
        <v>315</v>
      </c>
      <c r="B10" s="1" t="s">
        <v>316</v>
      </c>
      <c r="C10" s="1" t="s">
        <v>309</v>
      </c>
      <c r="D10" s="1" t="s">
        <v>280</v>
      </c>
      <c r="E10" s="1" t="s">
        <v>301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S10" s="1" t="n">
        <f aca="false">ROUND(TAN(RADIANS(30))*(I10/3),2)</f>
        <v>0.09</v>
      </c>
      <c r="T10" s="1" t="n">
        <f aca="false">N10*I10/0.000001</f>
        <v>110450</v>
      </c>
      <c r="U10" s="1" t="n">
        <f aca="false">(4*PI()*R10*S10*I10^2)/0.000001</f>
        <v>349764.819857704</v>
      </c>
      <c r="Y10" s="1" t="n">
        <f aca="false">ROUND(40/60,2)</f>
        <v>0.67</v>
      </c>
      <c r="Z10" s="1" t="n">
        <v>8.4</v>
      </c>
      <c r="AA10" s="1" t="n">
        <v>1.3</v>
      </c>
      <c r="AD10" s="1" t="s">
        <v>317</v>
      </c>
    </row>
    <row r="11" customFormat="false" ht="12.8" hidden="false" customHeight="false" outlineLevel="0" collapsed="false">
      <c r="A11" s="1" t="s">
        <v>318</v>
      </c>
      <c r="B11" s="1" t="s">
        <v>319</v>
      </c>
      <c r="C11" s="1" t="s">
        <v>320</v>
      </c>
      <c r="D11" s="1" t="s">
        <v>280</v>
      </c>
      <c r="E11" s="1" t="s">
        <v>286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T11" s="1" t="n">
        <f aca="false">N11*I11/0.000001</f>
        <v>1485</v>
      </c>
      <c r="AD11" s="1" t="s">
        <v>321</v>
      </c>
    </row>
    <row r="12" customFormat="false" ht="12.8" hidden="false" customHeight="false" outlineLevel="0" collapsed="false">
      <c r="A12" s="1" t="s">
        <v>322</v>
      </c>
      <c r="B12" s="1" t="s">
        <v>323</v>
      </c>
      <c r="C12" s="1" t="s">
        <v>324</v>
      </c>
      <c r="D12" s="1" t="s">
        <v>280</v>
      </c>
      <c r="E12" s="1" t="s">
        <v>296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T12" s="1" t="n">
        <f aca="false">N12*I12/0.000001</f>
        <v>294000</v>
      </c>
      <c r="W12" s="1" t="n">
        <v>0.45</v>
      </c>
      <c r="AA12" s="1" t="n">
        <v>3.5</v>
      </c>
      <c r="AD12" s="1" t="s">
        <v>325</v>
      </c>
    </row>
    <row r="13" customFormat="false" ht="12.8" hidden="false" customHeight="false" outlineLevel="0" collapsed="false">
      <c r="A13" s="1" t="s">
        <v>326</v>
      </c>
      <c r="B13" s="1" t="s">
        <v>327</v>
      </c>
      <c r="C13" s="1" t="s">
        <v>328</v>
      </c>
      <c r="D13" s="1" t="s">
        <v>280</v>
      </c>
      <c r="E13" s="1" t="s">
        <v>329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T13" s="1" t="n">
        <f aca="false">N13*I13/0.000001</f>
        <v>125136</v>
      </c>
      <c r="AD13" s="1" t="s">
        <v>330</v>
      </c>
    </row>
    <row r="14" customFormat="false" ht="12.8" hidden="false" customHeight="false" outlineLevel="0" collapsed="false">
      <c r="A14" s="1" t="s">
        <v>331</v>
      </c>
      <c r="B14" s="1" t="s">
        <v>332</v>
      </c>
      <c r="C14" s="1" t="s">
        <v>333</v>
      </c>
      <c r="D14" s="1" t="s">
        <v>280</v>
      </c>
      <c r="E14" s="1" t="s">
        <v>301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0.14</v>
      </c>
      <c r="T14" s="1" t="n">
        <f aca="false">N14*I14/0.000001</f>
        <v>26000</v>
      </c>
      <c r="U14" s="1" t="n">
        <f aca="false">(4*PI()*R14*S14*I14^2)/0.000001</f>
        <v>83566.3645854885</v>
      </c>
      <c r="AD14" s="1" t="s">
        <v>334</v>
      </c>
    </row>
    <row r="15" customFormat="false" ht="12.8" hidden="false" customHeight="false" outlineLevel="0" collapsed="false">
      <c r="A15" s="1" t="s">
        <v>335</v>
      </c>
      <c r="B15" s="1" t="s">
        <v>336</v>
      </c>
      <c r="C15" s="1" t="s">
        <v>337</v>
      </c>
      <c r="D15" s="1" t="s">
        <v>338</v>
      </c>
      <c r="E15" s="1" t="s">
        <v>301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f aca="false">ROUND(TAN(RADIANS(20))*0.06,2)</f>
        <v>0.02</v>
      </c>
      <c r="T15" s="1" t="n">
        <f aca="false">N15*I15/0.000001</f>
        <v>59</v>
      </c>
      <c r="U15" s="1" t="n">
        <f aca="false">(4*PI()*R15*S15*I15^2)/0.000001</f>
        <v>21871.7680542921</v>
      </c>
      <c r="W15" s="1" t="n">
        <v>0.6</v>
      </c>
      <c r="AD15" s="1" t="s">
        <v>339</v>
      </c>
    </row>
    <row r="16" customFormat="false" ht="12.8" hidden="false" customHeight="false" outlineLevel="0" collapsed="false">
      <c r="A16" s="1" t="s">
        <v>340</v>
      </c>
      <c r="B16" s="1" t="s">
        <v>319</v>
      </c>
      <c r="C16" s="1" t="s">
        <v>341</v>
      </c>
      <c r="D16" s="1" t="s">
        <v>338</v>
      </c>
      <c r="E16" s="1" t="s">
        <v>342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5E-005</v>
      </c>
      <c r="T16" s="1" t="n">
        <f aca="false">N16*I16/0.000001</f>
        <v>252.18</v>
      </c>
      <c r="U16" s="1" t="n">
        <f aca="false">(4*PI()*R16*S16*I16^2)/0.000001</f>
        <v>8.61123112719577</v>
      </c>
      <c r="AD16" s="1" t="s">
        <v>343</v>
      </c>
    </row>
    <row r="17" customFormat="false" ht="12.8" hidden="false" customHeight="false" outlineLevel="0" collapsed="false">
      <c r="A17" s="1" t="s">
        <v>344</v>
      </c>
      <c r="B17" s="1" t="s">
        <v>345</v>
      </c>
      <c r="C17" s="1" t="s">
        <v>346</v>
      </c>
      <c r="D17" s="1" t="s">
        <v>338</v>
      </c>
      <c r="E17" s="1" t="s">
        <v>296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0.7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2.75</v>
      </c>
      <c r="S17" s="1" t="n">
        <v>0.1</v>
      </c>
      <c r="T17" s="1" t="n">
        <f aca="false">N17*I17/0.000001</f>
        <v>84000</v>
      </c>
      <c r="U17" s="1" t="n">
        <f aca="false">(4*PI()*R17*S17*I17^2)/0.000001</f>
        <v>49762.8276328623</v>
      </c>
      <c r="AD17" s="1" t="s">
        <v>347</v>
      </c>
    </row>
    <row r="18" customFormat="false" ht="12.8" hidden="false" customHeight="false" outlineLevel="0" collapsed="false">
      <c r="A18" s="1" t="s">
        <v>348</v>
      </c>
      <c r="B18" s="1" t="s">
        <v>349</v>
      </c>
      <c r="C18" s="1" t="s">
        <v>348</v>
      </c>
      <c r="D18" s="1" t="s">
        <v>338</v>
      </c>
      <c r="E18" s="1" t="s">
        <v>296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f aca="false">ROUND(TAN(RADIANS(30))*(I18/4),2)</f>
        <v>0.04</v>
      </c>
      <c r="T18" s="1" t="n">
        <f aca="false">N18*I18/0.000001</f>
        <v>8320</v>
      </c>
      <c r="U18" s="1" t="n">
        <f aca="false">(4*PI()*R18*S18*I18^2)/0.000001</f>
        <v>10873.4291651927</v>
      </c>
      <c r="AD18" s="1" t="s">
        <v>350</v>
      </c>
    </row>
    <row r="19" customFormat="false" ht="12.8" hidden="false" customHeight="false" outlineLevel="0" collapsed="false">
      <c r="A19" s="1" t="s">
        <v>351</v>
      </c>
      <c r="B19" s="1" t="s">
        <v>352</v>
      </c>
      <c r="C19" s="1" t="s">
        <v>353</v>
      </c>
      <c r="D19" s="1" t="s">
        <v>338</v>
      </c>
      <c r="E19" s="1" t="s">
        <v>296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f aca="false">ROUND(TAN(RADIANS(20))*(I19/4),2)</f>
        <v>0.03</v>
      </c>
      <c r="T19" s="1" t="n">
        <f aca="false">N19*I19/0.000001</f>
        <v>57760</v>
      </c>
      <c r="U19" s="1" t="n">
        <f aca="false">(4*PI()*R19*S19*I19^2)/0.000001</f>
        <v>156780.050404043</v>
      </c>
      <c r="AD19" s="1" t="s">
        <v>354</v>
      </c>
    </row>
    <row r="20" customFormat="false" ht="12.8" hidden="false" customHeight="false" outlineLevel="0" collapsed="false">
      <c r="A20" s="1" t="s">
        <v>355</v>
      </c>
      <c r="B20" s="1" t="s">
        <v>356</v>
      </c>
      <c r="C20" s="1" t="s">
        <v>355</v>
      </c>
      <c r="D20" s="1" t="s">
        <v>338</v>
      </c>
      <c r="E20" s="1" t="s">
        <v>301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f aca="false">ROUND(TAN(RADIANS(15))*0.067,2)</f>
        <v>0.02</v>
      </c>
      <c r="T20" s="1" t="n">
        <f aca="false">N20*I20/0.000001</f>
        <v>52909</v>
      </c>
      <c r="U20" s="1" t="n">
        <f aca="false">(4*PI()*R20*S20*I20^2)/0.000001</f>
        <v>89196.8840188848</v>
      </c>
      <c r="Z20" s="1" t="n">
        <v>5</v>
      </c>
      <c r="AA20" s="1" t="n">
        <v>2.75</v>
      </c>
      <c r="AD20" s="1" t="s">
        <v>357</v>
      </c>
    </row>
    <row r="21" customFormat="false" ht="12.8" hidden="false" customHeight="false" outlineLevel="0" collapsed="false">
      <c r="A21" s="1" t="s">
        <v>358</v>
      </c>
      <c r="B21" s="1" t="s">
        <v>359</v>
      </c>
      <c r="C21" s="1" t="s">
        <v>360</v>
      </c>
      <c r="D21" s="1" t="s">
        <v>338</v>
      </c>
      <c r="E21" s="1" t="s">
        <v>286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T21" s="1" t="n">
        <f aca="false">N21*I21/0.000001</f>
        <v>1014</v>
      </c>
      <c r="Y21" s="1" t="n">
        <v>0.25</v>
      </c>
      <c r="AD21" s="1" t="s">
        <v>361</v>
      </c>
    </row>
    <row r="22" customFormat="false" ht="12.8" hidden="false" customHeight="false" outlineLevel="0" collapsed="false">
      <c r="A22" s="1" t="s">
        <v>362</v>
      </c>
      <c r="B22" s="1" t="s">
        <v>363</v>
      </c>
      <c r="C22" s="1" t="s">
        <v>360</v>
      </c>
      <c r="D22" s="1" t="s">
        <v>338</v>
      </c>
      <c r="E22" s="1" t="s">
        <v>296</v>
      </c>
      <c r="F22" s="1" t="n">
        <v>1</v>
      </c>
      <c r="G22" s="1" t="n">
        <v>1</v>
      </c>
      <c r="H22" s="1" t="n">
        <v>0</v>
      </c>
      <c r="I22" s="1" t="n">
        <v>0.117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</v>
      </c>
      <c r="T22" s="1" t="n">
        <f aca="false">N22*I22/0.000001</f>
        <v>9360</v>
      </c>
      <c r="U22" s="1" t="n">
        <f aca="false">(4*PI()*R22*S22*I22^2)/0.000001</f>
        <v>34404.2094679925</v>
      </c>
      <c r="AD22" s="1" t="s">
        <v>364</v>
      </c>
    </row>
    <row r="23" customFormat="false" ht="12.8" hidden="false" customHeight="false" outlineLevel="0" collapsed="false">
      <c r="A23" s="1" t="s">
        <v>365</v>
      </c>
      <c r="B23" s="1" t="s">
        <v>366</v>
      </c>
      <c r="C23" s="1" t="s">
        <v>367</v>
      </c>
      <c r="D23" s="1" t="s">
        <v>338</v>
      </c>
      <c r="E23" s="1" t="s">
        <v>301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f aca="false">ROUND(TAN(RADIANS(40))*(I23/4),2)</f>
        <v>0.05</v>
      </c>
      <c r="T23" s="1" t="n">
        <f aca="false">N23*I23/0.000001</f>
        <v>92500</v>
      </c>
      <c r="U23" s="1" t="n">
        <f aca="false">(4*PI()*R23*S23*I23^2)/0.000001</f>
        <v>314159.265358979</v>
      </c>
      <c r="AD23" s="1" t="s">
        <v>368</v>
      </c>
    </row>
    <row r="24" customFormat="false" ht="12.8" hidden="false" customHeight="false" outlineLevel="0" collapsed="false">
      <c r="A24" s="1" t="s">
        <v>369</v>
      </c>
      <c r="B24" s="1" t="s">
        <v>370</v>
      </c>
      <c r="C24" s="1" t="s">
        <v>371</v>
      </c>
      <c r="D24" s="1" t="s">
        <v>338</v>
      </c>
      <c r="E24" s="1" t="s">
        <v>372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f aca="false">N24*I24/0.000001</f>
        <v>4125</v>
      </c>
      <c r="V24" s="1" t="n">
        <v>0.15</v>
      </c>
      <c r="AD24" s="1" t="s">
        <v>373</v>
      </c>
    </row>
    <row r="25" customFormat="false" ht="12.8" hidden="false" customHeight="false" outlineLevel="0" collapsed="false">
      <c r="A25" s="1" t="s">
        <v>374</v>
      </c>
      <c r="B25" s="1" t="s">
        <v>375</v>
      </c>
      <c r="C25" s="1" t="s">
        <v>376</v>
      </c>
      <c r="D25" s="1" t="s">
        <v>377</v>
      </c>
      <c r="E25" s="1" t="s">
        <v>296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0.0231</v>
      </c>
      <c r="T25" s="1" t="n">
        <f aca="false">N25*I25/0.000001</f>
        <v>35420</v>
      </c>
      <c r="U25" s="1" t="n">
        <f aca="false">(4*PI()*R25*S25*I25^2)/0.000001</f>
        <v>14049.7050016781</v>
      </c>
      <c r="AD25" s="1" t="s">
        <v>378</v>
      </c>
    </row>
    <row r="26" customFormat="false" ht="12.8" hidden="false" customHeight="false" outlineLevel="0" collapsed="false">
      <c r="A26" s="1" t="s">
        <v>379</v>
      </c>
      <c r="B26" s="1" t="s">
        <v>380</v>
      </c>
      <c r="C26" s="1" t="s">
        <v>381</v>
      </c>
      <c r="D26" s="1" t="s">
        <v>382</v>
      </c>
      <c r="E26" s="1" t="s">
        <v>383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T26" s="1" t="n">
        <f aca="false">N26*I26/0.000001</f>
        <v>3906400</v>
      </c>
      <c r="W26" s="1" t="n">
        <v>1</v>
      </c>
      <c r="X26" s="1" t="n">
        <v>91.4</v>
      </c>
      <c r="Y26" s="1" t="n">
        <v>8</v>
      </c>
      <c r="AD26" s="1" t="s">
        <v>384</v>
      </c>
    </row>
    <row r="27" customFormat="false" ht="12.8" hidden="false" customHeight="false" outlineLevel="0" collapsed="false">
      <c r="A27" s="1" t="s">
        <v>385</v>
      </c>
      <c r="B27" s="1" t="s">
        <v>386</v>
      </c>
      <c r="C27" s="1" t="s">
        <v>387</v>
      </c>
      <c r="D27" s="1" t="s">
        <v>382</v>
      </c>
      <c r="E27" s="1" t="s">
        <v>329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T27" s="1" t="n">
        <f aca="false">N27*I27/0.000001</f>
        <v>1875</v>
      </c>
      <c r="AD27" s="1" t="s">
        <v>388</v>
      </c>
    </row>
    <row r="28" customFormat="false" ht="12.8" hidden="false" customHeight="false" outlineLevel="0" collapsed="false">
      <c r="A28" s="1" t="s">
        <v>389</v>
      </c>
      <c r="B28" s="1" t="s">
        <v>390</v>
      </c>
      <c r="C28" s="1" t="s">
        <v>290</v>
      </c>
      <c r="D28" s="1" t="s">
        <v>382</v>
      </c>
      <c r="E28" s="1" t="s">
        <v>286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T28" s="1" t="n">
        <f aca="false">N28*I28/0.000001</f>
        <v>2340</v>
      </c>
      <c r="W28" s="1" t="n">
        <f aca="false">I28/20</f>
        <v>0.0039</v>
      </c>
      <c r="Y28" s="1" t="n">
        <v>0.25</v>
      </c>
      <c r="AD28" s="1" t="s">
        <v>391</v>
      </c>
    </row>
    <row r="29" customFormat="false" ht="12.8" hidden="false" customHeight="false" outlineLevel="0" collapsed="false">
      <c r="A29" s="1" t="s">
        <v>392</v>
      </c>
      <c r="B29" s="1" t="s">
        <v>393</v>
      </c>
      <c r="C29" s="1" t="s">
        <v>290</v>
      </c>
      <c r="D29" s="1" t="s">
        <v>382</v>
      </c>
      <c r="E29" s="1" t="s">
        <v>296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</v>
      </c>
      <c r="N29" s="1" t="n">
        <f aca="false">M29</f>
        <v>0.17</v>
      </c>
      <c r="R29" s="1" t="n">
        <v>2.4</v>
      </c>
      <c r="S29" s="1" t="n">
        <f aca="false">0.14*I29</f>
        <v>0.0448</v>
      </c>
      <c r="T29" s="1" t="n">
        <f aca="false">N29*I29/0.000001</f>
        <v>54400</v>
      </c>
      <c r="U29" s="1" t="n">
        <f aca="false">(4*PI()*R29*S29*I29^2)/0.000001</f>
        <v>138356.343649884</v>
      </c>
      <c r="AD29" s="1" t="s">
        <v>394</v>
      </c>
    </row>
    <row r="30" customFormat="false" ht="12.8" hidden="false" customHeight="false" outlineLevel="0" collapsed="false">
      <c r="A30" s="1" t="s">
        <v>395</v>
      </c>
      <c r="B30" s="1" t="s">
        <v>396</v>
      </c>
      <c r="C30" s="1" t="s">
        <v>397</v>
      </c>
      <c r="D30" s="1" t="s">
        <v>382</v>
      </c>
      <c r="E30" s="1" t="s">
        <v>342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T30" s="1" t="n">
        <f aca="false">N30*I30/0.000001</f>
        <v>1260</v>
      </c>
      <c r="W30" s="1" t="n">
        <v>0.04</v>
      </c>
      <c r="AD30" s="1" t="s">
        <v>398</v>
      </c>
    </row>
    <row r="31" customFormat="false" ht="12.8" hidden="false" customHeight="false" outlineLevel="0" collapsed="false">
      <c r="A31" s="1" t="s">
        <v>399</v>
      </c>
      <c r="B31" s="1" t="s">
        <v>400</v>
      </c>
      <c r="C31" s="1" t="s">
        <v>305</v>
      </c>
      <c r="D31" s="1" t="s">
        <v>382</v>
      </c>
      <c r="E31" s="1" t="s">
        <v>286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0.006</v>
      </c>
      <c r="T31" s="1" t="n">
        <f aca="false">N31*I31/0.000001</f>
        <v>4460</v>
      </c>
      <c r="U31" s="1" t="n">
        <f aca="false">(4*PI()*R31*S31*I31^2)/0.000001</f>
        <v>3749.4782656888</v>
      </c>
      <c r="AD31" s="1" t="s">
        <v>401</v>
      </c>
    </row>
    <row r="32" customFormat="false" ht="12.8" hidden="false" customHeight="false" outlineLevel="0" collapsed="false">
      <c r="A32" s="1" t="s">
        <v>402</v>
      </c>
      <c r="B32" s="1" t="s">
        <v>400</v>
      </c>
      <c r="C32" s="1" t="s">
        <v>403</v>
      </c>
      <c r="D32" s="1" t="s">
        <v>382</v>
      </c>
      <c r="E32" s="1" t="s">
        <v>329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0.01</v>
      </c>
      <c r="T32" s="1" t="n">
        <f aca="false">N32*I32/0.000001</f>
        <v>52200</v>
      </c>
      <c r="U32" s="1" t="n">
        <f aca="false">(4*PI()*R32*S32*I32^2)/0.000001</f>
        <v>339292.006587698</v>
      </c>
      <c r="V32" s="1" t="n">
        <v>7.5</v>
      </c>
      <c r="AD32" s="1" t="s">
        <v>404</v>
      </c>
    </row>
    <row r="33" customFormat="false" ht="12.8" hidden="false" customHeight="false" outlineLevel="0" collapsed="false">
      <c r="A33" s="1" t="s">
        <v>405</v>
      </c>
      <c r="B33" s="1" t="s">
        <v>406</v>
      </c>
      <c r="C33" s="1" t="s">
        <v>407</v>
      </c>
      <c r="D33" s="1" t="s">
        <v>382</v>
      </c>
      <c r="E33" s="1" t="s">
        <v>301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15</v>
      </c>
      <c r="S33" s="1" t="n">
        <v>0.034</v>
      </c>
      <c r="T33" s="1" t="n">
        <f aca="false">N33*I33/0.000001</f>
        <v>104040</v>
      </c>
      <c r="U33" s="1" t="n">
        <f aca="false">(4*PI()*R33*S33*I33^2)/0.000001</f>
        <v>416735.40709134</v>
      </c>
      <c r="Y33" s="1" t="n">
        <v>1.16</v>
      </c>
      <c r="AD33" s="1" t="s">
        <v>408</v>
      </c>
    </row>
    <row r="34" customFormat="false" ht="12.8" hidden="false" customHeight="false" outlineLevel="0" collapsed="false">
      <c r="A34" s="1" t="s">
        <v>409</v>
      </c>
      <c r="B34" s="1" t="s">
        <v>289</v>
      </c>
      <c r="C34" s="1" t="s">
        <v>410</v>
      </c>
      <c r="D34" s="1" t="s">
        <v>382</v>
      </c>
      <c r="E34" s="1" t="s">
        <v>372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T34" s="1" t="n">
        <f aca="false">N34*I34/0.000001</f>
        <v>135</v>
      </c>
      <c r="Y34" s="1" t="n">
        <v>11</v>
      </c>
    </row>
    <row r="35" customFormat="false" ht="12.8" hidden="false" customHeight="false" outlineLevel="0" collapsed="false">
      <c r="A35" s="1" t="s">
        <v>411</v>
      </c>
      <c r="B35" s="1" t="s">
        <v>412</v>
      </c>
      <c r="C35" s="1" t="s">
        <v>413</v>
      </c>
      <c r="D35" s="1" t="s">
        <v>414</v>
      </c>
      <c r="E35" s="1" t="s">
        <v>383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U35" s="1" t="n">
        <f aca="false">(4*PI()*R35*S35*I35^2)/0.000001</f>
        <v>152802.982600158</v>
      </c>
      <c r="AD35" s="1" t="s">
        <v>415</v>
      </c>
    </row>
    <row r="36" customFormat="false" ht="12.8" hidden="false" customHeight="false" outlineLevel="0" collapsed="false">
      <c r="A36" s="1" t="s">
        <v>416</v>
      </c>
      <c r="B36" s="1" t="s">
        <v>417</v>
      </c>
      <c r="C36" s="1" t="s">
        <v>418</v>
      </c>
      <c r="D36" s="1" t="s">
        <v>414</v>
      </c>
      <c r="E36" s="1" t="s">
        <v>286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S36" s="1" t="n">
        <f aca="false">ROUND(TAN(0.4)*I36,2)</f>
        <v>0.05</v>
      </c>
      <c r="T36" s="1" t="n">
        <f aca="false">N36*I36/0.000001</f>
        <v>960</v>
      </c>
      <c r="U36" s="1" t="n">
        <f aca="false">(4*PI()*R36*S36*I36^2)/0.000001</f>
        <v>3619.11473693544</v>
      </c>
      <c r="AD36" s="1" t="s">
        <v>419</v>
      </c>
    </row>
    <row r="37" customFormat="false" ht="12.8" hidden="false" customHeight="false" outlineLevel="0" collapsed="false">
      <c r="A37" s="1" t="s">
        <v>420</v>
      </c>
      <c r="B37" s="1" t="s">
        <v>421</v>
      </c>
      <c r="C37" s="1" t="s">
        <v>422</v>
      </c>
      <c r="D37" s="1" t="s">
        <v>280</v>
      </c>
      <c r="E37" s="1" t="s">
        <v>296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T37" s="1" t="n">
        <f aca="false">N37*I37/0.000001</f>
        <v>160000</v>
      </c>
      <c r="X37" s="1" t="n">
        <v>50</v>
      </c>
      <c r="Y37" s="1" t="n">
        <v>12</v>
      </c>
      <c r="AD37" s="1" t="s">
        <v>423</v>
      </c>
    </row>
    <row r="38" customFormat="false" ht="12.8" hidden="false" customHeight="false" outlineLevel="0" collapsed="false">
      <c r="A38" s="1" t="s">
        <v>424</v>
      </c>
      <c r="B38" s="1" t="s">
        <v>421</v>
      </c>
      <c r="C38" s="1" t="s">
        <v>422</v>
      </c>
      <c r="D38" s="1" t="s">
        <v>280</v>
      </c>
      <c r="E38" s="1" t="s">
        <v>296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T38" s="1" t="n">
        <f aca="false">N38*I38/0.000001</f>
        <v>175000</v>
      </c>
      <c r="W38" s="1" t="n">
        <v>0.3</v>
      </c>
      <c r="X38" s="1" t="n">
        <v>20</v>
      </c>
      <c r="Y38" s="1" t="n">
        <v>14</v>
      </c>
      <c r="Z38" s="1" t="n">
        <v>14</v>
      </c>
      <c r="AA38" s="1" t="n">
        <v>5.7</v>
      </c>
      <c r="AD38" s="1" t="s">
        <v>425</v>
      </c>
    </row>
    <row r="39" customFormat="false" ht="12.8" hidden="false" customHeight="false" outlineLevel="0" collapsed="false">
      <c r="A39" s="1" t="s">
        <v>426</v>
      </c>
      <c r="B39" s="1" t="s">
        <v>421</v>
      </c>
      <c r="C39" s="1" t="s">
        <v>422</v>
      </c>
      <c r="D39" s="1" t="s">
        <v>280</v>
      </c>
      <c r="E39" s="1" t="s">
        <v>296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T39" s="1" t="n">
        <f aca="false">N39*I39/0.000001</f>
        <v>265000</v>
      </c>
      <c r="W39" s="1" t="n">
        <v>0.5</v>
      </c>
      <c r="X39" s="1" t="n">
        <v>30</v>
      </c>
      <c r="Y39" s="1" t="n">
        <v>20</v>
      </c>
      <c r="Z39" s="1" t="n">
        <v>14</v>
      </c>
      <c r="AA39" s="1" t="n">
        <v>11.4</v>
      </c>
      <c r="AD39" s="1" t="s">
        <v>425</v>
      </c>
    </row>
    <row r="40" customFormat="false" ht="12.8" hidden="false" customHeight="false" outlineLevel="0" collapsed="false">
      <c r="A40" s="1" t="s">
        <v>427</v>
      </c>
      <c r="B40" s="1" t="s">
        <v>336</v>
      </c>
      <c r="C40" s="1" t="s">
        <v>428</v>
      </c>
      <c r="D40" s="1" t="s">
        <v>280</v>
      </c>
      <c r="E40" s="1" t="s">
        <v>296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T40" s="1" t="n">
        <f aca="false">N40*I40/0.000001</f>
        <v>175000</v>
      </c>
      <c r="Y40" s="1" t="n">
        <v>1</v>
      </c>
      <c r="Z40" s="1" t="n">
        <v>7.4</v>
      </c>
      <c r="AA40" s="1" t="n">
        <v>3.4</v>
      </c>
      <c r="AD40" s="1" t="s">
        <v>429</v>
      </c>
    </row>
    <row r="41" customFormat="false" ht="12.8" hidden="false" customHeight="false" outlineLevel="0" collapsed="false">
      <c r="A41" s="1" t="s">
        <v>430</v>
      </c>
      <c r="B41" s="1" t="s">
        <v>336</v>
      </c>
      <c r="C41" s="1" t="s">
        <v>428</v>
      </c>
      <c r="D41" s="1" t="s">
        <v>280</v>
      </c>
      <c r="E41" s="1" t="s">
        <v>301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f aca="false">N41*I41/0.000001</f>
        <v>444000</v>
      </c>
      <c r="V41" s="1" t="n">
        <v>63.8</v>
      </c>
      <c r="AD41" s="1" t="s">
        <v>431</v>
      </c>
    </row>
    <row r="42" customFormat="false" ht="12.8" hidden="false" customHeight="false" outlineLevel="0" collapsed="false">
      <c r="A42" s="1" t="s">
        <v>432</v>
      </c>
      <c r="B42" s="1" t="s">
        <v>433</v>
      </c>
      <c r="C42" s="1" t="s">
        <v>434</v>
      </c>
      <c r="D42" s="1" t="s">
        <v>280</v>
      </c>
      <c r="E42" s="1" t="s">
        <v>296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f aca="false">ROUND(TAN(RADIANS(50))*(I42/2),2)</f>
        <v>0.3</v>
      </c>
      <c r="T42" s="1" t="n">
        <f aca="false">N42*I42/0.000001</f>
        <v>340000</v>
      </c>
      <c r="U42" s="1" t="n">
        <f aca="false">(4*PI()*R42*S42*I42^2)/0.000001</f>
        <v>2356194.49019234</v>
      </c>
      <c r="W42" s="1" t="n">
        <f aca="false">0.52*I42</f>
        <v>0.26</v>
      </c>
      <c r="Y42" s="1" t="n">
        <v>0.5</v>
      </c>
      <c r="AD42" s="1" t="s">
        <v>435</v>
      </c>
    </row>
    <row r="43" customFormat="false" ht="12.8" hidden="false" customHeight="false" outlineLevel="0" collapsed="false">
      <c r="A43" s="1" t="s">
        <v>436</v>
      </c>
      <c r="B43" s="1" t="s">
        <v>437</v>
      </c>
      <c r="C43" s="1" t="s">
        <v>438</v>
      </c>
      <c r="D43" s="1" t="s">
        <v>280</v>
      </c>
      <c r="E43" s="1" t="s">
        <v>296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S43" s="1" t="n">
        <v>0.099</v>
      </c>
      <c r="AD43" s="1" t="s">
        <v>439</v>
      </c>
    </row>
    <row r="44" customFormat="false" ht="12.8" hidden="false" customHeight="false" outlineLevel="0" collapsed="false">
      <c r="A44" s="1" t="s">
        <v>440</v>
      </c>
      <c r="B44" s="1" t="s">
        <v>441</v>
      </c>
      <c r="C44" s="1" t="s">
        <v>442</v>
      </c>
      <c r="D44" s="1" t="s">
        <v>280</v>
      </c>
      <c r="E44" s="1" t="s">
        <v>296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T44" s="1" t="n">
        <f aca="false">N44*I44/0.000001</f>
        <v>68000</v>
      </c>
      <c r="W44" s="1" t="n">
        <v>0.0875</v>
      </c>
      <c r="AD44" s="1" t="s">
        <v>443</v>
      </c>
    </row>
    <row r="45" customFormat="false" ht="14.9" hidden="false" customHeight="true" outlineLevel="0" collapsed="false">
      <c r="A45" s="1" t="s">
        <v>444</v>
      </c>
      <c r="B45" s="1" t="s">
        <v>445</v>
      </c>
      <c r="C45" s="1" t="s">
        <v>446</v>
      </c>
      <c r="D45" s="1" t="s">
        <v>280</v>
      </c>
      <c r="E45" s="1" t="s">
        <v>286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0.0005</v>
      </c>
      <c r="T45" s="1" t="n">
        <f aca="false">N45*I45/0.000001</f>
        <v>256.5</v>
      </c>
      <c r="U45" s="1" t="n">
        <f aca="false">(4*PI()*R45*S45*I45^2)/0.000001</f>
        <v>183.726621567238</v>
      </c>
      <c r="AD45" s="1" t="s">
        <v>447</v>
      </c>
    </row>
    <row r="46" customFormat="false" ht="12.8" hidden="false" customHeight="false" outlineLevel="0" collapsed="false">
      <c r="A46" s="1" t="s">
        <v>448</v>
      </c>
      <c r="B46" s="1" t="s">
        <v>412</v>
      </c>
      <c r="C46" s="1" t="s">
        <v>353</v>
      </c>
      <c r="D46" s="1" t="s">
        <v>280</v>
      </c>
      <c r="E46" s="1" t="s">
        <v>449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0.0004</v>
      </c>
      <c r="T46" s="1" t="n">
        <f aca="false">N46*I46/0.000001</f>
        <v>12800</v>
      </c>
      <c r="U46" s="1" t="n">
        <f aca="false">(4*PI()*R46*S46*I46^2)/0.000001</f>
        <v>1125.94680704658</v>
      </c>
      <c r="AD46" s="1" t="s">
        <v>450</v>
      </c>
    </row>
    <row r="47" customFormat="false" ht="12.8" hidden="false" customHeight="false" outlineLevel="0" collapsed="false">
      <c r="A47" s="1" t="s">
        <v>451</v>
      </c>
      <c r="B47" s="1" t="s">
        <v>445</v>
      </c>
      <c r="C47" s="1" t="s">
        <v>452</v>
      </c>
      <c r="D47" s="1" t="s">
        <v>280</v>
      </c>
      <c r="E47" s="1" t="s">
        <v>301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0.266</v>
      </c>
      <c r="T47" s="1" t="n">
        <f aca="false">N47*I47/0.000001</f>
        <v>2160000</v>
      </c>
      <c r="U47" s="1" t="n">
        <f aca="false">(4*PI()*R47*S47*I47^2)/0.000001</f>
        <v>15402952.3203972</v>
      </c>
      <c r="V47" s="1" t="n">
        <v>1.9</v>
      </c>
      <c r="AD47" s="1" t="s">
        <v>453</v>
      </c>
    </row>
    <row r="48" customFormat="false" ht="12.8" hidden="false" customHeight="false" outlineLevel="0" collapsed="false">
      <c r="A48" s="1" t="s">
        <v>454</v>
      </c>
      <c r="B48" s="1" t="s">
        <v>455</v>
      </c>
      <c r="C48" s="1" t="s">
        <v>237</v>
      </c>
      <c r="D48" s="1" t="s">
        <v>280</v>
      </c>
      <c r="E48" s="1" t="s">
        <v>296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S48" s="1" t="n">
        <f aca="false">ROUND(TAN(RADIANS(50))*(I48/3),2)</f>
        <v>0.24</v>
      </c>
      <c r="T48" s="1" t="n">
        <f aca="false">N48*I48/0.000001</f>
        <v>300000</v>
      </c>
      <c r="U48" s="1" t="n">
        <f aca="false">(4*PI()*R48*S48*I48^2)/0.000001</f>
        <v>2171468.84216126</v>
      </c>
      <c r="AD48" s="1" t="s">
        <v>456</v>
      </c>
    </row>
    <row r="49" customFormat="false" ht="12.8" hidden="false" customHeight="false" outlineLevel="0" collapsed="false">
      <c r="A49" s="1" t="s">
        <v>457</v>
      </c>
      <c r="B49" s="1" t="s">
        <v>458</v>
      </c>
      <c r="C49" s="1" t="s">
        <v>237</v>
      </c>
      <c r="D49" s="1" t="s">
        <v>280</v>
      </c>
      <c r="E49" s="1" t="s">
        <v>296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T49" s="1" t="n">
        <f aca="false">N49*I49/0.000001</f>
        <v>87000</v>
      </c>
      <c r="AD49" s="1" t="s">
        <v>459</v>
      </c>
    </row>
    <row r="50" customFormat="false" ht="12.8" hidden="false" customHeight="false" outlineLevel="0" collapsed="false">
      <c r="A50" s="1" t="s">
        <v>460</v>
      </c>
      <c r="B50" s="1" t="s">
        <v>332</v>
      </c>
      <c r="C50" s="1" t="s">
        <v>333</v>
      </c>
      <c r="D50" s="1" t="s">
        <v>280</v>
      </c>
      <c r="E50" s="1" t="s">
        <v>301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0.044</v>
      </c>
      <c r="T50" s="1" t="n">
        <f aca="false">N50*I50/0.000001</f>
        <v>175000</v>
      </c>
      <c r="U50" s="1" t="n">
        <f aca="false">(4*PI()*R50*S50*I50^2)/0.000001</f>
        <v>228079.626650619</v>
      </c>
      <c r="AD50" s="1" t="s">
        <v>461</v>
      </c>
    </row>
    <row r="51" customFormat="false" ht="12.8" hidden="false" customHeight="false" outlineLevel="0" collapsed="false">
      <c r="A51" s="1" t="s">
        <v>462</v>
      </c>
      <c r="B51" s="1" t="s">
        <v>332</v>
      </c>
      <c r="C51" s="1" t="s">
        <v>333</v>
      </c>
      <c r="D51" s="1" t="s">
        <v>280</v>
      </c>
      <c r="E51" s="1" t="s">
        <v>301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0.063</v>
      </c>
      <c r="T51" s="1" t="n">
        <f aca="false">N51*I51/0.000001</f>
        <v>1184000</v>
      </c>
      <c r="U51" s="1" t="n">
        <f aca="false">(4*PI()*R51*S51*I51^2)/0.000001</f>
        <v>1621363.40214708</v>
      </c>
      <c r="AD51" s="1" t="s">
        <v>463</v>
      </c>
    </row>
    <row r="52" customFormat="false" ht="12.8" hidden="false" customHeight="false" outlineLevel="0" collapsed="false">
      <c r="A52" s="1" t="s">
        <v>464</v>
      </c>
      <c r="B52" s="1" t="s">
        <v>465</v>
      </c>
      <c r="C52" s="1" t="s">
        <v>466</v>
      </c>
      <c r="D52" s="1" t="s">
        <v>280</v>
      </c>
      <c r="E52" s="1" t="s">
        <v>286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T52" s="1" t="n">
        <f aca="false">N52*I52/0.000001</f>
        <v>4956</v>
      </c>
      <c r="AD52" s="1" t="s">
        <v>467</v>
      </c>
    </row>
    <row r="53" customFormat="false" ht="12.8" hidden="false" customHeight="false" outlineLevel="0" collapsed="false">
      <c r="A53" s="1" t="s">
        <v>468</v>
      </c>
      <c r="B53" s="1" t="s">
        <v>469</v>
      </c>
      <c r="C53" s="1" t="s">
        <v>470</v>
      </c>
      <c r="D53" s="1" t="s">
        <v>280</v>
      </c>
      <c r="E53" s="1" t="s">
        <v>296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T53" s="1" t="n">
        <f aca="false">N53*I53/0.000001</f>
        <v>420000</v>
      </c>
      <c r="Y53" s="1" t="n">
        <v>0.25</v>
      </c>
      <c r="AD53" s="1" t="s">
        <v>471</v>
      </c>
    </row>
    <row r="54" customFormat="false" ht="12.8" hidden="false" customHeight="false" outlineLevel="0" collapsed="false">
      <c r="A54" s="1" t="s">
        <v>472</v>
      </c>
      <c r="B54" s="1" t="s">
        <v>473</v>
      </c>
      <c r="C54" s="1" t="s">
        <v>474</v>
      </c>
      <c r="D54" s="1" t="s">
        <v>280</v>
      </c>
      <c r="E54" s="1" t="s">
        <v>296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f aca="false">ROUND(TAN(RADIANS(30))*(I54/3),2)</f>
        <v>0.1</v>
      </c>
      <c r="T54" s="1" t="n">
        <f aca="false">N54*I54/0.000001</f>
        <v>324051.6</v>
      </c>
      <c r="U54" s="1" t="n">
        <f aca="false">(4*PI()*R54*S54*I54^2)/0.000001</f>
        <v>703466.050283809</v>
      </c>
      <c r="AD54" s="1" t="s">
        <v>475</v>
      </c>
    </row>
    <row r="55" customFormat="false" ht="12.8" hidden="false" customHeight="false" outlineLevel="0" collapsed="false">
      <c r="A55" s="1" t="s">
        <v>476</v>
      </c>
      <c r="B55" s="1" t="s">
        <v>304</v>
      </c>
      <c r="C55" s="1" t="s">
        <v>387</v>
      </c>
      <c r="D55" s="1" t="s">
        <v>280</v>
      </c>
      <c r="E55" s="1" t="s">
        <v>329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T55" s="1" t="n">
        <f aca="false">N55*I55/0.000001</f>
        <v>78141</v>
      </c>
      <c r="AD55" s="1" t="s">
        <v>477</v>
      </c>
    </row>
    <row r="56" customFormat="false" ht="12.8" hidden="false" customHeight="false" outlineLevel="0" collapsed="false">
      <c r="A56" s="1" t="s">
        <v>478</v>
      </c>
      <c r="B56" s="1" t="s">
        <v>479</v>
      </c>
      <c r="C56" s="1" t="s">
        <v>480</v>
      </c>
      <c r="D56" s="1" t="s">
        <v>280</v>
      </c>
      <c r="E56" s="1" t="s">
        <v>296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f aca="false">N56*I56/0.000001</f>
        <v>3427500</v>
      </c>
      <c r="V56" s="1" t="n">
        <v>30</v>
      </c>
      <c r="W56" s="1" t="n">
        <v>1.3</v>
      </c>
      <c r="X56" s="1" t="n">
        <v>30</v>
      </c>
      <c r="Y56" s="1" t="n">
        <v>6</v>
      </c>
      <c r="AD56" s="1" t="s">
        <v>481</v>
      </c>
    </row>
    <row r="57" customFormat="false" ht="12.8" hidden="false" customHeight="false" outlineLevel="0" collapsed="false">
      <c r="A57" s="1" t="s">
        <v>482</v>
      </c>
      <c r="B57" s="1" t="s">
        <v>327</v>
      </c>
      <c r="C57" s="1" t="s">
        <v>328</v>
      </c>
      <c r="D57" s="1" t="s">
        <v>382</v>
      </c>
      <c r="E57" s="1" t="s">
        <v>483</v>
      </c>
      <c r="F57" s="1" t="n">
        <v>2</v>
      </c>
      <c r="G57" s="1" t="n">
        <v>2</v>
      </c>
      <c r="H57" s="1" t="n">
        <v>1</v>
      </c>
      <c r="I57" s="1" t="n">
        <v>0.2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0.012</v>
      </c>
      <c r="T57" s="1" t="n">
        <f aca="false">N57*I57/0.000001</f>
        <v>45000</v>
      </c>
      <c r="U57" s="1" t="n">
        <f aca="false">(4*PI()*R57*S57*I57^2)/0.000001</f>
        <v>138732.731582525</v>
      </c>
      <c r="AD57" s="1" t="s">
        <v>484</v>
      </c>
    </row>
    <row r="58" customFormat="false" ht="12.8" hidden="false" customHeight="false" outlineLevel="0" collapsed="false">
      <c r="A58" s="1" t="s">
        <v>485</v>
      </c>
      <c r="B58" s="1" t="s">
        <v>486</v>
      </c>
      <c r="C58" s="1" t="s">
        <v>237</v>
      </c>
      <c r="D58" s="1" t="s">
        <v>414</v>
      </c>
      <c r="E58" s="1" t="s">
        <v>296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T58" s="1" t="n">
        <f aca="false">N58*I58/0.000001</f>
        <v>82800</v>
      </c>
      <c r="W58" s="1" t="n">
        <v>1</v>
      </c>
      <c r="AD58" s="1" t="s">
        <v>487</v>
      </c>
    </row>
    <row r="59" customFormat="false" ht="12.8" hidden="false" customHeight="false" outlineLevel="0" collapsed="false">
      <c r="A59" s="1" t="s">
        <v>488</v>
      </c>
      <c r="B59" s="1" t="s">
        <v>441</v>
      </c>
      <c r="C59" s="1" t="s">
        <v>442</v>
      </c>
      <c r="D59" s="1" t="s">
        <v>280</v>
      </c>
      <c r="E59" s="1" t="s">
        <v>296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T59" s="1" t="n">
        <f aca="false">N59*I59/0.000001</f>
        <v>260000</v>
      </c>
      <c r="AD59" s="1" t="s">
        <v>489</v>
      </c>
    </row>
    <row r="60" customFormat="false" ht="12.8" hidden="false" customHeight="false" outlineLevel="0" collapsed="false">
      <c r="A60" s="1" t="s">
        <v>490</v>
      </c>
      <c r="B60" s="1" t="s">
        <v>491</v>
      </c>
      <c r="C60" s="1" t="s">
        <v>492</v>
      </c>
      <c r="D60" s="1" t="s">
        <v>280</v>
      </c>
      <c r="E60" s="1" t="s">
        <v>296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T60" s="1" t="n">
        <f aca="false">N60*I60/0.000001</f>
        <v>750000</v>
      </c>
      <c r="AD60" s="1" t="s">
        <v>493</v>
      </c>
    </row>
    <row r="61" customFormat="false" ht="12.8" hidden="false" customHeight="false" outlineLevel="0" collapsed="false">
      <c r="A61" s="1" t="s">
        <v>494</v>
      </c>
      <c r="B61" s="1" t="s">
        <v>495</v>
      </c>
      <c r="C61" s="1" t="s">
        <v>496</v>
      </c>
      <c r="D61" s="1" t="s">
        <v>280</v>
      </c>
      <c r="E61" s="1" t="s">
        <v>301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S61" s="1" t="n">
        <f aca="false">ROUND(TAN(RADIANS(30))*(I61/3),2)</f>
        <v>0.13</v>
      </c>
      <c r="T61" s="1" t="n">
        <f aca="false">N61*I61/0.000001</f>
        <v>218130</v>
      </c>
      <c r="U61" s="1" t="n">
        <f aca="false">(4*PI()*R61*S61*I61^2)/0.000001</f>
        <v>1427532.91595107</v>
      </c>
      <c r="W61" s="1" t="n">
        <v>0.1</v>
      </c>
      <c r="Y61" s="1" t="n">
        <v>4</v>
      </c>
      <c r="Z61" s="1" t="n">
        <v>15</v>
      </c>
      <c r="AA61" s="1" t="n">
        <v>4</v>
      </c>
      <c r="AD61" s="1" t="s">
        <v>497</v>
      </c>
    </row>
    <row r="62" customFormat="false" ht="12.8" hidden="false" customHeight="false" outlineLevel="0" collapsed="false">
      <c r="A62" s="1" t="s">
        <v>498</v>
      </c>
      <c r="B62" s="1" t="s">
        <v>499</v>
      </c>
      <c r="C62" s="1" t="s">
        <v>500</v>
      </c>
      <c r="D62" s="1" t="s">
        <v>280</v>
      </c>
      <c r="E62" s="1" t="s">
        <v>296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T62" s="1" t="n">
        <f aca="false">N62*I62/0.000001</f>
        <v>170100</v>
      </c>
      <c r="AD62" s="1" t="s">
        <v>501</v>
      </c>
    </row>
    <row r="63" customFormat="false" ht="12.8" hidden="false" customHeight="false" outlineLevel="0" collapsed="false">
      <c r="A63" s="1" t="s">
        <v>502</v>
      </c>
      <c r="B63" s="1" t="s">
        <v>503</v>
      </c>
      <c r="C63" s="1" t="s">
        <v>500</v>
      </c>
      <c r="D63" s="1" t="s">
        <v>280</v>
      </c>
      <c r="E63" s="1" t="s">
        <v>296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S63" s="1" t="n">
        <f aca="false">ROUND(TAN(RADIANS(40))*(I63/3),2)</f>
        <v>0.13</v>
      </c>
      <c r="T63" s="1" t="n">
        <f aca="false">N63*I63/0.000001</f>
        <v>174800</v>
      </c>
      <c r="U63" s="1" t="n">
        <f aca="false">(4*PI()*R63*S63*I63^2)/0.000001</f>
        <v>691351.445719584</v>
      </c>
      <c r="W63" s="1" t="n">
        <v>0.36</v>
      </c>
      <c r="Z63" s="1" t="n">
        <v>4.8</v>
      </c>
      <c r="AA63" s="1" t="n">
        <v>2.5</v>
      </c>
      <c r="AD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280</v>
      </c>
      <c r="E64" s="1" t="s">
        <v>296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T64" s="1" t="n">
        <f aca="false">N64*I64/0.000001</f>
        <v>455400</v>
      </c>
      <c r="U64" s="1" t="n">
        <f aca="false">(4*PI()*R64*S64*I64^2)/0.000001</f>
        <v>670079.093543597</v>
      </c>
      <c r="Y64" s="1" t="n">
        <v>3</v>
      </c>
      <c r="Z64" s="1" t="n">
        <v>11.1</v>
      </c>
      <c r="AA64" s="1" t="n">
        <v>2.4</v>
      </c>
      <c r="AD64" s="1" t="s">
        <v>508</v>
      </c>
    </row>
    <row r="65" customFormat="false" ht="12.8" hidden="false" customHeight="false" outlineLevel="0" collapsed="false">
      <c r="A65" s="1" t="s">
        <v>509</v>
      </c>
      <c r="B65" s="1" t="s">
        <v>503</v>
      </c>
      <c r="C65" s="1" t="s">
        <v>333</v>
      </c>
      <c r="D65" s="1" t="s">
        <v>280</v>
      </c>
      <c r="E65" s="1" t="s">
        <v>296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f aca="false">N65*I65/0.000001</f>
        <v>275600</v>
      </c>
      <c r="V65" s="1" t="n">
        <v>75</v>
      </c>
      <c r="AD65" s="1" t="s">
        <v>510</v>
      </c>
    </row>
    <row r="66" customFormat="false" ht="12.8" hidden="false" customHeight="false" outlineLevel="0" collapsed="false">
      <c r="A66" s="1" t="s">
        <v>511</v>
      </c>
      <c r="B66" s="1" t="s">
        <v>512</v>
      </c>
      <c r="C66" s="1" t="s">
        <v>513</v>
      </c>
      <c r="D66" s="1" t="s">
        <v>280</v>
      </c>
      <c r="E66" s="1" t="s">
        <v>296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T66" s="1" t="n">
        <f aca="false">N66*I66/0.000001</f>
        <v>744000</v>
      </c>
      <c r="AC66" s="1" t="n">
        <v>10</v>
      </c>
      <c r="AD66" s="1" t="s">
        <v>514</v>
      </c>
    </row>
    <row r="67" customFormat="false" ht="12.8" hidden="false" customHeight="false" outlineLevel="0" collapsed="false">
      <c r="A67" s="1" t="s">
        <v>515</v>
      </c>
      <c r="B67" s="1" t="s">
        <v>516</v>
      </c>
      <c r="C67" s="1" t="s">
        <v>517</v>
      </c>
      <c r="D67" s="1" t="s">
        <v>280</v>
      </c>
      <c r="E67" s="1" t="s">
        <v>291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U67" s="1" t="n">
        <f aca="false">(4*PI()*R67*S67*I67^2)/0.000001</f>
        <v>351858.377202057</v>
      </c>
      <c r="AD67" s="1" t="s">
        <v>518</v>
      </c>
    </row>
    <row r="68" customFormat="false" ht="12.8" hidden="false" customHeight="false" outlineLevel="0" collapsed="false">
      <c r="A68" s="1" t="s">
        <v>519</v>
      </c>
      <c r="B68" s="1" t="s">
        <v>289</v>
      </c>
      <c r="C68" s="1" t="s">
        <v>500</v>
      </c>
      <c r="D68" s="1" t="s">
        <v>338</v>
      </c>
      <c r="E68" s="1" t="s">
        <v>296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T68" s="1" t="n">
        <f aca="false">N68*I68/0.000001</f>
        <v>160000</v>
      </c>
      <c r="Y68" s="1" t="n">
        <v>5</v>
      </c>
      <c r="AD68" s="1" t="s">
        <v>501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305</v>
      </c>
      <c r="D69" s="1" t="s">
        <v>338</v>
      </c>
      <c r="E69" s="1" t="s">
        <v>296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T69" s="1" t="n">
        <f aca="false">N69*I69/0.000001</f>
        <v>207000</v>
      </c>
      <c r="AD69" s="1" t="s">
        <v>522</v>
      </c>
    </row>
    <row r="70" customFormat="false" ht="12.8" hidden="false" customHeight="false" outlineLevel="0" collapsed="false">
      <c r="A70" s="1" t="s">
        <v>523</v>
      </c>
      <c r="B70" s="1" t="s">
        <v>284</v>
      </c>
      <c r="C70" s="1" t="s">
        <v>524</v>
      </c>
      <c r="D70" s="1" t="s">
        <v>338</v>
      </c>
      <c r="E70" s="1" t="s">
        <v>342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f aca="false">ROUND(TAN(RADIANS(45))*0.01,2)</f>
        <v>0.01</v>
      </c>
      <c r="T70" s="1" t="n">
        <f aca="false">N70*I70/0.000001</f>
        <v>2600</v>
      </c>
      <c r="U70" s="1" t="n">
        <f aca="false">(4*PI()*R70*S70*I70^2)/0.000001</f>
        <v>1005.30964914873</v>
      </c>
      <c r="AD70" s="1" t="s">
        <v>525</v>
      </c>
    </row>
    <row r="71" customFormat="false" ht="12.8" hidden="false" customHeight="false" outlineLevel="0" collapsed="false">
      <c r="A71" s="1" t="s">
        <v>526</v>
      </c>
      <c r="B71" s="1" t="s">
        <v>527</v>
      </c>
      <c r="C71" s="1" t="s">
        <v>528</v>
      </c>
      <c r="D71" s="1" t="s">
        <v>338</v>
      </c>
      <c r="E71" s="1" t="s">
        <v>296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S71" s="1" t="n">
        <v>0.0826</v>
      </c>
      <c r="T71" s="1" t="n">
        <f aca="false">N71*I71/0.000001</f>
        <v>6165</v>
      </c>
      <c r="U71" s="1" t="n">
        <f aca="false">(4*PI()*R71*S71*I71^2)/0.000001</f>
        <v>18683.6798294292</v>
      </c>
      <c r="AD71" s="1" t="s">
        <v>529</v>
      </c>
    </row>
    <row r="72" customFormat="false" ht="12.8" hidden="false" customHeight="false" outlineLevel="0" collapsed="false">
      <c r="A72" s="1" t="s">
        <v>530</v>
      </c>
      <c r="B72" s="1" t="s">
        <v>531</v>
      </c>
      <c r="C72" s="1" t="s">
        <v>532</v>
      </c>
      <c r="D72" s="1" t="s">
        <v>338</v>
      </c>
      <c r="E72" s="1" t="s">
        <v>286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f aca="false">N72*I72/0.000001</f>
        <v>126</v>
      </c>
      <c r="V72" s="1" t="n">
        <v>2</v>
      </c>
      <c r="AD72" s="1" t="s">
        <v>533</v>
      </c>
    </row>
    <row r="73" customFormat="false" ht="12.8" hidden="false" customHeight="false" outlineLevel="0" collapsed="false">
      <c r="A73" s="1" t="s">
        <v>534</v>
      </c>
      <c r="B73" s="1" t="s">
        <v>400</v>
      </c>
      <c r="C73" s="1" t="s">
        <v>290</v>
      </c>
      <c r="D73" s="1" t="s">
        <v>382</v>
      </c>
      <c r="E73" s="1" t="s">
        <v>301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T73" s="1" t="n">
        <f aca="false">N73*I73/0.000001</f>
        <v>682500</v>
      </c>
      <c r="W73" s="1" t="n">
        <v>1</v>
      </c>
      <c r="AD73" s="1" t="s">
        <v>535</v>
      </c>
    </row>
    <row r="74" customFormat="false" ht="12.8" hidden="false" customHeight="false" outlineLevel="0" collapsed="false">
      <c r="A74" s="1" t="s">
        <v>536</v>
      </c>
      <c r="B74" s="1" t="s">
        <v>537</v>
      </c>
      <c r="C74" s="1" t="s">
        <v>538</v>
      </c>
      <c r="D74" s="1" t="s">
        <v>382</v>
      </c>
      <c r="E74" s="1" t="s">
        <v>301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0.072</v>
      </c>
      <c r="T74" s="1" t="n">
        <f aca="false">N74*I74/0.000001</f>
        <v>203000</v>
      </c>
      <c r="U74" s="1" t="n">
        <f aca="false">(4*PI()*R74*S74*I74^2)/0.000001</f>
        <v>665012.332911887</v>
      </c>
      <c r="AD74" s="1" t="s">
        <v>539</v>
      </c>
    </row>
    <row r="75" customFormat="false" ht="12.8" hidden="false" customHeight="false" outlineLevel="0" collapsed="false">
      <c r="A75" s="1" t="s">
        <v>540</v>
      </c>
      <c r="B75" s="1" t="s">
        <v>541</v>
      </c>
      <c r="C75" s="1" t="s">
        <v>428</v>
      </c>
      <c r="D75" s="1" t="s">
        <v>414</v>
      </c>
      <c r="E75" s="1" t="s">
        <v>296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T75" s="1" t="n">
        <f aca="false">N75*I75/0.000001</f>
        <v>315000</v>
      </c>
      <c r="U75" s="1" t="n">
        <f aca="false">(4*PI()*R75*S75*I75^2)/0.000001</f>
        <v>833112.67262017</v>
      </c>
      <c r="W75" s="1" t="n">
        <v>0.23</v>
      </c>
      <c r="Y75" s="1" t="n">
        <v>1</v>
      </c>
      <c r="AD75" s="1" t="s">
        <v>542</v>
      </c>
    </row>
    <row r="76" customFormat="false" ht="12.8" hidden="false" customHeight="false" outlineLevel="0" collapsed="false">
      <c r="A76" s="1" t="s">
        <v>543</v>
      </c>
      <c r="B76" s="1" t="s">
        <v>544</v>
      </c>
      <c r="C76" s="1" t="s">
        <v>428</v>
      </c>
      <c r="D76" s="1" t="s">
        <v>280</v>
      </c>
      <c r="E76" s="1" t="s">
        <v>296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S76" s="1" t="n">
        <f aca="false">ROUND(TAN(RADIANS(45))*I76,2)</f>
        <v>0.61</v>
      </c>
      <c r="T76" s="1" t="n">
        <f aca="false">N76*I76/0.000001</f>
        <v>282440</v>
      </c>
      <c r="U76" s="1" t="n">
        <f aca="false">(4*PI()*R76*S76*I76^2)/0.000001</f>
        <v>17917117.0470873</v>
      </c>
      <c r="AD76" s="1" t="s">
        <v>545</v>
      </c>
    </row>
    <row r="77" customFormat="false" ht="12.8" hidden="false" customHeight="false" outlineLevel="0" collapsed="false">
      <c r="A77" s="1" t="s">
        <v>546</v>
      </c>
      <c r="B77" s="1" t="s">
        <v>336</v>
      </c>
      <c r="C77" s="1" t="s">
        <v>428</v>
      </c>
      <c r="D77" s="1" t="s">
        <v>280</v>
      </c>
      <c r="E77" s="1" t="s">
        <v>296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S77" s="1" t="n">
        <f aca="false">ROUND(TAN(RADIANS(30))*I77,2)</f>
        <v>0.23</v>
      </c>
      <c r="T77" s="1" t="n">
        <f aca="false">N77*I77/0.000001</f>
        <v>128000</v>
      </c>
      <c r="U77" s="1" t="n">
        <f aca="false">(4*PI()*R77*S77*I77^2)/0.000001</f>
        <v>924884.877216836</v>
      </c>
      <c r="V77" s="1" t="n">
        <f aca="false">ROUND(DEGREES(1),2)</f>
        <v>57.3</v>
      </c>
      <c r="W77" s="1" t="n">
        <v>0.2</v>
      </c>
      <c r="AD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  <c r="C78" s="1" t="s">
        <v>550</v>
      </c>
      <c r="D78" s="1" t="s">
        <v>280</v>
      </c>
      <c r="E78" s="1" t="s">
        <v>301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T78" s="1" t="n">
        <f aca="false">N78*I78/0.000001</f>
        <v>561600</v>
      </c>
      <c r="W78" s="1" t="n">
        <v>0.37</v>
      </c>
      <c r="AD78" s="1" t="s">
        <v>551</v>
      </c>
    </row>
    <row r="79" customFormat="false" ht="12.8" hidden="false" customHeight="false" outlineLevel="0" collapsed="false">
      <c r="A79" s="1" t="s">
        <v>552</v>
      </c>
      <c r="B79" s="1" t="s">
        <v>553</v>
      </c>
      <c r="C79" s="1" t="s">
        <v>554</v>
      </c>
      <c r="D79" s="1" t="s">
        <v>280</v>
      </c>
      <c r="E79" s="1" t="s">
        <v>383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f aca="false">N79*I79/0.000001</f>
        <v>3000000</v>
      </c>
      <c r="V79" s="1" t="n">
        <v>75</v>
      </c>
      <c r="W79" s="1" t="n">
        <f aca="false">3.2*I79</f>
        <v>7.68</v>
      </c>
      <c r="X79" s="1" t="n">
        <v>10</v>
      </c>
      <c r="AD79" s="1" t="s">
        <v>555</v>
      </c>
    </row>
    <row r="80" customFormat="false" ht="12.8" hidden="false" customHeight="false" outlineLevel="0" collapsed="false">
      <c r="A80" s="1" t="s">
        <v>556</v>
      </c>
      <c r="B80" s="1" t="s">
        <v>557</v>
      </c>
      <c r="C80" s="1" t="s">
        <v>558</v>
      </c>
      <c r="D80" s="1" t="s">
        <v>280</v>
      </c>
      <c r="E80" s="1" t="s">
        <v>296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f aca="false">ROUND(0.1*I80,2)</f>
        <v>0.06</v>
      </c>
      <c r="T80" s="1" t="n">
        <f aca="false">N80*I80/0.000001</f>
        <v>208740</v>
      </c>
      <c r="U80" s="1" t="n">
        <f aca="false">(4*PI()*R80*S80*I80^2)/0.000001</f>
        <v>391027.25175219</v>
      </c>
      <c r="AD80" s="1" t="s">
        <v>559</v>
      </c>
    </row>
    <row r="81" customFormat="false" ht="12.8" hidden="false" customHeight="false" outlineLevel="0" collapsed="false">
      <c r="A81" s="1" t="s">
        <v>560</v>
      </c>
      <c r="B81" s="1" t="s">
        <v>495</v>
      </c>
      <c r="C81" s="1" t="s">
        <v>496</v>
      </c>
      <c r="D81" s="1" t="s">
        <v>280</v>
      </c>
      <c r="E81" s="1" t="s">
        <v>301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T81" s="1" t="n">
        <f aca="false">N81*I81/0.000001</f>
        <v>25000</v>
      </c>
      <c r="U81" s="1" t="n">
        <f aca="false">(4*PI()*R81*S81*I81^2)/0.000001</f>
        <v>816814.089933346</v>
      </c>
      <c r="Y81" s="1" t="n">
        <v>8</v>
      </c>
      <c r="Z81" s="1" t="n">
        <v>18</v>
      </c>
      <c r="AA81" s="1" t="n">
        <v>2.7</v>
      </c>
      <c r="AD81" s="1" t="s">
        <v>561</v>
      </c>
    </row>
    <row r="82" customFormat="false" ht="12.8" hidden="false" customHeight="false" outlineLevel="0" collapsed="false">
      <c r="A82" s="1" t="s">
        <v>562</v>
      </c>
      <c r="B82" s="1" t="s">
        <v>563</v>
      </c>
      <c r="C82" s="1" t="s">
        <v>564</v>
      </c>
      <c r="D82" s="1" t="s">
        <v>280</v>
      </c>
      <c r="E82" s="1" t="s">
        <v>296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T82" s="1" t="n">
        <f aca="false">N82*I82/0.000001</f>
        <v>63020</v>
      </c>
      <c r="Z82" s="1" t="n">
        <v>7.4</v>
      </c>
      <c r="AA82" s="1" t="n">
        <v>2.2</v>
      </c>
      <c r="AD82" s="1" t="s">
        <v>565</v>
      </c>
    </row>
    <row r="83" customFormat="false" ht="12.8" hidden="false" customHeight="false" outlineLevel="0" collapsed="false">
      <c r="A83" s="1" t="s">
        <v>566</v>
      </c>
      <c r="B83" s="1" t="s">
        <v>567</v>
      </c>
      <c r="C83" s="1" t="s">
        <v>568</v>
      </c>
      <c r="D83" s="1" t="s">
        <v>280</v>
      </c>
      <c r="E83" s="1" t="s">
        <v>296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Z83" s="1" t="n">
        <v>7.4</v>
      </c>
      <c r="AA83" s="1" t="n">
        <v>2.1</v>
      </c>
      <c r="AD83" s="1" t="s">
        <v>569</v>
      </c>
    </row>
    <row r="84" customFormat="false" ht="12.8" hidden="false" customHeight="false" outlineLevel="0" collapsed="false">
      <c r="A84" s="1" t="s">
        <v>570</v>
      </c>
      <c r="B84" s="1" t="s">
        <v>571</v>
      </c>
      <c r="C84" s="1" t="s">
        <v>572</v>
      </c>
      <c r="D84" s="1" t="s">
        <v>280</v>
      </c>
      <c r="E84" s="1" t="s">
        <v>296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0.1</v>
      </c>
      <c r="T84" s="1" t="n">
        <f aca="false">N84*I84/0.000001</f>
        <v>169400</v>
      </c>
      <c r="U84" s="1" t="n">
        <f aca="false">(4*PI()*R84*S84*I84^2)/0.000001</f>
        <v>768134.169288176</v>
      </c>
      <c r="Z84" s="1" t="n">
        <v>6</v>
      </c>
      <c r="AA84" s="1" t="n">
        <v>2.5</v>
      </c>
      <c r="AD84" s="1" t="s">
        <v>573</v>
      </c>
    </row>
    <row r="85" customFormat="false" ht="13.5" hidden="false" customHeight="true" outlineLevel="0" collapsed="false">
      <c r="A85" s="1" t="s">
        <v>574</v>
      </c>
      <c r="B85" s="1" t="s">
        <v>575</v>
      </c>
      <c r="C85" s="1" t="s">
        <v>576</v>
      </c>
      <c r="D85" s="1" t="s">
        <v>338</v>
      </c>
      <c r="E85" s="1" t="s">
        <v>577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D85" s="1" t="s">
        <v>578</v>
      </c>
    </row>
    <row r="86" customFormat="false" ht="13.5" hidden="false" customHeight="true" outlineLevel="0" collapsed="false">
      <c r="A86" s="1" t="s">
        <v>579</v>
      </c>
      <c r="B86" s="1" t="s">
        <v>580</v>
      </c>
      <c r="C86" s="1" t="s">
        <v>581</v>
      </c>
      <c r="D86" s="1" t="s">
        <v>338</v>
      </c>
      <c r="E86" s="1" t="s">
        <v>342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f aca="false">N86*I86/0.000001</f>
        <v>2019.948</v>
      </c>
      <c r="V86" s="1" t="n">
        <v>40</v>
      </c>
      <c r="AD86" s="1" t="s">
        <v>582</v>
      </c>
    </row>
    <row r="87" customFormat="false" ht="12.8" hidden="false" customHeight="false" outlineLevel="0" collapsed="false">
      <c r="A87" s="1" t="s">
        <v>583</v>
      </c>
      <c r="B87" s="1" t="s">
        <v>584</v>
      </c>
      <c r="C87" s="1" t="s">
        <v>572</v>
      </c>
      <c r="D87" s="1" t="s">
        <v>338</v>
      </c>
      <c r="E87" s="1" t="s">
        <v>296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S87" s="1" t="n">
        <f aca="false">ROUND(TAN(RADIANS(40))*0.136,2)</f>
        <v>0.11</v>
      </c>
      <c r="T87" s="1" t="n">
        <f aca="false">N87*I87/0.000001</f>
        <v>236720</v>
      </c>
      <c r="U87" s="1" t="n">
        <f aca="false">(4*PI()*R87*S87*I87^2)/0.000001</f>
        <v>695794.914368822</v>
      </c>
      <c r="Z87" s="1" t="n">
        <v>11.1</v>
      </c>
      <c r="AA87" s="1" t="n">
        <v>2</v>
      </c>
      <c r="AD87" s="1" t="s">
        <v>585</v>
      </c>
    </row>
    <row r="88" customFormat="false" ht="12.8" hidden="false" customHeight="false" outlineLevel="0" collapsed="false">
      <c r="A88" s="1" t="s">
        <v>586</v>
      </c>
      <c r="B88" s="1" t="s">
        <v>587</v>
      </c>
      <c r="C88" s="1" t="s">
        <v>588</v>
      </c>
      <c r="D88" s="1" t="s">
        <v>382</v>
      </c>
      <c r="E88" s="1" t="s">
        <v>296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S88" s="1" t="n">
        <v>0.31</v>
      </c>
      <c r="T88" s="1" t="n">
        <f aca="false">N88*I88/0.000001</f>
        <v>1936000</v>
      </c>
      <c r="U88" s="1" t="n">
        <f aca="false">(4*PI()*R88*S88*I88^2)/0.000001</f>
        <v>24133865.5613242</v>
      </c>
      <c r="W88" s="1" t="n">
        <v>1.75</v>
      </c>
      <c r="Y88" s="1" t="n">
        <v>20</v>
      </c>
      <c r="AB88" s="1" t="n">
        <v>7</v>
      </c>
      <c r="AC88" s="1" t="n">
        <v>73</v>
      </c>
      <c r="AD88" s="1" t="s">
        <v>589</v>
      </c>
    </row>
    <row r="89" customFormat="false" ht="12.8" hidden="false" customHeight="false" outlineLevel="0" collapsed="false">
      <c r="A89" s="1" t="s">
        <v>590</v>
      </c>
      <c r="B89" s="1" t="s">
        <v>591</v>
      </c>
      <c r="C89" s="1" t="s">
        <v>428</v>
      </c>
      <c r="D89" s="1" t="s">
        <v>382</v>
      </c>
      <c r="E89" s="1" t="s">
        <v>296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T89" s="1" t="n">
        <f aca="false">N89*I89/0.000001</f>
        <v>344960</v>
      </c>
      <c r="W89" s="1" t="n">
        <v>0.224</v>
      </c>
      <c r="Y89" s="1" t="n">
        <v>2</v>
      </c>
      <c r="Z89" s="1" t="n">
        <v>7.4</v>
      </c>
      <c r="AD89" s="1" t="s">
        <v>592</v>
      </c>
    </row>
    <row r="90" customFormat="false" ht="12.8" hidden="false" customHeight="false" outlineLevel="0" collapsed="false">
      <c r="A90" s="1" t="s">
        <v>593</v>
      </c>
      <c r="B90" s="1" t="s">
        <v>594</v>
      </c>
      <c r="C90" s="1" t="s">
        <v>595</v>
      </c>
      <c r="D90" s="1" t="s">
        <v>414</v>
      </c>
      <c r="E90" s="1" t="s">
        <v>296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T90" s="1" t="n">
        <f aca="false">N90*I90/0.000001</f>
        <v>12675</v>
      </c>
      <c r="AD90" s="1" t="s">
        <v>596</v>
      </c>
    </row>
    <row r="91" customFormat="false" ht="12.8" hidden="false" customHeight="false" outlineLevel="0" collapsed="false">
      <c r="A91" s="1" t="s">
        <v>597</v>
      </c>
      <c r="B91" s="1" t="s">
        <v>598</v>
      </c>
      <c r="C91" s="1" t="s">
        <v>279</v>
      </c>
      <c r="D91" s="1" t="s">
        <v>414</v>
      </c>
      <c r="E91" s="1" t="s">
        <v>301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S91" s="1" t="n">
        <v>0.35</v>
      </c>
      <c r="T91" s="1" t="n">
        <f aca="false">N91*I91/0.000001</f>
        <v>1131000</v>
      </c>
      <c r="U91" s="1" t="n">
        <f aca="false">(4*PI()*R91*S91*I91^2)/0.000001</f>
        <v>9291260.27299181</v>
      </c>
      <c r="AD91" s="1" t="s">
        <v>599</v>
      </c>
    </row>
    <row r="92" customFormat="false" ht="12.8" hidden="false" customHeight="false" outlineLevel="0" collapsed="false">
      <c r="A92" s="1" t="s">
        <v>600</v>
      </c>
      <c r="B92" s="1" t="s">
        <v>601</v>
      </c>
      <c r="C92" s="1" t="s">
        <v>602</v>
      </c>
      <c r="D92" s="1" t="s">
        <v>280</v>
      </c>
      <c r="E92" s="1" t="s">
        <v>296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</v>
      </c>
      <c r="T92" s="1" t="n">
        <f aca="false">N92*I92/0.000001</f>
        <v>73800</v>
      </c>
      <c r="U92" s="1" t="n">
        <f aca="false">(4*PI()*R92*S92*I92^2)/0.000001</f>
        <v>2534888.28032853</v>
      </c>
      <c r="V92" s="1" t="n">
        <v>15</v>
      </c>
      <c r="W92" s="1" t="n">
        <f aca="false">ROUND(TAN(RADIANS(30)),2)</f>
        <v>0.58</v>
      </c>
      <c r="AB92" s="1" t="n">
        <v>8.5</v>
      </c>
      <c r="AC92" s="1" t="n">
        <v>5</v>
      </c>
      <c r="AD92" s="1" t="s">
        <v>603</v>
      </c>
    </row>
    <row r="93" customFormat="false" ht="12.8" hidden="false" customHeight="false" outlineLevel="0" collapsed="false">
      <c r="A93" s="1" t="s">
        <v>604</v>
      </c>
      <c r="B93" s="1" t="s">
        <v>605</v>
      </c>
      <c r="C93" s="1" t="s">
        <v>606</v>
      </c>
      <c r="D93" s="1" t="s">
        <v>377</v>
      </c>
      <c r="E93" s="1" t="s">
        <v>291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0.03</v>
      </c>
      <c r="N93" s="1" t="n">
        <f aca="false">M93</f>
        <v>0.03</v>
      </c>
      <c r="R93" s="1" t="n">
        <v>0.5</v>
      </c>
      <c r="S93" s="1" t="n">
        <v>0.0396</v>
      </c>
      <c r="T93" s="1" t="n">
        <f aca="false">N93*I93/0.000001</f>
        <v>9000</v>
      </c>
      <c r="U93" s="1" t="n">
        <f aca="false">(4*PI()*R93*S93*I93^2)/0.000001</f>
        <v>22393.272434788</v>
      </c>
      <c r="AD93" s="1" t="s">
        <v>607</v>
      </c>
    </row>
    <row r="94" customFormat="false" ht="12.8" hidden="false" customHeight="false" outlineLevel="0" collapsed="false">
      <c r="A94" s="1" t="s">
        <v>608</v>
      </c>
      <c r="B94" s="1" t="s">
        <v>609</v>
      </c>
      <c r="C94" s="1" t="s">
        <v>279</v>
      </c>
      <c r="D94" s="1" t="s">
        <v>414</v>
      </c>
      <c r="E94" s="1" t="s">
        <v>301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T94" s="1" t="n">
        <f aca="false">N94*I94/0.000001</f>
        <v>170940</v>
      </c>
      <c r="U94" s="1" t="n">
        <f aca="false">(4*PI()*R94*S94*I94^2)/0.000001</f>
        <v>4924847.3517246</v>
      </c>
      <c r="AD94" s="1" t="s">
        <v>610</v>
      </c>
    </row>
    <row r="95" customFormat="false" ht="12.8" hidden="false" customHeight="false" outlineLevel="0" collapsed="false">
      <c r="A95" s="1" t="s">
        <v>611</v>
      </c>
      <c r="B95" s="1" t="s">
        <v>400</v>
      </c>
      <c r="C95" s="1" t="s">
        <v>290</v>
      </c>
      <c r="D95" s="1" t="s">
        <v>280</v>
      </c>
      <c r="E95" s="1" t="s">
        <v>296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0.125</v>
      </c>
      <c r="T95" s="1" t="n">
        <f aca="false">N95*I95/0.000001</f>
        <v>125244</v>
      </c>
      <c r="U95" s="1" t="n">
        <f aca="false">(4*PI()*R95*S95*I95^2)/0.000001</f>
        <v>415632.70806993</v>
      </c>
      <c r="AD95" s="1" t="s">
        <v>612</v>
      </c>
    </row>
    <row r="96" customFormat="false" ht="12.8" hidden="false" customHeight="false" outlineLevel="0" collapsed="false">
      <c r="A96" s="1" t="s">
        <v>613</v>
      </c>
      <c r="B96" s="1" t="s">
        <v>614</v>
      </c>
      <c r="C96" s="1" t="s">
        <v>615</v>
      </c>
      <c r="D96" s="1" t="s">
        <v>377</v>
      </c>
      <c r="E96" s="1" t="s">
        <v>296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f aca="false">M96</f>
        <v>0.42504</v>
      </c>
      <c r="R96" s="1" t="n">
        <v>2</v>
      </c>
      <c r="S96" s="1" t="n">
        <f aca="false">ROUND(TAN(RADIANS(22.7/2))*(I96/2),2)</f>
        <v>0.05</v>
      </c>
      <c r="T96" s="1" t="n">
        <f aca="false">N96*I96/0.000001</f>
        <v>215070.24</v>
      </c>
      <c r="U96" s="1" t="n">
        <f aca="false">(4*PI()*R96*S96*I96^2)/0.000001</f>
        <v>321744.326661806</v>
      </c>
      <c r="V96" s="1" t="n">
        <v>91</v>
      </c>
      <c r="Z96" s="1" t="n">
        <v>7.4</v>
      </c>
      <c r="AA96" s="1" t="n">
        <v>1.5</v>
      </c>
      <c r="AD96" s="1" t="s">
        <v>616</v>
      </c>
    </row>
    <row r="97" customFormat="false" ht="12.8" hidden="false" customHeight="false" outlineLevel="0" collapsed="false">
      <c r="A97" s="1" t="s">
        <v>617</v>
      </c>
      <c r="B97" s="1" t="s">
        <v>618</v>
      </c>
      <c r="C97" s="1" t="s">
        <v>615</v>
      </c>
      <c r="D97" s="1" t="s">
        <v>382</v>
      </c>
      <c r="E97" s="1" t="s">
        <v>296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S97" s="1" t="n">
        <f aca="false">ROUND(TAN(RADIANS(30))*0.36,2)</f>
        <v>0.21</v>
      </c>
      <c r="T97" s="1" t="n">
        <f aca="false">N97*I97/0.000001</f>
        <v>77760</v>
      </c>
      <c r="U97" s="1" t="n">
        <f aca="false">(4*PI()*R97*S97*I97^2)/0.000001</f>
        <v>1900035.23689111</v>
      </c>
      <c r="AD97" s="1" t="s">
        <v>619</v>
      </c>
    </row>
    <row r="98" customFormat="false" ht="12.8" hidden="false" customHeight="false" outlineLevel="0" collapsed="false">
      <c r="A98" s="1" t="s">
        <v>620</v>
      </c>
      <c r="B98" s="1" t="s">
        <v>609</v>
      </c>
      <c r="C98" s="1" t="s">
        <v>279</v>
      </c>
      <c r="D98" s="1" t="s">
        <v>414</v>
      </c>
      <c r="E98" s="1" t="s">
        <v>301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S98" s="1" t="n">
        <v>0.2886</v>
      </c>
      <c r="T98" s="1" t="n">
        <f aca="false">N98*I98/0.000001</f>
        <v>561000</v>
      </c>
      <c r="U98" s="1" t="n">
        <f aca="false">(4*PI()*R98*S98*I98^2)/0.000001</f>
        <v>4388252.01675791</v>
      </c>
      <c r="AA98" s="1" t="n">
        <v>0.6</v>
      </c>
      <c r="AB98" s="1" t="n">
        <v>3.5</v>
      </c>
      <c r="AC98" s="1" t="n">
        <v>6.5</v>
      </c>
      <c r="AD98" s="1" t="s">
        <v>621</v>
      </c>
    </row>
    <row r="99" customFormat="false" ht="12.8" hidden="false" customHeight="false" outlineLevel="0" collapsed="false">
      <c r="A99" s="1" t="s">
        <v>622</v>
      </c>
      <c r="B99" s="1" t="s">
        <v>623</v>
      </c>
      <c r="C99" s="1" t="s">
        <v>624</v>
      </c>
      <c r="D99" s="1" t="s">
        <v>414</v>
      </c>
      <c r="E99" s="1" t="s">
        <v>296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S99" s="1" t="n">
        <v>0.11</v>
      </c>
      <c r="T99" s="1" t="n">
        <f aca="false">N99*I99/0.000001</f>
        <v>131100</v>
      </c>
      <c r="U99" s="1" t="n">
        <f aca="false">(4*PI()*R99*S99*I99^2)/0.000001</f>
        <v>988040.942650481</v>
      </c>
      <c r="AD99" s="1" t="s">
        <v>625</v>
      </c>
    </row>
    <row r="100" customFormat="false" ht="12.8" hidden="false" customHeight="false" outlineLevel="0" collapsed="false">
      <c r="A100" s="1" t="s">
        <v>626</v>
      </c>
      <c r="B100" s="1" t="s">
        <v>627</v>
      </c>
      <c r="C100" s="1" t="s">
        <v>628</v>
      </c>
      <c r="D100" s="1" t="s">
        <v>377</v>
      </c>
      <c r="E100" s="1" t="s">
        <v>296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T100" s="1" t="n">
        <f aca="false">N100*I100/0.000001</f>
        <v>21600</v>
      </c>
      <c r="U100" s="1" t="n">
        <f aca="false">(4*PI()*R100*S100*I100^2)/0.000001</f>
        <v>1526814.02964464</v>
      </c>
      <c r="W100" s="1" t="n">
        <v>0.6</v>
      </c>
      <c r="Z100" s="1" t="n">
        <v>12</v>
      </c>
      <c r="AA100" s="1" t="n">
        <v>2.6</v>
      </c>
      <c r="AB100" s="1" t="n">
        <v>3.9</v>
      </c>
      <c r="AC100" s="1" t="n">
        <v>0.01</v>
      </c>
      <c r="AD100" s="1" t="s">
        <v>629</v>
      </c>
    </row>
    <row r="101" customFormat="false" ht="12.8" hidden="false" customHeight="false" outlineLevel="0" collapsed="false">
      <c r="A101" s="1" t="s">
        <v>630</v>
      </c>
      <c r="B101" s="1" t="s">
        <v>336</v>
      </c>
      <c r="C101" s="1" t="s">
        <v>428</v>
      </c>
      <c r="D101" s="1" t="s">
        <v>414</v>
      </c>
      <c r="E101" s="1" t="s">
        <v>301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T101" s="1" t="n">
        <f aca="false">N101*I101/0.000001</f>
        <v>8190</v>
      </c>
      <c r="AD101" s="1" t="s">
        <v>631</v>
      </c>
    </row>
    <row r="102" customFormat="false" ht="12.8" hidden="false" customHeight="false" outlineLevel="0" collapsed="false">
      <c r="A102" s="1" t="s">
        <v>632</v>
      </c>
      <c r="B102" s="1" t="s">
        <v>633</v>
      </c>
      <c r="C102" s="1" t="s">
        <v>634</v>
      </c>
      <c r="D102" s="1" t="s">
        <v>414</v>
      </c>
      <c r="E102" s="1" t="s">
        <v>296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0.46185</v>
      </c>
      <c r="T102" s="1" t="n">
        <f aca="false">N102*I102/0.000001</f>
        <v>120000</v>
      </c>
      <c r="U102" s="1" t="n">
        <f aca="false">(4*PI()*R102*S102*I102^2)/0.000001</f>
        <v>31097108.2635009</v>
      </c>
      <c r="AD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414</v>
      </c>
      <c r="E103" s="1" t="s">
        <v>296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T103" s="1" t="n">
        <f aca="false">N103*I103/0.000001</f>
        <v>245025</v>
      </c>
      <c r="W103" s="1" t="n">
        <v>1</v>
      </c>
      <c r="Y103" s="1" t="n">
        <v>5</v>
      </c>
      <c r="Z103" s="1" t="n">
        <v>5</v>
      </c>
      <c r="AA103" s="1" t="n">
        <v>10.5</v>
      </c>
      <c r="AB103" s="1" t="n">
        <v>8</v>
      </c>
      <c r="AC103" s="1" t="n">
        <v>4</v>
      </c>
      <c r="AD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428</v>
      </c>
      <c r="D104" s="1" t="s">
        <v>280</v>
      </c>
      <c r="E104" s="1" t="s">
        <v>296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f aca="false">N104*I104/0.000001</f>
        <v>165825</v>
      </c>
      <c r="V104" s="1" t="n">
        <v>51.4</v>
      </c>
      <c r="AD104" s="1" t="s">
        <v>642</v>
      </c>
    </row>
    <row r="105" customFormat="false" ht="12.8" hidden="false" customHeight="false" outlineLevel="0" collapsed="false">
      <c r="A105" s="1" t="s">
        <v>643</v>
      </c>
      <c r="B105" s="1" t="s">
        <v>644</v>
      </c>
      <c r="C105" s="1" t="s">
        <v>645</v>
      </c>
      <c r="D105" s="1" t="s">
        <v>414</v>
      </c>
      <c r="E105" s="1" t="s">
        <v>301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T105" s="1" t="n">
        <f aca="false">N105*I105/0.000001</f>
        <v>321192</v>
      </c>
      <c r="AA105" s="1" t="n">
        <v>48</v>
      </c>
      <c r="AD105" s="1" t="s">
        <v>646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R6" activeCellId="0" sqref="R6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21.15"/>
    <col collapsed="false" customWidth="true" hidden="false" outlineLevel="0" max="23" min="23" style="9" width="17.85"/>
    <col collapsed="false" customWidth="true" hidden="false" outlineLevel="0" max="24" min="24" style="10" width="13.25"/>
    <col collapsed="false" customWidth="true" hidden="false" outlineLevel="0" max="25" min="25" style="9" width="22.67"/>
    <col collapsed="false" customWidth="true" hidden="false" outlineLevel="0" max="68" min="26" style="9" width="10.61"/>
    <col collapsed="false" customWidth="true" hidden="false" outlineLevel="0" max="69" min="69" style="1" width="9"/>
    <col collapsed="false" customWidth="false" hidden="false" outlineLevel="0" max="1024" min="70" style="1" width="8.62"/>
  </cols>
  <sheetData>
    <row r="1" s="11" customFormat="tru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</row>
    <row r="2" customFormat="false" ht="13.8" hidden="false" customHeight="false" outlineLevel="0" collapsed="false">
      <c r="A2" s="9" t="s">
        <v>647</v>
      </c>
      <c r="B2" s="9" t="s">
        <v>319</v>
      </c>
      <c r="C2" s="9" t="s">
        <v>648</v>
      </c>
      <c r="D2" s="9" t="s">
        <v>649</v>
      </c>
      <c r="E2" s="9" t="s">
        <v>301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S2" s="9" t="n">
        <f aca="false">(H2*M2)/0.000001</f>
        <v>78540</v>
      </c>
      <c r="Y2" s="11"/>
      <c r="AC2" s="9" t="s">
        <v>650</v>
      </c>
    </row>
    <row r="3" customFormat="false" ht="13.8" hidden="false" customHeight="false" outlineLevel="0" collapsed="false">
      <c r="A3" s="9" t="s">
        <v>651</v>
      </c>
      <c r="B3" s="9" t="s">
        <v>652</v>
      </c>
      <c r="C3" s="9" t="s">
        <v>653</v>
      </c>
      <c r="D3" s="9" t="s">
        <v>649</v>
      </c>
      <c r="E3" s="9" t="s">
        <v>296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v>0.03</v>
      </c>
      <c r="R3" s="9" t="n">
        <v>0.136836</v>
      </c>
      <c r="S3" s="9" t="n">
        <f aca="false">(H3*M3)/0.000001</f>
        <v>8160</v>
      </c>
      <c r="Y3" s="11"/>
      <c r="AC3" s="9" t="s">
        <v>654</v>
      </c>
    </row>
    <row r="4" customFormat="false" ht="13.8" hidden="false" customHeight="false" outlineLevel="0" collapsed="false">
      <c r="A4" s="9" t="s">
        <v>655</v>
      </c>
      <c r="B4" s="9" t="s">
        <v>495</v>
      </c>
      <c r="C4" s="9" t="s">
        <v>496</v>
      </c>
      <c r="D4" s="9" t="s">
        <v>649</v>
      </c>
      <c r="E4" s="9" t="s">
        <v>296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0.1443</v>
      </c>
      <c r="S4" s="9" t="n">
        <f aca="false">(H4*M4)/0.000001</f>
        <v>160000</v>
      </c>
      <c r="T4" s="9" t="n">
        <f aca="false">(4*PI()*Q4*R4*H4^2)/0.000001</f>
        <v>1021265.92390002</v>
      </c>
      <c r="Y4" s="11" t="n">
        <v>7.5</v>
      </c>
      <c r="Z4" s="9" t="n">
        <v>3</v>
      </c>
      <c r="AC4" s="9" t="s">
        <v>656</v>
      </c>
    </row>
    <row r="5" customFormat="false" ht="13.8" hidden="false" customHeight="false" outlineLevel="0" collapsed="false">
      <c r="A5" s="9" t="s">
        <v>657</v>
      </c>
      <c r="B5" s="9" t="s">
        <v>591</v>
      </c>
      <c r="C5" s="9" t="s">
        <v>658</v>
      </c>
      <c r="D5" s="9" t="s">
        <v>649</v>
      </c>
      <c r="E5" s="9" t="s">
        <v>286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v>0.032</v>
      </c>
      <c r="Q5" s="9" t="n">
        <v>0.5</v>
      </c>
      <c r="R5" s="9" t="n">
        <v>0.04</v>
      </c>
      <c r="S5" s="9" t="n">
        <f aca="false">(H5*M5)/0.000001</f>
        <v>1600</v>
      </c>
      <c r="T5" s="9" t="n">
        <f aca="false">(4*PI()*Q5*R5*H5^2)/0.000001</f>
        <v>628.318530717959</v>
      </c>
      <c r="Y5" s="11"/>
      <c r="AC5" s="9" t="s">
        <v>659</v>
      </c>
    </row>
    <row r="6" customFormat="false" ht="13.8" hidden="false" customHeight="false" outlineLevel="0" collapsed="false">
      <c r="A6" s="9" t="s">
        <v>660</v>
      </c>
      <c r="B6" s="9" t="s">
        <v>661</v>
      </c>
      <c r="C6" s="9" t="s">
        <v>662</v>
      </c>
      <c r="D6" s="9" t="s">
        <v>663</v>
      </c>
      <c r="E6" s="9" t="s">
        <v>296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v>0.41569</v>
      </c>
      <c r="S6" s="9" t="n">
        <f aca="false">(H6*M6)/0.000001</f>
        <v>13162.5</v>
      </c>
      <c r="T6" s="9" t="n">
        <f aca="false">(4*PI()*Q6*R6*H6^2)/0.000001</f>
        <v>734584.865721042</v>
      </c>
      <c r="Y6" s="11"/>
      <c r="AC6" s="9" t="s">
        <v>664</v>
      </c>
    </row>
    <row r="7" customFormat="false" ht="13.8" hidden="false" customHeight="false" outlineLevel="0" collapsed="false">
      <c r="A7" s="9" t="s">
        <v>665</v>
      </c>
      <c r="B7" s="9" t="s">
        <v>289</v>
      </c>
      <c r="C7" s="9" t="s">
        <v>666</v>
      </c>
      <c r="D7" s="9" t="s">
        <v>663</v>
      </c>
      <c r="E7" s="9" t="s">
        <v>296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S7" s="9" t="n">
        <f aca="false">(H7*M7)/0.000001</f>
        <v>69000</v>
      </c>
      <c r="Y7" s="11"/>
      <c r="AC7" s="9" t="s">
        <v>667</v>
      </c>
    </row>
    <row r="8" customFormat="false" ht="13.8" hidden="false" customHeight="false" outlineLevel="0" collapsed="false">
      <c r="A8" s="9" t="s">
        <v>668</v>
      </c>
      <c r="B8" s="9" t="s">
        <v>669</v>
      </c>
      <c r="C8" s="9" t="s">
        <v>670</v>
      </c>
      <c r="D8" s="9" t="s">
        <v>663</v>
      </c>
      <c r="E8" s="9" t="s">
        <v>301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f aca="false">(H8*M8)/0.000001</f>
        <v>60000</v>
      </c>
      <c r="U8" s="9" t="n">
        <v>0.15</v>
      </c>
      <c r="V8" s="10" t="n">
        <v>0.25</v>
      </c>
      <c r="Y8" s="11"/>
      <c r="AB8" s="9" t="n">
        <v>0.1</v>
      </c>
      <c r="AC8" s="1" t="s">
        <v>671</v>
      </c>
    </row>
    <row r="9" customFormat="false" ht="13.8" hidden="false" customHeight="false" outlineLevel="0" collapsed="false">
      <c r="A9" s="9" t="s">
        <v>672</v>
      </c>
      <c r="B9" s="9" t="s">
        <v>673</v>
      </c>
      <c r="C9" s="9" t="s">
        <v>674</v>
      </c>
      <c r="D9" s="9" t="s">
        <v>663</v>
      </c>
      <c r="E9" s="9" t="s">
        <v>296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R9" s="9" t="n">
        <f aca="false">ROUND(TAN(RADIANS(10))*0.1,2)</f>
        <v>0.02</v>
      </c>
      <c r="S9" s="9" t="n">
        <f aca="false">(H9*M9)/0.000001</f>
        <v>79200</v>
      </c>
      <c r="T9" s="9" t="n">
        <f aca="false">(4*PI()*Q9*R9*H9^2)/0.000001</f>
        <v>49265.1993565337</v>
      </c>
      <c r="U9" s="9" t="n">
        <v>260</v>
      </c>
      <c r="Y9" s="11"/>
      <c r="AC9" s="9" t="s">
        <v>675</v>
      </c>
    </row>
    <row r="10" customFormat="false" ht="13.8" hidden="false" customHeight="false" outlineLevel="0" collapsed="false">
      <c r="A10" s="9" t="s">
        <v>676</v>
      </c>
      <c r="B10" s="9" t="s">
        <v>677</v>
      </c>
      <c r="C10" s="9" t="s">
        <v>678</v>
      </c>
      <c r="D10" s="9" t="s">
        <v>663</v>
      </c>
      <c r="E10" s="9" t="s">
        <v>296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f aca="false">(H10*M10)/0.000001</f>
        <v>149000</v>
      </c>
      <c r="U10" s="9" t="n">
        <v>2.2</v>
      </c>
      <c r="X10" s="9"/>
      <c r="Y10" s="11"/>
      <c r="AC10" s="9" t="s">
        <v>679</v>
      </c>
    </row>
    <row r="11" customFormat="false" ht="13.8" hidden="false" customHeight="false" outlineLevel="0" collapsed="false">
      <c r="A11" s="9" t="s">
        <v>680</v>
      </c>
      <c r="B11" s="9" t="s">
        <v>677</v>
      </c>
      <c r="C11" s="9" t="s">
        <v>678</v>
      </c>
      <c r="D11" s="9" t="s">
        <v>663</v>
      </c>
      <c r="E11" s="9" t="s">
        <v>296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S11" s="9" t="n">
        <f aca="false">(H11*M11)/0.000001</f>
        <v>130000</v>
      </c>
      <c r="Y11" s="11"/>
      <c r="AC11" s="9" t="s">
        <v>681</v>
      </c>
    </row>
    <row r="12" customFormat="false" ht="13.8" hidden="false" customHeight="false" outlineLevel="0" collapsed="false">
      <c r="A12" s="9" t="s">
        <v>682</v>
      </c>
      <c r="B12" s="9" t="s">
        <v>677</v>
      </c>
      <c r="C12" s="9" t="s">
        <v>678</v>
      </c>
      <c r="D12" s="9" t="s">
        <v>663</v>
      </c>
      <c r="E12" s="9" t="s">
        <v>301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f aca="false">(H12*M12)/0.000001</f>
        <v>79200</v>
      </c>
      <c r="U12" s="9" t="n">
        <v>0.16</v>
      </c>
      <c r="W12" s="9" t="n">
        <v>10</v>
      </c>
      <c r="Y12" s="11"/>
      <c r="AC12" s="9" t="s">
        <v>683</v>
      </c>
    </row>
    <row r="13" customFormat="false" ht="13.8" hidden="false" customHeight="false" outlineLevel="0" collapsed="false">
      <c r="A13" s="9" t="s">
        <v>684</v>
      </c>
      <c r="B13" s="9" t="s">
        <v>685</v>
      </c>
      <c r="C13" s="9" t="s">
        <v>428</v>
      </c>
      <c r="D13" s="9" t="s">
        <v>686</v>
      </c>
      <c r="E13" s="9" t="s">
        <v>296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R13" s="9" t="n">
        <f aca="false">ROUND(TAN(RADIANS(40))*0.165,2)</f>
        <v>0.14</v>
      </c>
      <c r="S13" s="9" t="n">
        <f aca="false">(H13*M13)/0.000001</f>
        <v>436590</v>
      </c>
      <c r="T13" s="9" t="n">
        <f aca="false">(4*PI()*Q13*R13*H13^2)/0.000001</f>
        <v>6158679.21509699</v>
      </c>
      <c r="U13" s="9" t="n">
        <v>55</v>
      </c>
      <c r="Y13" s="11"/>
      <c r="AC13" s="12" t="s">
        <v>687</v>
      </c>
    </row>
    <row r="14" customFormat="false" ht="13.8" hidden="false" customHeight="false" outlineLevel="0" collapsed="false">
      <c r="A14" s="9" t="s">
        <v>688</v>
      </c>
      <c r="B14" s="9" t="s">
        <v>689</v>
      </c>
      <c r="C14" s="9" t="s">
        <v>690</v>
      </c>
      <c r="D14" s="9" t="s">
        <v>686</v>
      </c>
      <c r="E14" s="9" t="s">
        <v>296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f aca="false">ROUND(TAN(RADIANS(40))*0.1,2)</f>
        <v>0.08</v>
      </c>
      <c r="S14" s="9" t="n">
        <f aca="false">(H14*M14)/0.000001</f>
        <v>291456</v>
      </c>
      <c r="T14" s="9" t="n">
        <f aca="false">(4*PI()*Q14*R14*H14^2)/0.000001</f>
        <v>784183.990615593</v>
      </c>
      <c r="Y14" s="11"/>
      <c r="AC14" s="12" t="s">
        <v>691</v>
      </c>
    </row>
    <row r="15" customFormat="false" ht="13.8" hidden="false" customHeight="false" outlineLevel="0" collapsed="false">
      <c r="A15" s="9" t="s">
        <v>692</v>
      </c>
      <c r="B15" s="9" t="s">
        <v>693</v>
      </c>
      <c r="C15" s="9" t="s">
        <v>694</v>
      </c>
      <c r="D15" s="9" t="s">
        <v>686</v>
      </c>
      <c r="E15" s="9" t="s">
        <v>291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S15" s="9" t="n">
        <f aca="false">(H15*M15)/0.000001</f>
        <v>3432</v>
      </c>
      <c r="Y15" s="11"/>
      <c r="AC15" s="12" t="s">
        <v>695</v>
      </c>
    </row>
    <row r="16" customFormat="false" ht="13.8" hidden="false" customHeight="false" outlineLevel="0" collapsed="false">
      <c r="A16" s="9" t="s">
        <v>696</v>
      </c>
      <c r="B16" s="9" t="s">
        <v>697</v>
      </c>
      <c r="C16" s="9" t="s">
        <v>698</v>
      </c>
      <c r="D16" s="9" t="s">
        <v>686</v>
      </c>
      <c r="E16" s="9" t="s">
        <v>296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f aca="false">ROUND(TAN(RADIANS(39.5))*(I16/3),2)</f>
        <v>0.11</v>
      </c>
      <c r="S16" s="9" t="n">
        <f aca="false">(H16*M16)/0.000001</f>
        <v>154400</v>
      </c>
      <c r="T16" s="9" t="n">
        <f aca="false">(4*PI()*Q16*R16*H16^2)/0.000001</f>
        <v>1327008.73687633</v>
      </c>
      <c r="Y16" s="11"/>
      <c r="AC16" s="12" t="s">
        <v>699</v>
      </c>
    </row>
    <row r="17" customFormat="false" ht="13.8" hidden="false" customHeight="false" outlineLevel="0" collapsed="false">
      <c r="A17" s="9" t="s">
        <v>700</v>
      </c>
      <c r="B17" s="9" t="s">
        <v>455</v>
      </c>
      <c r="C17" s="9" t="s">
        <v>588</v>
      </c>
      <c r="D17" s="9" t="s">
        <v>701</v>
      </c>
      <c r="E17" s="9" t="s">
        <v>301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f aca="false">ROUND(TAN(RADIANS(40))*0.2,2)</f>
        <v>0.17</v>
      </c>
      <c r="S17" s="9" t="n">
        <f aca="false">(H17*M17)/0.000001</f>
        <v>350000</v>
      </c>
      <c r="T17" s="9" t="n">
        <f aca="false">(4*PI()*Q17*R17*H17^2)/0.000001</f>
        <v>1068141.50222053</v>
      </c>
      <c r="V17" s="10" t="n">
        <v>3</v>
      </c>
      <c r="Y17" s="11"/>
      <c r="AC17" s="9" t="s">
        <v>702</v>
      </c>
    </row>
    <row r="18" customFormat="false" ht="13.8" hidden="false" customHeight="false" outlineLevel="0" collapsed="false">
      <c r="A18" s="9" t="s">
        <v>703</v>
      </c>
      <c r="B18" s="9" t="s">
        <v>486</v>
      </c>
      <c r="C18" s="9" t="s">
        <v>588</v>
      </c>
      <c r="D18" s="9" t="s">
        <v>701</v>
      </c>
      <c r="E18" s="9" t="s">
        <v>301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S18" s="9" t="n">
        <f aca="false">(H18*M18)/0.000001</f>
        <v>240000</v>
      </c>
      <c r="Y18" s="11"/>
      <c r="AC18" s="9" t="s">
        <v>704</v>
      </c>
    </row>
    <row r="19" customFormat="false" ht="13.8" hidden="false" customHeight="false" outlineLevel="0" collapsed="false">
      <c r="A19" s="9" t="s">
        <v>705</v>
      </c>
      <c r="B19" s="9" t="s">
        <v>706</v>
      </c>
      <c r="C19" s="9" t="s">
        <v>588</v>
      </c>
      <c r="D19" s="9" t="s">
        <v>701</v>
      </c>
      <c r="E19" s="9" t="s">
        <v>301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S19" s="9" t="n">
        <f aca="false">(H19*M19)/0.000001</f>
        <v>200000</v>
      </c>
      <c r="Y19" s="11"/>
      <c r="AC19" s="9" t="s">
        <v>461</v>
      </c>
    </row>
    <row r="20" customFormat="false" ht="13.8" hidden="false" customHeight="false" outlineLevel="0" collapsed="false">
      <c r="A20" s="9" t="s">
        <v>707</v>
      </c>
      <c r="B20" s="9" t="s">
        <v>706</v>
      </c>
      <c r="C20" s="9" t="s">
        <v>588</v>
      </c>
      <c r="D20" s="9" t="s">
        <v>701</v>
      </c>
      <c r="E20" s="9" t="s">
        <v>301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0.48</v>
      </c>
      <c r="M20" s="9" t="n">
        <f aca="false">L20</f>
        <v>0.48</v>
      </c>
      <c r="Q20" s="9" t="n">
        <v>0.5</v>
      </c>
      <c r="R20" s="9" t="n">
        <f aca="false">ROUND(TAN(RADIANS(40))*(I20/2),2)</f>
        <v>0.35</v>
      </c>
      <c r="S20" s="9" t="n">
        <f aca="false">(H20*M20)/0.000001</f>
        <v>220800</v>
      </c>
      <c r="T20" s="9" t="n">
        <f aca="false">(4*PI()*Q20*R20*H20^2)/0.000001</f>
        <v>465332.70384972</v>
      </c>
      <c r="Y20" s="11"/>
      <c r="AC20" s="9" t="s">
        <v>461</v>
      </c>
    </row>
    <row r="21" customFormat="false" ht="13.8" hidden="false" customHeight="false" outlineLevel="0" collapsed="false">
      <c r="A21" s="9" t="s">
        <v>708</v>
      </c>
      <c r="B21" s="9" t="s">
        <v>709</v>
      </c>
      <c r="C21" s="9" t="s">
        <v>710</v>
      </c>
      <c r="D21" s="9" t="s">
        <v>701</v>
      </c>
      <c r="E21" s="9" t="s">
        <v>296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f aca="false">ROUND(TAN(RADIANS(40))*(I21/2),2)</f>
        <v>0.25</v>
      </c>
      <c r="S21" s="9" t="n">
        <f aca="false">(H21*M21)/0.000001</f>
        <v>350000</v>
      </c>
      <c r="T21" s="9" t="n">
        <f aca="false">(4*PI()*Q21*R21*H21^2)/0.000001</f>
        <v>628318.530717959</v>
      </c>
      <c r="Y21" s="11"/>
      <c r="AC21" s="9" t="s">
        <v>711</v>
      </c>
    </row>
    <row r="22" customFormat="false" ht="13.8" hidden="false" customHeight="false" outlineLevel="0" collapsed="false">
      <c r="A22" s="9" t="s">
        <v>712</v>
      </c>
      <c r="B22" s="9" t="s">
        <v>709</v>
      </c>
      <c r="C22" s="9" t="s">
        <v>710</v>
      </c>
      <c r="D22" s="9" t="s">
        <v>701</v>
      </c>
      <c r="E22" s="9" t="s">
        <v>296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R22" s="9" t="n">
        <f aca="false">ROUND(TAN(RADIANS(20))*(I22/2),2)</f>
        <v>0.16</v>
      </c>
      <c r="S22" s="9" t="n">
        <f aca="false">(H22*M22)/0.000001</f>
        <v>403000</v>
      </c>
      <c r="T22" s="9" t="n">
        <f aca="false">(4*PI()*Q22*R22*H22^2)/0.000001</f>
        <v>1698973.30706136</v>
      </c>
      <c r="Y22" s="11"/>
      <c r="AC22" s="9" t="s">
        <v>713</v>
      </c>
    </row>
    <row r="23" customFormat="false" ht="13.8" hidden="false" customHeight="false" outlineLevel="0" collapsed="false">
      <c r="A23" s="9" t="s">
        <v>714</v>
      </c>
      <c r="B23" s="9" t="s">
        <v>706</v>
      </c>
      <c r="C23" s="9" t="s">
        <v>710</v>
      </c>
      <c r="D23" s="9" t="s">
        <v>701</v>
      </c>
      <c r="E23" s="9" t="s">
        <v>383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S23" s="9" t="n">
        <f aca="false">(H23*M23)/0.000001</f>
        <v>350000</v>
      </c>
      <c r="T23" s="9" t="n">
        <f aca="false">(4*PI()*Q23*R23*H23^2)/0.000001</f>
        <v>345575.191894877</v>
      </c>
      <c r="Y23" s="11"/>
      <c r="AC23" s="9" t="s">
        <v>715</v>
      </c>
    </row>
    <row r="24" customFormat="false" ht="13.8" hidden="false" customHeight="false" outlineLevel="0" collapsed="false">
      <c r="A24" s="9" t="s">
        <v>716</v>
      </c>
      <c r="B24" s="9" t="s">
        <v>706</v>
      </c>
      <c r="C24" s="9" t="s">
        <v>710</v>
      </c>
      <c r="D24" s="9" t="s">
        <v>701</v>
      </c>
      <c r="E24" s="9" t="s">
        <v>383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0.052</v>
      </c>
      <c r="S24" s="9" t="n">
        <f aca="false">(H24*M24)/0.000001</f>
        <v>630000</v>
      </c>
      <c r="T24" s="9" t="n">
        <f aca="false">(4*PI()*Q24*R24*H24^2)/0.000001</f>
        <v>384229.347904646</v>
      </c>
      <c r="Y24" s="11"/>
      <c r="AC24" s="9" t="s">
        <v>717</v>
      </c>
    </row>
    <row r="25" customFormat="false" ht="13.8" hidden="false" customHeight="false" outlineLevel="0" collapsed="false">
      <c r="A25" s="9" t="s">
        <v>718</v>
      </c>
      <c r="B25" s="9" t="s">
        <v>719</v>
      </c>
      <c r="C25" s="9" t="s">
        <v>719</v>
      </c>
      <c r="D25" s="9" t="s">
        <v>701</v>
      </c>
      <c r="E25" s="9" t="s">
        <v>301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S25" s="9" t="n">
        <f aca="false">(H25*M25)/0.000001</f>
        <v>307500</v>
      </c>
      <c r="W25" s="9" t="n">
        <v>0.5</v>
      </c>
      <c r="X25" s="10" t="n">
        <v>0.5</v>
      </c>
      <c r="Y25" s="11"/>
      <c r="AC25" s="9" t="s">
        <v>720</v>
      </c>
    </row>
    <row r="26" customFormat="false" ht="13.8" hidden="false" customHeight="false" outlineLevel="0" collapsed="false">
      <c r="A26" s="9" t="s">
        <v>721</v>
      </c>
      <c r="B26" s="9" t="s">
        <v>289</v>
      </c>
      <c r="C26" s="9" t="s">
        <v>290</v>
      </c>
      <c r="D26" s="9" t="s">
        <v>701</v>
      </c>
      <c r="E26" s="9" t="s">
        <v>291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0.057</v>
      </c>
      <c r="S26" s="9" t="n">
        <f aca="false">(H26*M26)/0.000001</f>
        <v>7581</v>
      </c>
      <c r="T26" s="9" t="n">
        <f aca="false">(4*PI()*Q26*R26*H26^2)/0.000001</f>
        <v>16218.0252140183</v>
      </c>
      <c r="V26" s="10" t="n">
        <v>0.118</v>
      </c>
      <c r="Y26" s="11"/>
      <c r="AC26" s="9" t="s">
        <v>722</v>
      </c>
    </row>
    <row r="27" customFormat="false" ht="13.8" hidden="false" customHeight="false" outlineLevel="0" collapsed="false">
      <c r="A27" s="9" t="s">
        <v>723</v>
      </c>
      <c r="B27" s="9" t="s">
        <v>724</v>
      </c>
      <c r="C27" s="9" t="s">
        <v>309</v>
      </c>
      <c r="D27" s="9" t="s">
        <v>701</v>
      </c>
      <c r="E27" s="9" t="s">
        <v>296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S27" s="9" t="n">
        <f aca="false">(H27*M27)/0.000001</f>
        <v>117000</v>
      </c>
      <c r="Y27" s="11"/>
      <c r="AC27" s="9" t="s">
        <v>725</v>
      </c>
    </row>
    <row r="28" customFormat="false" ht="13.8" hidden="false" customHeight="false" outlineLevel="0" collapsed="false">
      <c r="A28" s="9" t="s">
        <v>726</v>
      </c>
      <c r="B28" s="9" t="s">
        <v>727</v>
      </c>
      <c r="C28" s="9" t="s">
        <v>728</v>
      </c>
      <c r="D28" s="9" t="s">
        <v>701</v>
      </c>
      <c r="E28" s="9" t="s">
        <v>286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0.00275</v>
      </c>
      <c r="S28" s="9" t="n">
        <f aca="false">(H28*M28)/0.000001</f>
        <v>3240</v>
      </c>
      <c r="T28" s="9" t="n">
        <f aca="false">(4*PI()*Q28*R28*H28^2)/0.000001</f>
        <v>1399.57952717425</v>
      </c>
      <c r="Y28" s="11"/>
      <c r="AC28" s="9" t="s">
        <v>729</v>
      </c>
    </row>
    <row r="29" customFormat="false" ht="13.8" hidden="false" customHeight="false" outlineLevel="0" collapsed="false">
      <c r="A29" s="9" t="s">
        <v>730</v>
      </c>
      <c r="B29" s="9" t="s">
        <v>731</v>
      </c>
      <c r="C29" s="9" t="s">
        <v>496</v>
      </c>
      <c r="D29" s="9" t="s">
        <v>701</v>
      </c>
      <c r="E29" s="9" t="s">
        <v>296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S29" s="9" t="n">
        <f aca="false">(H29*M29)/0.000001</f>
        <v>200000</v>
      </c>
      <c r="V29" s="10" t="n">
        <v>0.1</v>
      </c>
      <c r="Y29" s="11"/>
      <c r="AC29" s="9" t="s">
        <v>732</v>
      </c>
    </row>
    <row r="30" customFormat="false" ht="13.8" hidden="false" customHeight="false" outlineLevel="0" collapsed="false">
      <c r="A30" s="9" t="s">
        <v>733</v>
      </c>
      <c r="B30" s="9" t="s">
        <v>495</v>
      </c>
      <c r="C30" s="9" t="s">
        <v>496</v>
      </c>
      <c r="D30" s="9" t="s">
        <v>701</v>
      </c>
      <c r="E30" s="9" t="s">
        <v>296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R30" s="9" t="n">
        <f aca="false">ROUND(TAN(RADIANS(40))*0.43,2)</f>
        <v>0.36</v>
      </c>
      <c r="S30" s="9" t="n">
        <f aca="false">(H30*M30)/0.000001</f>
        <v>111000</v>
      </c>
      <c r="T30" s="9" t="n">
        <f aca="false">(4*PI()*Q30*R30*H30^2)/0.000001</f>
        <v>928981.514037116</v>
      </c>
      <c r="V30" s="10" t="n">
        <v>0.01</v>
      </c>
      <c r="Y30" s="11"/>
      <c r="AC30" s="9" t="s">
        <v>734</v>
      </c>
    </row>
    <row r="31" customFormat="false" ht="13.8" hidden="false" customHeight="false" outlineLevel="0" collapsed="false">
      <c r="A31" s="9" t="s">
        <v>735</v>
      </c>
      <c r="B31" s="9" t="s">
        <v>736</v>
      </c>
      <c r="C31" s="9" t="s">
        <v>737</v>
      </c>
      <c r="D31" s="9" t="s">
        <v>701</v>
      </c>
      <c r="E31" s="9" t="s">
        <v>296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R31" s="9" t="n">
        <f aca="false">ROUND(TAN(RADIANS(45))*(I31/2),2)</f>
        <v>0.25</v>
      </c>
      <c r="S31" s="9" t="n">
        <f aca="false">(H31*M31)/0.000001</f>
        <v>39000</v>
      </c>
      <c r="T31" s="9" t="n">
        <f aca="false">(4*PI()*Q31*R31*H31^2)/0.000001</f>
        <v>282743.338823081</v>
      </c>
      <c r="Y31" s="11"/>
      <c r="AC31" s="9" t="s">
        <v>738</v>
      </c>
    </row>
    <row r="32" customFormat="false" ht="13.8" hidden="false" customHeight="false" outlineLevel="0" collapsed="false">
      <c r="A32" s="9" t="s">
        <v>739</v>
      </c>
      <c r="B32" s="9" t="s">
        <v>740</v>
      </c>
      <c r="C32" s="9" t="s">
        <v>741</v>
      </c>
      <c r="D32" s="9" t="s">
        <v>701</v>
      </c>
      <c r="E32" s="9" t="s">
        <v>383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0.04</v>
      </c>
      <c r="S32" s="9" t="n">
        <f aca="false">(H32*M32)/0.000001</f>
        <v>15000</v>
      </c>
      <c r="T32" s="9" t="n">
        <f aca="false">(4*PI()*Q32*R32*H32^2)/0.000001</f>
        <v>113097.335529233</v>
      </c>
      <c r="Y32" s="11"/>
      <c r="AC32" s="9" t="s">
        <v>742</v>
      </c>
    </row>
    <row r="33" customFormat="false" ht="13.8" hidden="false" customHeight="false" outlineLevel="0" collapsed="false">
      <c r="A33" s="9" t="s">
        <v>743</v>
      </c>
      <c r="B33" s="9" t="s">
        <v>744</v>
      </c>
      <c r="C33" s="9" t="s">
        <v>745</v>
      </c>
      <c r="D33" s="9" t="s">
        <v>701</v>
      </c>
      <c r="E33" s="9" t="s">
        <v>746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S33" s="9" t="n">
        <f aca="false">(H33*M33)/0.000001</f>
        <v>315</v>
      </c>
      <c r="Y33" s="11"/>
      <c r="AC33" s="9" t="s">
        <v>747</v>
      </c>
    </row>
    <row r="34" customFormat="false" ht="13.8" hidden="false" customHeight="false" outlineLevel="0" collapsed="false">
      <c r="A34" s="9" t="s">
        <v>748</v>
      </c>
      <c r="B34" s="9" t="s">
        <v>749</v>
      </c>
      <c r="C34" s="9" t="s">
        <v>745</v>
      </c>
      <c r="D34" s="9" t="s">
        <v>701</v>
      </c>
      <c r="E34" s="9" t="s">
        <v>746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0.015</v>
      </c>
      <c r="S34" s="9" t="n">
        <f aca="false">(H34*M34)/0.000001</f>
        <v>700</v>
      </c>
      <c r="T34" s="9" t="n">
        <f aca="false">(4*PI()*Q34*R34*H34^2)/0.000001</f>
        <v>1477.80518424864</v>
      </c>
      <c r="Y34" s="11"/>
      <c r="AC34" s="9" t="s">
        <v>750</v>
      </c>
    </row>
    <row r="35" customFormat="false" ht="13.8" hidden="false" customHeight="false" outlineLevel="0" collapsed="false">
      <c r="A35" s="9" t="s">
        <v>751</v>
      </c>
      <c r="B35" s="9" t="s">
        <v>752</v>
      </c>
      <c r="C35" s="9" t="s">
        <v>753</v>
      </c>
      <c r="D35" s="9" t="s">
        <v>701</v>
      </c>
      <c r="E35" s="9" t="s">
        <v>329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0.025</v>
      </c>
      <c r="S35" s="9" t="n">
        <f aca="false">(H35*M35)/0.000001</f>
        <v>22000</v>
      </c>
      <c r="T35" s="9" t="n">
        <f aca="false">(4*PI()*Q35*R35*H35^2)/0.000001</f>
        <v>38013.2711084365</v>
      </c>
      <c r="Y35" s="11"/>
      <c r="AC35" s="9" t="s">
        <v>754</v>
      </c>
    </row>
    <row r="36" customFormat="false" ht="13.8" hidden="false" customHeight="false" outlineLevel="0" collapsed="false">
      <c r="A36" s="9" t="s">
        <v>482</v>
      </c>
      <c r="B36" s="9" t="s">
        <v>278</v>
      </c>
      <c r="C36" s="9" t="s">
        <v>753</v>
      </c>
      <c r="D36" s="9" t="s">
        <v>701</v>
      </c>
      <c r="E36" s="9" t="s">
        <v>483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S36" s="9" t="n">
        <f aca="false">(H36*M36)/0.000001</f>
        <v>54240</v>
      </c>
      <c r="Y36" s="11"/>
      <c r="AC36" s="9" t="s">
        <v>484</v>
      </c>
    </row>
    <row r="37" customFormat="false" ht="13.8" hidden="false" customHeight="false" outlineLevel="0" collapsed="false">
      <c r="A37" s="9" t="s">
        <v>755</v>
      </c>
      <c r="B37" s="9" t="s">
        <v>756</v>
      </c>
      <c r="C37" s="9" t="s">
        <v>757</v>
      </c>
      <c r="D37" s="9" t="s">
        <v>701</v>
      </c>
      <c r="E37" s="9" t="s">
        <v>296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</v>
      </c>
      <c r="S37" s="9" t="n">
        <f aca="false">(H37*M37)/0.000001</f>
        <v>355000</v>
      </c>
      <c r="T37" s="9" t="n">
        <f aca="false">(4*PI()*Q37*R37*H37^2)/0.000001</f>
        <v>950206.114004769</v>
      </c>
      <c r="Y37" s="11"/>
      <c r="AC37" s="9" t="s">
        <v>758</v>
      </c>
    </row>
    <row r="38" customFormat="false" ht="13.8" hidden="false" customHeight="false" outlineLevel="0" collapsed="false">
      <c r="A38" s="9" t="s">
        <v>759</v>
      </c>
      <c r="B38" s="9" t="s">
        <v>400</v>
      </c>
      <c r="C38" s="9" t="s">
        <v>407</v>
      </c>
      <c r="D38" s="9" t="s">
        <v>701</v>
      </c>
      <c r="E38" s="9" t="s">
        <v>746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f aca="false">0.2*0.1</f>
        <v>0.02</v>
      </c>
      <c r="S38" s="9" t="n">
        <f aca="false">(H38*M38)/0.000001</f>
        <v>14700</v>
      </c>
      <c r="T38" s="9" t="n">
        <f aca="false">(4*PI()*Q38*R38*H38^2)/0.000001</f>
        <v>1740.11560445277</v>
      </c>
      <c r="Y38" s="11"/>
      <c r="AC38" s="9" t="s">
        <v>760</v>
      </c>
    </row>
    <row r="39" customFormat="false" ht="13.8" hidden="false" customHeight="false" outlineLevel="0" collapsed="false">
      <c r="A39" s="9" t="s">
        <v>761</v>
      </c>
      <c r="B39" s="9" t="s">
        <v>400</v>
      </c>
      <c r="C39" s="9" t="s">
        <v>407</v>
      </c>
      <c r="D39" s="9" t="s">
        <v>701</v>
      </c>
      <c r="E39" s="9" t="s">
        <v>286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f aca="false">0.45*0.085</f>
        <v>0.03825</v>
      </c>
      <c r="S39" s="9" t="n">
        <f aca="false">(H39*M39)/0.000001</f>
        <v>810.7</v>
      </c>
      <c r="T39" s="9" t="n">
        <f aca="false">(4*PI()*Q39*R39*H39^2)/0.000001</f>
        <v>971.277090091661</v>
      </c>
      <c r="Y39" s="11"/>
      <c r="AC39" s="9" t="s">
        <v>762</v>
      </c>
    </row>
    <row r="40" customFormat="false" ht="13.8" hidden="false" customHeight="false" outlineLevel="0" collapsed="false">
      <c r="A40" s="9" t="s">
        <v>763</v>
      </c>
      <c r="B40" s="9" t="s">
        <v>393</v>
      </c>
      <c r="C40" s="9" t="s">
        <v>764</v>
      </c>
      <c r="D40" s="9" t="s">
        <v>701</v>
      </c>
      <c r="E40" s="9" t="s">
        <v>765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S40" s="9" t="n">
        <f aca="false">(H40*M40)/0.000001</f>
        <v>5952</v>
      </c>
      <c r="V40" s="10" t="n">
        <v>0.085</v>
      </c>
      <c r="X40" s="10" t="n">
        <v>3.25</v>
      </c>
      <c r="Y40" s="11"/>
      <c r="AC40" s="9" t="s">
        <v>766</v>
      </c>
    </row>
    <row r="41" customFormat="false" ht="12.8" hidden="false" customHeight="false" outlineLevel="0" collapsed="false">
      <c r="A41" s="9" t="s">
        <v>767</v>
      </c>
      <c r="B41" s="9" t="s">
        <v>768</v>
      </c>
      <c r="C41" s="9" t="s">
        <v>769</v>
      </c>
      <c r="D41" s="9" t="s">
        <v>701</v>
      </c>
      <c r="E41" s="9" t="s">
        <v>296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  <c r="S41" s="9" t="n">
        <f aca="false">(H41*M41)/0.000001</f>
        <v>86250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T6" activeCellId="0" sqref="T6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13.25"/>
    <col collapsed="false" customWidth="true" hidden="false" outlineLevel="0" max="23" min="23" style="9" width="12.5"/>
    <col collapsed="false" customWidth="true" hidden="false" outlineLevel="0" max="24" min="24" style="10" width="13.25"/>
    <col collapsed="false" customWidth="true" hidden="false" outlineLevel="0" max="25" min="25" style="11" width="45.6"/>
    <col collapsed="false" customWidth="true" hidden="false" outlineLevel="0" max="68" min="26" style="9" width="10.61"/>
    <col collapsed="false" customWidth="true" hidden="false" outlineLevel="0" max="69" min="69" style="11" width="9"/>
  </cols>
  <sheetData>
    <row r="1" customFormat="fals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customFormat="false" ht="13.8" hidden="false" customHeight="false" outlineLevel="0" collapsed="false">
      <c r="A2" s="9" t="s">
        <v>770</v>
      </c>
      <c r="B2" s="9" t="s">
        <v>719</v>
      </c>
      <c r="C2" s="9" t="s">
        <v>719</v>
      </c>
      <c r="D2" s="9" t="s">
        <v>771</v>
      </c>
      <c r="E2" s="9" t="s">
        <v>301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S2" s="9" t="n">
        <f aca="false">(M2*H2)/0.000001</f>
        <v>1069530</v>
      </c>
      <c r="X2" s="10" t="n">
        <v>7</v>
      </c>
      <c r="AC2" s="11" t="s">
        <v>772</v>
      </c>
    </row>
    <row r="3" customFormat="false" ht="13.8" hidden="false" customHeight="false" outlineLevel="0" collapsed="false">
      <c r="A3" s="9" t="s">
        <v>773</v>
      </c>
      <c r="B3" s="9" t="s">
        <v>774</v>
      </c>
      <c r="C3" s="9" t="s">
        <v>775</v>
      </c>
      <c r="D3" s="9" t="s">
        <v>771</v>
      </c>
      <c r="E3" s="9" t="s">
        <v>296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f aca="false">(M3*H3)/0.000001</f>
        <v>10500</v>
      </c>
      <c r="U3" s="9" t="n">
        <v>11.5</v>
      </c>
      <c r="AC3" s="11" t="s">
        <v>776</v>
      </c>
    </row>
    <row r="4" customFormat="false" ht="13.8" hidden="false" customHeight="false" outlineLevel="0" collapsed="false">
      <c r="A4" s="9" t="s">
        <v>777</v>
      </c>
      <c r="B4" s="9" t="s">
        <v>778</v>
      </c>
      <c r="C4" s="9" t="s">
        <v>779</v>
      </c>
      <c r="D4" s="9" t="s">
        <v>771</v>
      </c>
      <c r="E4" s="9" t="s">
        <v>301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S4" s="9" t="n">
        <f aca="false">(M4*H4)/0.000001</f>
        <v>177800</v>
      </c>
      <c r="W4" s="9" t="n">
        <v>12.19</v>
      </c>
      <c r="AC4" s="11" t="s">
        <v>780</v>
      </c>
    </row>
    <row r="5" customFormat="false" ht="13.8" hidden="false" customHeight="false" outlineLevel="0" collapsed="false">
      <c r="A5" s="9" t="s">
        <v>781</v>
      </c>
      <c r="B5" s="9" t="s">
        <v>782</v>
      </c>
      <c r="C5" s="9" t="s">
        <v>783</v>
      </c>
      <c r="D5" s="9" t="s">
        <v>771</v>
      </c>
      <c r="E5" s="9" t="s">
        <v>301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v>0.0288</v>
      </c>
      <c r="S5" s="9" t="n">
        <f aca="false">(M5*H5)/0.000001</f>
        <v>600600</v>
      </c>
      <c r="T5" s="9" t="n">
        <f aca="false">(4*PI()*Q5*R5*H5^2)/0.000001</f>
        <v>1321121.64357091</v>
      </c>
      <c r="AC5" s="11" t="s">
        <v>784</v>
      </c>
    </row>
    <row r="6" customFormat="false" ht="13.8" hidden="false" customHeight="false" outlineLevel="0" collapsed="false">
      <c r="A6" s="9" t="s">
        <v>785</v>
      </c>
      <c r="B6" s="9" t="s">
        <v>786</v>
      </c>
      <c r="C6" s="9" t="s">
        <v>786</v>
      </c>
      <c r="D6" s="9" t="s">
        <v>771</v>
      </c>
      <c r="E6" s="9" t="s">
        <v>301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S6" s="9" t="n">
        <f aca="false">(M6*H6)/0.000001</f>
        <v>2000000</v>
      </c>
      <c r="W6" s="9" t="n">
        <v>100</v>
      </c>
      <c r="AC6" s="11" t="s">
        <v>787</v>
      </c>
    </row>
    <row r="7" customFormat="false" ht="13.8" hidden="false" customHeight="false" outlineLevel="0" collapsed="false">
      <c r="A7" s="9" t="s">
        <v>788</v>
      </c>
      <c r="B7" s="9" t="s">
        <v>673</v>
      </c>
      <c r="C7" s="9" t="s">
        <v>674</v>
      </c>
      <c r="D7" s="9" t="s">
        <v>771</v>
      </c>
      <c r="E7" s="9" t="s">
        <v>296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f aca="false">(M7*H7)/0.000001</f>
        <v>1212000</v>
      </c>
      <c r="U7" s="9" t="n">
        <v>37</v>
      </c>
      <c r="AC7" s="11" t="s">
        <v>789</v>
      </c>
    </row>
    <row r="8" customFormat="false" ht="13.8" hidden="false" customHeight="false" outlineLevel="0" collapsed="false">
      <c r="A8" s="9" t="s">
        <v>790</v>
      </c>
      <c r="B8" s="9" t="s">
        <v>752</v>
      </c>
      <c r="C8" s="9" t="s">
        <v>500</v>
      </c>
      <c r="D8" s="9" t="s">
        <v>771</v>
      </c>
      <c r="E8" s="9" t="s">
        <v>296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S8" s="9" t="n">
        <f aca="false">(M8*H8)/0.000001</f>
        <v>39600</v>
      </c>
      <c r="AC8" s="11" t="s">
        <v>791</v>
      </c>
    </row>
    <row r="9" customFormat="false" ht="13.8" hidden="false" customHeight="false" outlineLevel="0" collapsed="false">
      <c r="A9" s="9" t="s">
        <v>792</v>
      </c>
      <c r="B9" s="9" t="s">
        <v>793</v>
      </c>
      <c r="C9" s="9" t="s">
        <v>794</v>
      </c>
      <c r="D9" s="9" t="s">
        <v>771</v>
      </c>
      <c r="E9" s="9" t="s">
        <v>296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f aca="false">(M9*H9)/0.000001</f>
        <v>606000</v>
      </c>
      <c r="U9" s="9" t="n">
        <v>100</v>
      </c>
      <c r="W9" s="9" t="n">
        <v>100</v>
      </c>
      <c r="AC9" s="11" t="s">
        <v>795</v>
      </c>
    </row>
    <row r="10" customFormat="false" ht="13.8" hidden="false" customHeight="false" outlineLevel="0" collapsed="false">
      <c r="A10" s="9" t="s">
        <v>796</v>
      </c>
      <c r="B10" s="9" t="s">
        <v>797</v>
      </c>
      <c r="C10" s="9" t="s">
        <v>798</v>
      </c>
      <c r="D10" s="9" t="s">
        <v>771</v>
      </c>
      <c r="E10" s="9" t="s">
        <v>301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S10" s="9" t="n">
        <f aca="false">(M10*H10)/0.000001</f>
        <v>2040000</v>
      </c>
      <c r="W10" s="9" t="n">
        <v>100</v>
      </c>
      <c r="X10" s="10" t="n">
        <v>12</v>
      </c>
      <c r="AC10" s="11" t="s">
        <v>799</v>
      </c>
    </row>
    <row r="11" customFormat="false" ht="13.8" hidden="false" customHeight="false" outlineLevel="0" collapsed="false">
      <c r="A11" s="9" t="s">
        <v>800</v>
      </c>
      <c r="B11" s="9" t="s">
        <v>677</v>
      </c>
      <c r="C11" s="9" t="s">
        <v>229</v>
      </c>
      <c r="D11" s="9" t="s">
        <v>771</v>
      </c>
      <c r="E11" s="9" t="s">
        <v>301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S11" s="9" t="n">
        <f aca="false">(M11*H11)/0.000001</f>
        <v>282240</v>
      </c>
      <c r="AC11" s="11" t="s">
        <v>801</v>
      </c>
    </row>
    <row r="12" customFormat="false" ht="13.8" hidden="false" customHeight="false" outlineLevel="0" collapsed="false">
      <c r="A12" s="9" t="s">
        <v>802</v>
      </c>
      <c r="B12" s="9" t="s">
        <v>803</v>
      </c>
      <c r="C12" s="9" t="s">
        <v>804</v>
      </c>
      <c r="D12" s="9" t="s">
        <v>771</v>
      </c>
      <c r="E12" s="9" t="s">
        <v>296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S12" s="9" t="n">
        <f aca="false">(M12*H12)/0.000001</f>
        <v>4000000</v>
      </c>
      <c r="AC12" s="11" t="s">
        <v>805</v>
      </c>
    </row>
    <row r="13" customFormat="false" ht="13.8" hidden="false" customHeight="false" outlineLevel="0" collapsed="false">
      <c r="A13" s="9" t="s">
        <v>806</v>
      </c>
      <c r="B13" s="9" t="s">
        <v>284</v>
      </c>
      <c r="C13" s="9" t="s">
        <v>807</v>
      </c>
      <c r="D13" s="9" t="s">
        <v>771</v>
      </c>
      <c r="E13" s="9" t="s">
        <v>808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Q13" s="9" t="n">
        <v>1.11</v>
      </c>
      <c r="R13" s="9" t="n">
        <v>0.45833</v>
      </c>
      <c r="S13" s="9" t="n">
        <f aca="false">(M13*H13)/0.000001</f>
        <v>2700</v>
      </c>
      <c r="T13" s="9" t="n">
        <f aca="false">(4*PI()*Q13*R13*H13^2)/0.000001</f>
        <v>92060.561584569</v>
      </c>
      <c r="AC13" s="11" t="s">
        <v>809</v>
      </c>
    </row>
    <row r="14" customFormat="false" ht="13.8" hidden="false" customHeight="false" outlineLevel="0" collapsed="false">
      <c r="A14" s="9" t="s">
        <v>810</v>
      </c>
      <c r="B14" s="9" t="s">
        <v>811</v>
      </c>
      <c r="C14" s="9" t="s">
        <v>812</v>
      </c>
      <c r="D14" s="9" t="s">
        <v>771</v>
      </c>
      <c r="E14" s="9" t="s">
        <v>296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v>0.04788</v>
      </c>
      <c r="Q14" s="9" t="n">
        <v>0.35</v>
      </c>
      <c r="S14" s="9" t="n">
        <f aca="false">(M14*H14)/0.000001</f>
        <v>27291.6</v>
      </c>
      <c r="AC14" s="11" t="s">
        <v>813</v>
      </c>
    </row>
    <row r="15" customFormat="false" ht="13.8" hidden="false" customHeight="false" outlineLevel="0" collapsed="false">
      <c r="A15" s="9" t="s">
        <v>814</v>
      </c>
      <c r="B15" s="9" t="s">
        <v>815</v>
      </c>
      <c r="C15" s="9" t="s">
        <v>816</v>
      </c>
      <c r="D15" s="9" t="s">
        <v>771</v>
      </c>
      <c r="E15" s="9" t="s">
        <v>301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S15" s="9" t="n">
        <f aca="false">(M15*H15)/0.000001</f>
        <v>650000</v>
      </c>
      <c r="V15" s="9" t="n">
        <v>30</v>
      </c>
      <c r="W15" s="10" t="n">
        <v>5</v>
      </c>
      <c r="X15" s="9"/>
      <c r="AC15" s="11" t="s">
        <v>817</v>
      </c>
    </row>
    <row r="16" customFormat="false" ht="13.8" hidden="false" customHeight="false" outlineLevel="0" collapsed="false">
      <c r="A16" s="9" t="s">
        <v>818</v>
      </c>
      <c r="B16" s="9" t="s">
        <v>819</v>
      </c>
      <c r="C16" s="9" t="s">
        <v>819</v>
      </c>
      <c r="D16" s="9" t="s">
        <v>771</v>
      </c>
      <c r="E16" s="9" t="s">
        <v>301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S16" s="9" t="n">
        <f aca="false">(M16*H16)/0.000001</f>
        <v>638000</v>
      </c>
      <c r="V16" s="9" t="n">
        <v>30.48</v>
      </c>
      <c r="W16" s="10" t="n">
        <v>5</v>
      </c>
      <c r="X16" s="9"/>
      <c r="AC16" s="11" t="s">
        <v>820</v>
      </c>
    </row>
    <row r="17" customFormat="false" ht="13.8" hidden="false" customHeight="false" outlineLevel="0" collapsed="false">
      <c r="A17" s="9" t="s">
        <v>821</v>
      </c>
      <c r="B17" s="9" t="s">
        <v>822</v>
      </c>
      <c r="C17" s="9" t="s">
        <v>823</v>
      </c>
      <c r="D17" s="9" t="s">
        <v>771</v>
      </c>
      <c r="E17" s="9" t="s">
        <v>296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S17" s="9" t="n">
        <f aca="false">(M17*H17)/0.000001</f>
        <v>11250</v>
      </c>
      <c r="AC17" s="11" t="s">
        <v>824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2022-03-09T17:24:43Z</dcterms:modified>
  <cp:revision>2446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