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Propeller" sheetId="1" state="visible" r:id="rId2"/>
    <sheet name="BCF" sheetId="2" state="visible" r:id="rId3"/>
    <sheet name="MPF" sheetId="3" state="visible" r:id="rId4"/>
    <sheet name="LiftBased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<sst xmlns="http://schemas.openxmlformats.org/spreadsheetml/2006/main" count="215" uniqueCount="114">
  <si>
    <t xml:space="preserve">Manufacturer</t>
  </si>
  <si>
    <t xml:space="preserve">Name</t>
  </si>
  <si>
    <t xml:space="preserve">Locomotion</t>
  </si>
  <si>
    <t xml:space="preserve">Length [m]</t>
  </si>
  <si>
    <t xml:space="preserve">Width [m]</t>
  </si>
  <si>
    <t xml:space="preserve">Height [m]</t>
  </si>
  <si>
    <t xml:space="preserve">Weight [kg]</t>
  </si>
  <si>
    <t xml:space="preserve">Umax [m/s]</t>
  </si>
  <si>
    <t xml:space="preserve">Uopt [m/s]</t>
  </si>
  <si>
    <t xml:space="preserve">COTopt [J/kgm]</t>
  </si>
  <si>
    <t xml:space="preserve">COTopt [J/Nm]</t>
  </si>
  <si>
    <t xml:space="preserve">COTopt [J/m]</t>
  </si>
  <si>
    <t xml:space="preserve">COTopt [J]</t>
  </si>
  <si>
    <t xml:space="preserve">Re</t>
  </si>
  <si>
    <t xml:space="preserve">Jw</t>
  </si>
  <si>
    <t xml:space="preserve">Max Depth [m]</t>
  </si>
  <si>
    <t xml:space="preserve">Endurance [hr]</t>
  </si>
  <si>
    <t xml:space="preserve">Battery Rating [kWh]</t>
  </si>
  <si>
    <t xml:space="preserve">Battery Type</t>
  </si>
  <si>
    <t xml:space="preserve">Hotel Power [W]</t>
  </si>
  <si>
    <t xml:space="preserve">Propulsion Power [W]</t>
  </si>
  <si>
    <t xml:space="preserve">Reference</t>
  </si>
  <si>
    <t xml:space="preserve">National Oceanography Center</t>
  </si>
  <si>
    <t xml:space="preserve">Autosub 3</t>
  </si>
  <si>
    <t xml:space="preserve">Propeller</t>
  </si>
  <si>
    <t xml:space="preserve">https://noc.ac.uk/facilities/marine-autonomous-robotic-systems/autosubs</t>
  </si>
  <si>
    <t xml:space="preserve">Kongsberg Maritime</t>
  </si>
  <si>
    <t xml:space="preserve">HUGIN 4500</t>
  </si>
  <si>
    <t xml:space="preserve">Al/HP semi Fuelcell</t>
  </si>
  <si>
    <t xml:space="preserve">Kongsberg, 2009</t>
  </si>
  <si>
    <t xml:space="preserve">Maritime and Ocean Engineering Research Institute</t>
  </si>
  <si>
    <t xml:space="preserve">ISiMI</t>
  </si>
  <si>
    <t xml:space="preserve">Li-Polymer</t>
  </si>
  <si>
    <t xml:space="preserve">Jun et al., 2009</t>
  </si>
  <si>
    <t xml:space="preserve">Memorial University</t>
  </si>
  <si>
    <t xml:space="preserve">MUN Explorer</t>
  </si>
  <si>
    <t xml:space="preserve">Moli-Lithium-Ion Cobalt</t>
  </si>
  <si>
    <t xml:space="preserve">Author</t>
  </si>
  <si>
    <t xml:space="preserve">Affiliation</t>
  </si>
  <si>
    <t xml:space="preserve">Actuator</t>
  </si>
  <si>
    <t xml:space="preserve">No Actuators</t>
  </si>
  <si>
    <t xml:space="preserve">No Linkages</t>
  </si>
  <si>
    <t xml:space="preserve">Compliant Tail</t>
  </si>
  <si>
    <t xml:space="preserve">Freq [Hz]</t>
  </si>
  <si>
    <t xml:space="preserve">A [BL]</t>
  </si>
  <si>
    <t xml:space="preserve">Sw</t>
  </si>
  <si>
    <t xml:space="preserve">Yaw Speed [m/s]</t>
  </si>
  <si>
    <t xml:space="preserve">Yaw Radius [m]</t>
  </si>
  <si>
    <t xml:space="preserve">Operating Voltage [V]</t>
  </si>
  <si>
    <t xml:space="preserve">Battery Rating [Ah]</t>
  </si>
  <si>
    <t xml:space="preserve">Mechanical Power [W]</t>
  </si>
  <si>
    <t xml:space="preserve">Cyberfish</t>
  </si>
  <si>
    <t xml:space="preserve">Szymak</t>
  </si>
  <si>
    <t xml:space="preserve">Polish Naval Academy</t>
  </si>
  <si>
    <t xml:space="preserve">Carangiform</t>
  </si>
  <si>
    <t xml:space="preserve">Servo</t>
  </si>
  <si>
    <t xml:space="preserve">https://doi.org/10.1007/978-3-319-05353-0_43</t>
  </si>
  <si>
    <t xml:space="preserve">Tunabot</t>
  </si>
  <si>
    <t xml:space="preserve">Zhu</t>
  </si>
  <si>
    <t xml:space="preserve">University of Virginia</t>
  </si>
  <si>
    <t xml:space="preserve">Thunniform</t>
  </si>
  <si>
    <t xml:space="preserve">Motor</t>
  </si>
  <si>
    <t xml:space="preserve">https://doi.org/10.1126/scirobotics.aax4615</t>
  </si>
  <si>
    <t xml:space="preserve">RoboPike</t>
  </si>
  <si>
    <t xml:space="preserve">Kumph</t>
  </si>
  <si>
    <t xml:space="preserve">Massachusetts Institute of Technology</t>
  </si>
  <si>
    <t xml:space="preserve">https://dspace.mit.edu/bitstream/handle/1721.1/8968/47045662-MIT.pdf?sequence=2</t>
  </si>
  <si>
    <t xml:space="preserve">RoboSalmon</t>
  </si>
  <si>
    <t xml:space="preserve">McColgan</t>
  </si>
  <si>
    <t xml:space="preserve">University of Glasgow</t>
  </si>
  <si>
    <t xml:space="preserve">Sub-Carangiform</t>
  </si>
  <si>
    <t xml:space="preserve">https://doi.org/10.1109/10.3390/robotics5010002</t>
  </si>
  <si>
    <t xml:space="preserve">Arowana</t>
  </si>
  <si>
    <t xml:space="preserve">Low</t>
  </si>
  <si>
    <t xml:space="preserve">Nanyang Technological University</t>
  </si>
  <si>
    <t xml:space="preserve">https://doi.org/10.1109/ICMA.2007.4303527</t>
  </si>
  <si>
    <t xml:space="preserve">Mamba</t>
  </si>
  <si>
    <t xml:space="preserve">Kelasidi</t>
  </si>
  <si>
    <t xml:space="preserve">NTNU</t>
  </si>
  <si>
    <t xml:space="preserve">Anguiliform</t>
  </si>
  <si>
    <t xml:space="preserve">https://doi.org/10.1109/SSRR.2016.7784295</t>
  </si>
  <si>
    <t xml:space="preserve">Finbot</t>
  </si>
  <si>
    <t xml:space="preserve">Berlinger</t>
  </si>
  <si>
    <t xml:space="preserve">Harvard University</t>
  </si>
  <si>
    <t xml:space="preserve">Ostraciiform</t>
  </si>
  <si>
    <t xml:space="preserve">Magnetic</t>
  </si>
  <si>
    <t xml:space="preserve">https://doi.org/10.1088/1748-3190/abd013</t>
  </si>
  <si>
    <t xml:space="preserve">Kyushu Carangiform</t>
  </si>
  <si>
    <t xml:space="preserve">Fujiwara</t>
  </si>
  <si>
    <t xml:space="preserve">Kyushu University</t>
  </si>
  <si>
    <t xml:space="preserve">https://doi.org/10.1109/IROS.2017.8206281</t>
  </si>
  <si>
    <t xml:space="preserve">iSplah Micro</t>
  </si>
  <si>
    <t xml:space="preserve">Clapham</t>
  </si>
  <si>
    <t xml:space="preserve">University of Essex</t>
  </si>
  <si>
    <t xml:space="preserve">https://doi.org/10.1109/IROS.2014.6942574</t>
  </si>
  <si>
    <t xml:space="preserve">NTNU Mamba</t>
  </si>
  <si>
    <t xml:space="preserve">UCSD DEA leptocephali</t>
  </si>
  <si>
    <t xml:space="preserve">Christianson</t>
  </si>
  <si>
    <t xml:space="preserve">University of California, San Diego</t>
  </si>
  <si>
    <t xml:space="preserve">DEA</t>
  </si>
  <si>
    <t xml:space="preserve">https://doi.org/10.1126/scirobotics.aat1893</t>
  </si>
  <si>
    <t xml:space="preserve">UV Robotic Mantaray</t>
  </si>
  <si>
    <t xml:space="preserve">Chen</t>
  </si>
  <si>
    <t xml:space="preserve">Rajiform</t>
  </si>
  <si>
    <t xml:space="preserve">IPMC</t>
  </si>
  <si>
    <t xml:space="preserve">http://brcl.me.uh.edu/Paper/JSMN11.pdf</t>
  </si>
  <si>
    <t xml:space="preserve">UV Cownose Ray</t>
  </si>
  <si>
    <t xml:space="preserve">EAP</t>
  </si>
  <si>
    <t xml:space="preserve">https://www.researchgate.net/publication/266891803_Bio-Inspired_Robotic_Cownose_Ray_Propelled_by_Electroactive_Polymer_Pectoral_Fin</t>
  </si>
  <si>
    <t xml:space="preserve">Madeline</t>
  </si>
  <si>
    <t xml:space="preserve">Long</t>
  </si>
  <si>
    <t xml:space="preserve">Vassar College</t>
  </si>
  <si>
    <t xml:space="preserve">LiftBased</t>
  </si>
  <si>
    <t xml:space="preserve">https://doi.org/10.1088/1748-3182/1/1/003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</si>
</sst>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00"/>
    <numFmt numFmtId="166" formatCode="0.00"/>
  </numFmts>
  <fonts count="13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b val="true"/>
      <sz val="10"/>
      <color rgb="FFFFFFFF"/>
      <name val="Arial"/>
      <family val="0"/>
      <charset val="1"/>
    </font>
    <font>
      <i val="true"/>
      <sz val="10"/>
      <color rgb="FF808080"/>
      <name val="Arial"/>
      <family val="0"/>
      <charset val="1"/>
    </font>
    <font>
      <b val="true"/>
      <sz val="24"/>
      <color rgb="FF000000"/>
      <name val="Arial"/>
      <family val="0"/>
      <charset val="1"/>
    </font>
    <font>
      <u val="single"/>
      <sz val="10"/>
      <color rgb="FF0000EE"/>
      <name val="Arial"/>
      <family val="0"/>
      <charset val="1"/>
    </font>
    <font>
      <sz val="10"/>
      <color rgb="FFCC0000"/>
      <name val="Arial"/>
      <family val="0"/>
      <charset val="1"/>
    </font>
    <font>
      <sz val="10"/>
      <color rgb="FF000000"/>
      <name val="Arial"/>
      <family val="0"/>
      <charset val="1"/>
    </font>
    <font>
      <sz val="10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CCFFCC"/>
      </patternFill>
    </fill>
    <fill>
      <patternFill patternType="solid">
        <fgColor rgb="FFCC0000"/>
        <bgColor rgb="FF800000"/>
      </patternFill>
    </fill>
  </fills>
  <borders count="1">
    <border diagonalUp="false" diagonalDown="false">
      <left/>
      <right/>
      <top/>
      <bottom/>
      <diagonal/>
    </border>
  </borders>
  <cellStyleXfs count="3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5" borderId="0" applyFont="true" applyBorder="false" applyAlignment="true" applyProtection="false">
      <alignment horizontal="general" vertical="bottom" textRotation="0" wrapText="false" indent="0" shrinkToFit="false"/>
    </xf>
    <xf numFmtId="164" fontId="7" fillId="0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5" xfId="20"/>
    <cellStyle name="Accent 2 6" xfId="21"/>
    <cellStyle name="Accent 3 7" xfId="22"/>
    <cellStyle name="Accent 4" xfId="23"/>
    <cellStyle name="Error 8" xfId="24"/>
    <cellStyle name="Footnote 9" xfId="25"/>
    <cellStyle name="Heading 10" xfId="26"/>
    <cellStyle name="Hyperlink 11" xfId="27"/>
    <cellStyle name="Status 12" xfId="28"/>
    <cellStyle name="Text 13" xfId="29"/>
    <cellStyle name="Warning 14" xfId="30"/>
  </cellStyles>
  <dxfs count="1">
    <dxf>
      <fill>
        <patternFill patternType="solid">
          <fgColor rgb="FFFCFCFC"/>
          <bgColor rgb="FF1B1E20"/>
        </patternFill>
      </fill>
    </dxf>
  </dxf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__Anonymous_Sheet_DB__0" displayName="__Anonymous_Sheet_DB__0" ref="A1:V5" headerRowCount="1" totalsRowCount="0" totalsRowShown="0">
  <tableColumns count="22">
    <tableColumn id="1" name="Manufacturer"/>
    <tableColumn id="2" name="Name"/>
    <tableColumn id="3" name="Locomotion"/>
    <tableColumn id="4" name="Length [m]"/>
    <tableColumn id="5" name="Width [m]"/>
    <tableColumn id="6" name="Height [m]"/>
    <tableColumn id="7" name="Weight [kg]"/>
    <tableColumn id="8" name="Umax [m/s]"/>
    <tableColumn id="9" name="Uopt [m/s]"/>
    <tableColumn id="10" name="COTopt [J/kgm]"/>
    <tableColumn id="11" name="COTopt [J/Nm]"/>
    <tableColumn id="12" name="COTopt [J/m]"/>
    <tableColumn id="13" name="COTopt [J]"/>
    <tableColumn id="14" name="Re"/>
    <tableColumn id="15" name="Jw"/>
    <tableColumn id="16" name="Max Depth [m]"/>
    <tableColumn id="17" name="Endurance [hr]"/>
    <tableColumn id="18" name="Battery Rating [kWh]"/>
    <tableColumn id="19" name="Battery Type"/>
    <tableColumn id="20" name="Hotel Power [W]"/>
    <tableColumn id="21" name="Propulsion Power [W]"/>
    <tableColumn id="22" name="Reference"/>
  </tableColumns>
</table>
</file>

<file path=xl/tables/table2.xml><?xml version="1.0" encoding="utf-8"?>
<table xmlns="http://schemas.openxmlformats.org/spreadsheetml/2006/main" id="2" name="__Anonymous_Sheet_DB__1" displayName="__Anonymous_Sheet_DB__1" ref="A2:AE10" headerRowCount="1" totalsRowCount="0" totalsRowShown="0">
  <tableColumns count="31">
    <tableColumn id="1" name="Cyberfish"/>
    <tableColumn id="2" name="Szymak"/>
    <tableColumn id="3" name="Polish Naval Academy"/>
    <tableColumn id="4" name="Carangiform"/>
    <tableColumn id="5" name="Servo"/>
    <tableColumn id="6" name="Column6"/>
    <tableColumn id="7" name="Column7"/>
    <tableColumn id="8" name="Column8"/>
    <tableColumn id="9" name="Column9"/>
    <tableColumn id="10" name="Column10"/>
    <tableColumn id="11" name="Column11"/>
    <tableColumn id="12" name="Column12"/>
    <tableColumn id="13" name="Column13"/>
    <tableColumn id="14" name="Column14"/>
    <tableColumn id="15" name="Column26"/>
    <tableColumn id="16" name="Column30"/>
    <tableColumn id="17" name="Column15"/>
    <tableColumn id="18" name="Column27"/>
    <tableColumn id="19" name="Column16"/>
    <tableColumn id="20" name="Column17"/>
    <tableColumn id="21" name="Column29"/>
    <tableColumn id="22" name="Column28"/>
    <tableColumn id="23" name="Column18"/>
    <tableColumn id="24" name="Column19"/>
    <tableColumn id="25" name="Column20"/>
    <tableColumn id="26" name="Column21"/>
    <tableColumn id="27" name="Column22"/>
    <tableColumn id="28" name="Column23"/>
    <tableColumn id="29" name="Column24"/>
    <tableColumn id="30" name="Column25"/>
    <tableColumn id="31" name="https://doi.org/10.1007/978-3-319-05353-0_43"/>
  </tableColumns>
</table>
</file>

<file path=xl/tables/table3.xml><?xml version="1.0" encoding="utf-8"?>
<table xmlns="http://schemas.openxmlformats.org/spreadsheetml/2006/main" id="3" name="__Anonymous_Sheet_DB__2" displayName="__Anonymous_Sheet_DB__2" ref="A1:Z1" headerRowCount="1" totalsRowCount="0" totalsRowShown="0">
  <tableColumns count="26">
    <tableColumn id="1" name="Name"/>
    <tableColumn id="2" name="Author"/>
    <tableColumn id="3" name="Affiliation"/>
    <tableColumn id="4" name="Locomotion"/>
    <tableColumn id="5" name="Actuator"/>
    <tableColumn id="6" name="No Actuators"/>
    <tableColumn id="7" name="No Linkages"/>
    <tableColumn id="8" name="Length [m]"/>
    <tableColumn id="9" name="Width [m]"/>
    <tableColumn id="10" name="Height [m]"/>
    <tableColumn id="11" name="Weight [kg]"/>
    <tableColumn id="12" name="Umax [m/s]"/>
    <tableColumn id="13" name="Uopt [m/s]"/>
    <tableColumn id="14" name="COTopt [J/kgm]"/>
    <tableColumn id="15" name="COTopt [J/Nm]"/>
    <tableColumn id="16" name="COTopt [J/m]"/>
    <tableColumn id="17" name="COTopt [J]"/>
    <tableColumn id="18" name="Freq [Hz]"/>
    <tableColumn id="19" name="A [BL]"/>
    <tableColumn id="20" name="Re"/>
    <tableColumn id="21" name="Sw"/>
    <tableColumn id="22" name="Yaw Speed [m/s]"/>
    <tableColumn id="23" name="Yaw Radius [m]"/>
    <tableColumn id="24" name="Max Depth [m]"/>
    <tableColumn id="25" name="Endurance [hr]"/>
    <tableColumn id="26" name="Operating Voltage [V]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doi.org/10" TargetMode="External"/><Relationship Id="rId2" Type="http://schemas.openxmlformats.org/officeDocument/2006/relationships/table" Target="../tables/table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table" Target="../tables/table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V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G2" activePane="bottomRight" state="frozen"/>
      <selection pane="topLeft" activeCell="A1" activeCellId="0" sqref="A1"/>
      <selection pane="topRight" activeCell="G1" activeCellId="0" sqref="G1"/>
      <selection pane="bottomLeft" activeCell="A2" activeCellId="0" sqref="A2"/>
      <selection pane="bottomRight" activeCell="Q11" activeCellId="0" sqref="Q11"/>
    </sheetView>
  </sheetViews>
  <sheetFormatPr defaultColWidth="8.6171875" defaultRowHeight="12.8" zeroHeight="false" outlineLevelRow="0" outlineLevelCol="0"/>
  <cols>
    <col collapsed="false" customWidth="true" hidden="false" outlineLevel="0" max="1" min="1" style="1" width="52.25"/>
    <col collapsed="false" customWidth="true" hidden="false" outlineLevel="0" max="2" min="2" style="1" width="38.76"/>
    <col collapsed="false" customWidth="true" hidden="false" outlineLevel="0" max="7" min="3" style="1" width="10.61"/>
    <col collapsed="false" customWidth="true" hidden="false" outlineLevel="0" max="8" min="8" style="1" width="13"/>
    <col collapsed="false" customWidth="true" hidden="false" outlineLevel="0" max="9" min="9" style="1" width="14.37"/>
    <col collapsed="false" customWidth="true" hidden="false" outlineLevel="0" max="11" min="10" style="2" width="12.5"/>
    <col collapsed="false" customWidth="true" hidden="false" outlineLevel="0" max="16" min="12" style="1" width="12.5"/>
    <col collapsed="false" customWidth="true" hidden="false" outlineLevel="0" max="17" min="17" style="3" width="13.25"/>
    <col collapsed="false" customWidth="true" hidden="false" outlineLevel="0" max="18" min="18" style="3" width="16.97"/>
    <col collapsed="false" customWidth="true" hidden="false" outlineLevel="0" max="19" min="19" style="3" width="20.64"/>
    <col collapsed="false" customWidth="true" hidden="false" outlineLevel="0" max="20" min="20" style="3" width="14.68"/>
    <col collapsed="false" customWidth="true" hidden="false" outlineLevel="0" max="21" min="21" style="3" width="17.6"/>
    <col collapsed="false" customWidth="true" hidden="false" outlineLevel="0" max="22" min="22" style="1" width="45.6"/>
    <col collapsed="false" customWidth="true" hidden="false" outlineLevel="0" max="74" min="23" style="1" width="10.61"/>
    <col collapsed="false" customWidth="true" hidden="false" outlineLevel="0" max="75" min="75" style="1" width="9"/>
    <col collapsed="false" customWidth="false" hidden="false" outlineLevel="0" max="1024" min="76" style="1" width="8.62"/>
  </cols>
  <sheetData>
    <row r="1" customFormat="false" ht="13.8" hidden="false" customHeight="tru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5" t="s">
        <v>9</v>
      </c>
      <c r="K1" s="5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1" t="s">
        <v>21</v>
      </c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</row>
    <row r="2" customFormat="false" ht="13.8" hidden="false" customHeight="true" outlineLevel="0" collapsed="false">
      <c r="A2" s="1" t="s">
        <v>22</v>
      </c>
      <c r="B2" s="1" t="s">
        <v>23</v>
      </c>
      <c r="C2" s="1" t="s">
        <v>24</v>
      </c>
      <c r="D2" s="1" t="n">
        <v>3.7</v>
      </c>
      <c r="E2" s="1" t="n">
        <v>0.8</v>
      </c>
      <c r="F2" s="1" t="n">
        <v>0.8</v>
      </c>
      <c r="G2" s="1" t="n">
        <v>1300</v>
      </c>
      <c r="H2" s="1" t="n">
        <v>3.9</v>
      </c>
      <c r="I2" s="1" t="n">
        <f aca="false">ROUND(H2*0.514,2)</f>
        <v>2</v>
      </c>
      <c r="J2" s="2" t="n">
        <f aca="false">L2/G2</f>
        <v>0.0980769230769231</v>
      </c>
      <c r="K2" s="2" t="n">
        <f aca="false">J2/9.81</f>
        <v>0.00999764761232651</v>
      </c>
      <c r="L2" s="3" t="n">
        <v>127.5</v>
      </c>
      <c r="M2" s="1" t="n">
        <f aca="false">L2*D2</f>
        <v>471.75</v>
      </c>
      <c r="N2" s="6" t="n">
        <f aca="false">(I2*D2)/0.000001</f>
        <v>7400000</v>
      </c>
      <c r="O2" s="1" t="n">
        <v>23323615.1603498</v>
      </c>
      <c r="P2" s="1" t="n">
        <v>6000</v>
      </c>
      <c r="Q2" s="3" t="n">
        <v>72</v>
      </c>
      <c r="T2" s="3" t="n">
        <v>255</v>
      </c>
      <c r="V2" s="1" t="s">
        <v>25</v>
      </c>
    </row>
    <row r="3" customFormat="false" ht="13.8" hidden="false" customHeight="true" outlineLevel="0" collapsed="false">
      <c r="A3" s="1" t="s">
        <v>26</v>
      </c>
      <c r="B3" s="1" t="s">
        <v>27</v>
      </c>
      <c r="C3" s="1" t="s">
        <v>24</v>
      </c>
      <c r="D3" s="1" t="n">
        <v>6</v>
      </c>
      <c r="E3" s="1" t="n">
        <v>1</v>
      </c>
      <c r="F3" s="1" t="n">
        <v>1</v>
      </c>
      <c r="G3" s="1" t="n">
        <v>1900</v>
      </c>
      <c r="H3" s="1" t="n">
        <v>2.05</v>
      </c>
      <c r="I3" s="1" t="n">
        <v>2</v>
      </c>
      <c r="J3" s="2" t="n">
        <v>0.31</v>
      </c>
      <c r="K3" s="2" t="n">
        <f aca="false">J3/9.81</f>
        <v>0.0316004077471967</v>
      </c>
      <c r="L3" s="1" t="n">
        <f aca="false">J3*G3</f>
        <v>589</v>
      </c>
      <c r="M3" s="1" t="n">
        <f aca="false">L3*D3</f>
        <v>3534</v>
      </c>
      <c r="N3" s="6" t="n">
        <f aca="false">(I3*D3)/0.000001</f>
        <v>12000000</v>
      </c>
      <c r="O3" s="1" t="n">
        <v>13275662.1930599</v>
      </c>
      <c r="P3" s="1" t="n">
        <v>4500</v>
      </c>
      <c r="Q3" s="1" t="n">
        <v>50</v>
      </c>
      <c r="R3" s="1" t="n">
        <v>60</v>
      </c>
      <c r="S3" s="1" t="s">
        <v>28</v>
      </c>
      <c r="T3" s="1"/>
      <c r="V3" s="7" t="s">
        <v>29</v>
      </c>
    </row>
    <row r="4" customFormat="false" ht="13.8" hidden="false" customHeight="true" outlineLevel="0" collapsed="false">
      <c r="A4" s="1" t="s">
        <v>30</v>
      </c>
      <c r="B4" s="1" t="s">
        <v>31</v>
      </c>
      <c r="C4" s="1" t="s">
        <v>24</v>
      </c>
      <c r="D4" s="1" t="n">
        <v>1.5</v>
      </c>
      <c r="E4" s="1" t="n">
        <v>0.2</v>
      </c>
      <c r="F4" s="1" t="n">
        <v>0.2</v>
      </c>
      <c r="G4" s="1" t="n">
        <v>20</v>
      </c>
      <c r="H4" s="1" t="n">
        <v>2</v>
      </c>
      <c r="I4" s="1" t="n">
        <v>0.802161364960329</v>
      </c>
      <c r="J4" s="2" t="n">
        <v>3.7</v>
      </c>
      <c r="K4" s="2" t="n">
        <f aca="false">J4/9.81</f>
        <v>0.377166156982671</v>
      </c>
      <c r="L4" s="1" t="n">
        <f aca="false">J4*G4</f>
        <v>74</v>
      </c>
      <c r="M4" s="1" t="n">
        <f aca="false">L4*D4</f>
        <v>111</v>
      </c>
      <c r="N4" s="6" t="n">
        <f aca="false">(I4*D4)/0.000001</f>
        <v>1203242.04744049</v>
      </c>
      <c r="O4" s="1" t="n">
        <v>1508028.96725441</v>
      </c>
      <c r="P4" s="1" t="n">
        <v>20</v>
      </c>
      <c r="Q4" s="1" t="n">
        <v>4</v>
      </c>
      <c r="R4" s="1" t="n">
        <v>0.207</v>
      </c>
      <c r="S4" s="1" t="s">
        <v>32</v>
      </c>
      <c r="T4" s="1"/>
      <c r="V4" s="1" t="s">
        <v>33</v>
      </c>
    </row>
    <row r="5" customFormat="false" ht="13.8" hidden="false" customHeight="true" outlineLevel="0" collapsed="false">
      <c r="A5" s="1" t="s">
        <v>34</v>
      </c>
      <c r="B5" s="1" t="s">
        <v>35</v>
      </c>
      <c r="C5" s="1" t="s">
        <v>24</v>
      </c>
      <c r="D5" s="1" t="n">
        <v>5.3</v>
      </c>
      <c r="E5" s="1" t="n">
        <v>0.69</v>
      </c>
      <c r="F5" s="1" t="n">
        <v>0.69</v>
      </c>
      <c r="G5" s="1" t="n">
        <v>830</v>
      </c>
      <c r="H5" s="1" t="n">
        <v>2.5</v>
      </c>
      <c r="I5" s="1" t="n">
        <v>1.5</v>
      </c>
      <c r="J5" s="2" t="n">
        <f aca="false">L5/G5</f>
        <v>0.878513253012048</v>
      </c>
      <c r="K5" s="2" t="n">
        <f aca="false">J5/9.81</f>
        <v>0.0895528290532159</v>
      </c>
      <c r="L5" s="1" t="n">
        <v>729.166</v>
      </c>
      <c r="M5" s="1" t="n">
        <f aca="false">L5*D5</f>
        <v>3864.5798</v>
      </c>
      <c r="N5" s="6" t="n">
        <f aca="false">(I5*D5)/0.000001</f>
        <v>7950000</v>
      </c>
      <c r="O5" s="1" t="n">
        <v>8470312.49999999</v>
      </c>
      <c r="P5" s="1" t="n">
        <v>3000</v>
      </c>
      <c r="Q5" s="3" t="n">
        <v>16</v>
      </c>
      <c r="R5" s="3" t="n">
        <v>17.5</v>
      </c>
      <c r="S5" s="3" t="s">
        <v>36</v>
      </c>
    </row>
  </sheetData>
  <printOptions headings="false" gridLines="false" gridLinesSet="true" horizontalCentered="false" verticalCentered="false"/>
  <pageMargins left="0" right="0" top="0.39375" bottom="0.39375" header="0" footer="0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  <tableParts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E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I2" activePane="bottomRight" state="frozen"/>
      <selection pane="topLeft" activeCell="A1" activeCellId="0" sqref="A1"/>
      <selection pane="topRight" activeCell="I1" activeCellId="0" sqref="I1"/>
      <selection pane="bottomLeft" activeCell="A2" activeCellId="0" sqref="A2"/>
      <selection pane="bottomRight" activeCell="K19" activeCellId="0" sqref="K19"/>
    </sheetView>
  </sheetViews>
  <sheetFormatPr defaultColWidth="8.6171875" defaultRowHeight="12.8" zeroHeight="false" outlineLevelRow="0" outlineLevelCol="0"/>
  <cols>
    <col collapsed="false" customWidth="true" hidden="false" outlineLevel="0" max="1" min="1" style="1" width="34.25"/>
    <col collapsed="false" customWidth="true" hidden="false" outlineLevel="0" max="2" min="2" style="1" width="16.25"/>
    <col collapsed="false" customWidth="true" hidden="false" outlineLevel="0" max="3" min="3" style="1" width="37.13"/>
    <col collapsed="false" customWidth="true" hidden="false" outlineLevel="0" max="4" min="4" style="1" width="12.63"/>
    <col collapsed="false" customWidth="true" hidden="false" outlineLevel="0" max="5" min="5" style="1" width="14"/>
    <col collapsed="false" customWidth="true" hidden="false" outlineLevel="0" max="6" min="6" style="1" width="13.75"/>
    <col collapsed="false" customWidth="true" hidden="false" outlineLevel="0" max="7" min="7" style="1" width="11.52"/>
    <col collapsed="false" customWidth="true" hidden="false" outlineLevel="0" max="12" min="8" style="1" width="10.61"/>
    <col collapsed="false" customWidth="true" hidden="false" outlineLevel="0" max="13" min="13" style="1" width="14.37"/>
    <col collapsed="false" customWidth="true" hidden="false" outlineLevel="0" max="14" min="14" style="1" width="15"/>
    <col collapsed="false" customWidth="true" hidden="false" outlineLevel="0" max="15" min="15" style="2" width="13.66"/>
    <col collapsed="false" customWidth="true" hidden="false" outlineLevel="0" max="16" min="16" style="2" width="12.83"/>
    <col collapsed="false" customWidth="true" hidden="false" outlineLevel="0" max="17" min="17" style="1" width="11.78"/>
    <col collapsed="false" customWidth="true" hidden="false" outlineLevel="0" max="18" min="18" style="1" width="10.67"/>
    <col collapsed="false" customWidth="false" hidden="false" outlineLevel="0" max="19" min="19" style="1" width="8.57"/>
    <col collapsed="false" customWidth="true" hidden="false" outlineLevel="0" max="20" min="20" style="1" width="7.13"/>
    <col collapsed="false" customWidth="true" hidden="false" outlineLevel="0" max="23" min="21" style="1" width="18.61"/>
    <col collapsed="false" customWidth="true" hidden="false" outlineLevel="0" max="24" min="24" style="1" width="13.25"/>
    <col collapsed="false" customWidth="true" hidden="false" outlineLevel="0" max="25" min="25" style="1" width="12.5"/>
    <col collapsed="false" customWidth="true" hidden="false" outlineLevel="0" max="26" min="26" style="1" width="13.25"/>
    <col collapsed="false" customWidth="true" hidden="false" outlineLevel="0" max="29" min="27" style="1" width="15.2"/>
    <col collapsed="false" customWidth="true" hidden="false" outlineLevel="0" max="30" min="30" style="1" width="16.33"/>
    <col collapsed="false" customWidth="true" hidden="false" outlineLevel="0" max="31" min="31" style="1" width="45.6"/>
    <col collapsed="false" customWidth="true" hidden="false" outlineLevel="0" max="72" min="32" style="1" width="10.61"/>
    <col collapsed="false" customWidth="true" hidden="false" outlineLevel="0" max="73" min="73" style="1" width="9"/>
    <col collapsed="false" customWidth="false" hidden="false" outlineLevel="0" max="1024" min="74" style="1" width="8.62"/>
  </cols>
  <sheetData>
    <row r="1" s="8" customFormat="true" ht="12.8" hidden="false" customHeight="false" outlineLevel="0" collapsed="false">
      <c r="A1" s="8" t="s">
        <v>1</v>
      </c>
      <c r="B1" s="8" t="s">
        <v>37</v>
      </c>
      <c r="C1" s="8" t="s">
        <v>38</v>
      </c>
      <c r="D1" s="8" t="s">
        <v>2</v>
      </c>
      <c r="E1" s="8" t="s">
        <v>39</v>
      </c>
      <c r="F1" s="8" t="s">
        <v>40</v>
      </c>
      <c r="G1" s="8" t="s">
        <v>41</v>
      </c>
      <c r="H1" s="8" t="s">
        <v>42</v>
      </c>
      <c r="I1" s="8" t="s">
        <v>3</v>
      </c>
      <c r="J1" s="8" t="s">
        <v>4</v>
      </c>
      <c r="K1" s="8" t="s">
        <v>5</v>
      </c>
      <c r="L1" s="8" t="s">
        <v>6</v>
      </c>
      <c r="M1" s="8" t="s">
        <v>7</v>
      </c>
      <c r="N1" s="8" t="s">
        <v>8</v>
      </c>
      <c r="O1" s="9" t="s">
        <v>9</v>
      </c>
      <c r="P1" s="9" t="s">
        <v>10</v>
      </c>
      <c r="Q1" s="8" t="s">
        <v>11</v>
      </c>
      <c r="R1" s="8" t="s">
        <v>12</v>
      </c>
      <c r="S1" s="8" t="s">
        <v>43</v>
      </c>
      <c r="T1" s="8" t="s">
        <v>44</v>
      </c>
      <c r="U1" s="8" t="s">
        <v>13</v>
      </c>
      <c r="V1" s="8" t="s">
        <v>45</v>
      </c>
      <c r="W1" s="8" t="s">
        <v>46</v>
      </c>
      <c r="X1" s="8" t="s">
        <v>47</v>
      </c>
      <c r="Y1" s="8" t="s">
        <v>15</v>
      </c>
      <c r="Z1" s="8" t="s">
        <v>16</v>
      </c>
      <c r="AA1" s="8" t="s">
        <v>48</v>
      </c>
      <c r="AB1" s="8" t="s">
        <v>49</v>
      </c>
      <c r="AC1" s="8" t="s">
        <v>19</v>
      </c>
      <c r="AD1" s="8" t="s">
        <v>50</v>
      </c>
      <c r="AE1" s="8" t="s">
        <v>21</v>
      </c>
    </row>
    <row r="2" customFormat="false" ht="12.8" hidden="false" customHeight="false" outlineLevel="0" collapsed="false">
      <c r="A2" s="1" t="s">
        <v>51</v>
      </c>
      <c r="B2" s="1" t="s">
        <v>52</v>
      </c>
      <c r="C2" s="1" t="s">
        <v>53</v>
      </c>
      <c r="D2" s="1" t="s">
        <v>54</v>
      </c>
      <c r="E2" s="1" t="s">
        <v>55</v>
      </c>
      <c r="F2" s="1" t="n">
        <v>4</v>
      </c>
      <c r="G2" s="1" t="n">
        <v>3</v>
      </c>
      <c r="H2" s="1" t="n">
        <v>0</v>
      </c>
      <c r="I2" s="1" t="n">
        <v>0.69</v>
      </c>
      <c r="J2" s="1" t="n">
        <v>0.22</v>
      </c>
      <c r="K2" s="1" t="n">
        <v>0.23</v>
      </c>
      <c r="L2" s="1" t="n">
        <v>3.4</v>
      </c>
      <c r="M2" s="1" t="n">
        <v>0.66</v>
      </c>
      <c r="N2" s="1" t="n">
        <v>0.66</v>
      </c>
      <c r="O2" s="2" t="n">
        <f aca="false">Q2/L2</f>
        <v>3.95588235294118</v>
      </c>
      <c r="P2" s="2" t="n">
        <f aca="false">O2/9.81</f>
        <v>0.403249985009294</v>
      </c>
      <c r="Q2" s="1" t="n">
        <v>13.45</v>
      </c>
      <c r="R2" s="1" t="n">
        <f aca="false">Q2*I2</f>
        <v>9.2805</v>
      </c>
      <c r="S2" s="1" t="n">
        <v>1.4</v>
      </c>
      <c r="T2" s="1" t="n">
        <f aca="false">ROUND(TAN(RADIANS(20))*(I2/3),2)</f>
        <v>0.08</v>
      </c>
      <c r="U2" s="1" t="n">
        <f aca="false">N2*I2/0.000001</f>
        <v>455400</v>
      </c>
      <c r="V2" s="1" t="n">
        <f aca="false">(4*PI()*S2*T2*I2^2)/0.000001</f>
        <v>670079.093543597</v>
      </c>
      <c r="Z2" s="1" t="n">
        <v>3</v>
      </c>
      <c r="AA2" s="1" t="n">
        <v>11.1</v>
      </c>
      <c r="AB2" s="1" t="n">
        <v>2.4</v>
      </c>
      <c r="AE2" s="1" t="s">
        <v>56</v>
      </c>
    </row>
    <row r="3" customFormat="false" ht="12.8" hidden="false" customHeight="false" outlineLevel="0" collapsed="false">
      <c r="A3" s="1" t="s">
        <v>57</v>
      </c>
      <c r="B3" s="1" t="s">
        <v>58</v>
      </c>
      <c r="C3" s="1" t="s">
        <v>59</v>
      </c>
      <c r="D3" s="1" t="s">
        <v>60</v>
      </c>
      <c r="E3" s="1" t="s">
        <v>61</v>
      </c>
      <c r="F3" s="1" t="n">
        <v>1</v>
      </c>
      <c r="G3" s="1" t="n">
        <v>1</v>
      </c>
      <c r="H3" s="1" t="n">
        <v>1</v>
      </c>
      <c r="I3" s="1" t="n">
        <v>0.255</v>
      </c>
      <c r="J3" s="1" t="n">
        <v>0.0492</v>
      </c>
      <c r="K3" s="1" t="n">
        <v>0.0678</v>
      </c>
      <c r="L3" s="1" t="n">
        <v>0.306</v>
      </c>
      <c r="M3" s="1" t="n">
        <v>1.02</v>
      </c>
      <c r="N3" s="1" t="n">
        <v>0.408</v>
      </c>
      <c r="O3" s="2" t="n">
        <f aca="false">Q3/L3</f>
        <v>12.7441176470588</v>
      </c>
      <c r="P3" s="2" t="n">
        <f aca="false">O3/9.81</f>
        <v>1.29909456137195</v>
      </c>
      <c r="Q3" s="1" t="n">
        <v>3.8997</v>
      </c>
      <c r="R3" s="1" t="n">
        <f aca="false">Q3*I3</f>
        <v>0.9944235</v>
      </c>
      <c r="S3" s="1" t="n">
        <v>5.8</v>
      </c>
      <c r="T3" s="1" t="n">
        <v>0.17</v>
      </c>
      <c r="U3" s="1" t="n">
        <f aca="false">N3*I3/0.000001</f>
        <v>104040</v>
      </c>
      <c r="V3" s="1" t="n">
        <f aca="false">(4*PI()*S3*T3*I3^2)/0.000001</f>
        <v>805688.453709923</v>
      </c>
      <c r="Z3" s="1" t="n">
        <v>1.16</v>
      </c>
      <c r="AE3" s="1" t="s">
        <v>62</v>
      </c>
    </row>
    <row r="4" customFormat="false" ht="12.8" hidden="false" customHeight="false" outlineLevel="0" collapsed="false">
      <c r="A4" s="1" t="s">
        <v>63</v>
      </c>
      <c r="B4" s="1" t="s">
        <v>64</v>
      </c>
      <c r="C4" s="1" t="s">
        <v>65</v>
      </c>
      <c r="D4" s="1" t="s">
        <v>54</v>
      </c>
      <c r="E4" s="1" t="s">
        <v>55</v>
      </c>
      <c r="F4" s="1" t="n">
        <v>3</v>
      </c>
      <c r="G4" s="1" t="n">
        <v>6</v>
      </c>
      <c r="H4" s="1" t="n">
        <v>0</v>
      </c>
      <c r="I4" s="1" t="n">
        <v>0.82</v>
      </c>
      <c r="L4" s="1" t="n">
        <v>3.63</v>
      </c>
      <c r="M4" s="1" t="n">
        <v>0.09</v>
      </c>
      <c r="N4" s="1" t="n">
        <v>0.09</v>
      </c>
      <c r="O4" s="2" t="n">
        <f aca="false">Q4/L4</f>
        <v>27.5482093663912</v>
      </c>
      <c r="P4" s="2" t="n">
        <f aca="false">O4/9.81</f>
        <v>2.80817628607453</v>
      </c>
      <c r="Q4" s="1" t="n">
        <v>100</v>
      </c>
      <c r="R4" s="1" t="n">
        <f aca="false">Q4*I4</f>
        <v>82</v>
      </c>
      <c r="S4" s="1" t="n">
        <v>1</v>
      </c>
      <c r="T4" s="1" t="n">
        <v>0.3658</v>
      </c>
      <c r="U4" s="1" t="n">
        <f aca="false">N4*I4/0.000001</f>
        <v>73800</v>
      </c>
      <c r="V4" s="1" t="n">
        <f aca="false">(4*PI()*S4*T4*I4^2)/0.000001</f>
        <v>3090873.77648059</v>
      </c>
      <c r="W4" s="1" t="n">
        <v>15</v>
      </c>
      <c r="X4" s="1" t="n">
        <f aca="false">ROUND(TAN(RADIANS(30)),2)</f>
        <v>0.58</v>
      </c>
      <c r="AC4" s="1" t="n">
        <v>8.5</v>
      </c>
      <c r="AD4" s="1" t="n">
        <v>5</v>
      </c>
      <c r="AE4" s="1" t="s">
        <v>66</v>
      </c>
    </row>
    <row r="5" customFormat="false" ht="12.8" hidden="false" customHeight="false" outlineLevel="0" collapsed="false">
      <c r="A5" s="1" t="s">
        <v>67</v>
      </c>
      <c r="B5" s="1" t="s">
        <v>68</v>
      </c>
      <c r="C5" s="1" t="s">
        <v>69</v>
      </c>
      <c r="D5" s="1" t="s">
        <v>70</v>
      </c>
      <c r="E5" s="1" t="s">
        <v>55</v>
      </c>
      <c r="F5" s="1" t="n">
        <v>8</v>
      </c>
      <c r="G5" s="1" t="n">
        <v>8</v>
      </c>
      <c r="H5" s="1" t="n">
        <v>0</v>
      </c>
      <c r="I5" s="1" t="n">
        <v>0.9</v>
      </c>
      <c r="J5" s="1" t="n">
        <v>0.25</v>
      </c>
      <c r="K5" s="1" t="n">
        <v>0.16</v>
      </c>
      <c r="L5" s="1" t="n">
        <v>4.3</v>
      </c>
      <c r="M5" s="1" t="n">
        <v>0.146</v>
      </c>
      <c r="N5" s="1" t="n">
        <v>0.024</v>
      </c>
      <c r="O5" s="2" t="n">
        <f aca="false">Q5/L5</f>
        <v>37.88</v>
      </c>
      <c r="P5" s="2" t="n">
        <f aca="false">O5/9.81</f>
        <v>3.86136595310907</v>
      </c>
      <c r="Q5" s="1" t="n">
        <v>162.884</v>
      </c>
      <c r="R5" s="1" t="n">
        <f aca="false">Q5*I5</f>
        <v>146.5956</v>
      </c>
      <c r="S5" s="1" t="n">
        <v>1</v>
      </c>
      <c r="T5" s="1" t="n">
        <v>0.15</v>
      </c>
      <c r="U5" s="1" t="n">
        <f aca="false">N5*I5/0.000001</f>
        <v>21600</v>
      </c>
      <c r="V5" s="1" t="n">
        <f aca="false">(4*PI()*S5*T5*I5^2)/0.000001</f>
        <v>1526814.02964464</v>
      </c>
      <c r="X5" s="1" t="n">
        <v>0.6</v>
      </c>
      <c r="AA5" s="1" t="n">
        <v>12</v>
      </c>
      <c r="AB5" s="1" t="n">
        <v>2.6</v>
      </c>
      <c r="AC5" s="1" t="n">
        <v>3.9</v>
      </c>
      <c r="AD5" s="1" t="n">
        <v>0.01</v>
      </c>
      <c r="AE5" s="1" t="s">
        <v>71</v>
      </c>
    </row>
    <row r="6" customFormat="false" ht="12.8" hidden="false" customHeight="false" outlineLevel="0" collapsed="false">
      <c r="A6" s="1" t="s">
        <v>72</v>
      </c>
      <c r="B6" s="1" t="s">
        <v>73</v>
      </c>
      <c r="C6" s="1" t="s">
        <v>74</v>
      </c>
      <c r="D6" s="1" t="s">
        <v>54</v>
      </c>
      <c r="E6" s="1" t="s">
        <v>61</v>
      </c>
      <c r="F6" s="1" t="n">
        <v>2</v>
      </c>
      <c r="G6" s="1" t="n">
        <v>4</v>
      </c>
      <c r="H6" s="1" t="n">
        <v>0</v>
      </c>
      <c r="I6" s="1" t="n">
        <v>0.5</v>
      </c>
      <c r="J6" s="1" t="n">
        <v>0.065</v>
      </c>
      <c r="K6" s="1" t="n">
        <v>0.15</v>
      </c>
      <c r="L6" s="1" t="n">
        <v>2.5</v>
      </c>
      <c r="M6" s="1" t="n">
        <v>0.05</v>
      </c>
      <c r="N6" s="1" t="n">
        <v>0.05</v>
      </c>
      <c r="O6" s="2" t="n">
        <f aca="false">Q6/L6</f>
        <v>48.6</v>
      </c>
      <c r="P6" s="2" t="n">
        <f aca="false">O6/9.81</f>
        <v>4.95412844036697</v>
      </c>
      <c r="Q6" s="1" t="n">
        <v>121.5</v>
      </c>
      <c r="R6" s="1" t="n">
        <f aca="false">Q6*I6</f>
        <v>60.75</v>
      </c>
      <c r="S6" s="1" t="n">
        <v>2.6</v>
      </c>
      <c r="T6" s="1" t="n">
        <f aca="false">ROUND(TAN(RADIANS(30))*(I6/3),2)</f>
        <v>0.1</v>
      </c>
      <c r="U6" s="1" t="n">
        <f aca="false">N6*I6/0.000001</f>
        <v>25000</v>
      </c>
      <c r="V6" s="1" t="n">
        <f aca="false">(4*PI()*S6*T6*I6^2)/0.000001</f>
        <v>816814.089933346</v>
      </c>
      <c r="Z6" s="1" t="n">
        <v>8</v>
      </c>
      <c r="AA6" s="1" t="n">
        <v>18</v>
      </c>
      <c r="AB6" s="1" t="n">
        <v>2.7</v>
      </c>
      <c r="AE6" s="1" t="s">
        <v>75</v>
      </c>
    </row>
    <row r="7" customFormat="false" ht="12.8" hidden="false" customHeight="false" outlineLevel="0" collapsed="false">
      <c r="A7" s="1" t="s">
        <v>76</v>
      </c>
      <c r="B7" s="1" t="s">
        <v>77</v>
      </c>
      <c r="C7" s="1" t="s">
        <v>78</v>
      </c>
      <c r="D7" s="1" t="s">
        <v>79</v>
      </c>
      <c r="E7" s="1" t="s">
        <v>55</v>
      </c>
      <c r="F7" s="1" t="n">
        <v>9</v>
      </c>
      <c r="G7" s="1" t="n">
        <v>9</v>
      </c>
      <c r="H7" s="1" t="n">
        <v>0</v>
      </c>
      <c r="I7" s="1" t="n">
        <v>1.6</v>
      </c>
      <c r="L7" s="1" t="n">
        <v>14.4</v>
      </c>
      <c r="M7" s="1" t="n">
        <v>0.1</v>
      </c>
      <c r="N7" s="1" t="n">
        <v>0.075</v>
      </c>
      <c r="O7" s="2" t="n">
        <f aca="false">Q7/L7</f>
        <v>64.8145833333333</v>
      </c>
      <c r="P7" s="2" t="n">
        <f aca="false">O7/9.81</f>
        <v>6.6069911654774</v>
      </c>
      <c r="Q7" s="1" t="n">
        <v>933.33</v>
      </c>
      <c r="R7" s="1" t="n">
        <f aca="false">Q7*I7</f>
        <v>1493.328</v>
      </c>
      <c r="S7" s="1" t="n">
        <v>2.093</v>
      </c>
      <c r="T7" s="1" t="n">
        <v>0.125</v>
      </c>
      <c r="U7" s="1" t="n">
        <f aca="false">N7*I7/0.000001</f>
        <v>120000</v>
      </c>
      <c r="V7" s="1" t="n">
        <f aca="false">(4*PI()*S7*T7*I7^2)/0.000001</f>
        <v>8416452.3826732</v>
      </c>
      <c r="AE7" s="1" t="s">
        <v>80</v>
      </c>
    </row>
    <row r="8" customFormat="false" ht="12.8" hidden="false" customHeight="false" outlineLevel="0" collapsed="false">
      <c r="A8" s="1" t="s">
        <v>81</v>
      </c>
      <c r="B8" s="1" t="s">
        <v>82</v>
      </c>
      <c r="C8" s="1" t="s">
        <v>83</v>
      </c>
      <c r="D8" s="1" t="s">
        <v>84</v>
      </c>
      <c r="E8" s="1" t="s">
        <v>85</v>
      </c>
      <c r="F8" s="1" t="n">
        <v>1</v>
      </c>
      <c r="G8" s="1" t="n">
        <v>1</v>
      </c>
      <c r="H8" s="1" t="n">
        <v>0</v>
      </c>
      <c r="I8" s="1" t="n">
        <v>0.12</v>
      </c>
      <c r="L8" s="1" t="n">
        <v>0.138</v>
      </c>
      <c r="M8" s="1" t="n">
        <v>0.122</v>
      </c>
      <c r="N8" s="1" t="n">
        <v>0.69</v>
      </c>
      <c r="O8" s="2" t="n">
        <f aca="false">Q8/L8</f>
        <v>80.4</v>
      </c>
      <c r="P8" s="2" t="n">
        <f aca="false">O8/9.81</f>
        <v>8.19571865443425</v>
      </c>
      <c r="Q8" s="1" t="n">
        <v>11.0952</v>
      </c>
      <c r="R8" s="1" t="n">
        <f aca="false">Q8*I8</f>
        <v>1.331424</v>
      </c>
      <c r="S8" s="1" t="n">
        <v>1.75</v>
      </c>
      <c r="T8" s="1" t="n">
        <v>0.1</v>
      </c>
      <c r="U8" s="1" t="n">
        <f aca="false">N8*I8/0.000001</f>
        <v>82800</v>
      </c>
      <c r="V8" s="1" t="n">
        <f aca="false">(4*PI()*S8*T8*I8^2)/0.000001</f>
        <v>31667.2539481851</v>
      </c>
      <c r="AE8" s="1" t="s">
        <v>86</v>
      </c>
    </row>
    <row r="9" customFormat="false" ht="12.8" hidden="false" customHeight="false" outlineLevel="0" collapsed="false">
      <c r="A9" s="1" t="s">
        <v>87</v>
      </c>
      <c r="B9" s="1" t="s">
        <v>88</v>
      </c>
      <c r="C9" s="1" t="s">
        <v>89</v>
      </c>
      <c r="D9" s="1" t="s">
        <v>54</v>
      </c>
      <c r="E9" s="1" t="s">
        <v>61</v>
      </c>
      <c r="F9" s="1" t="n">
        <v>1</v>
      </c>
      <c r="G9" s="1" t="n">
        <v>1</v>
      </c>
      <c r="H9" s="1" t="n">
        <v>1</v>
      </c>
      <c r="I9" s="1" t="n">
        <v>0.427</v>
      </c>
      <c r="L9" s="1" t="n">
        <v>0.826</v>
      </c>
      <c r="M9" s="1" t="n">
        <v>0.58</v>
      </c>
      <c r="N9" s="1" t="n">
        <v>0.58</v>
      </c>
      <c r="O9" s="2" t="n">
        <f aca="false">Q9/L9</f>
        <v>41.7466101694915</v>
      </c>
      <c r="P9" s="2" t="n">
        <f aca="false">O9/9.81</f>
        <v>4.2555158174813</v>
      </c>
      <c r="Q9" s="1" t="n">
        <v>34.4827</v>
      </c>
      <c r="R9" s="1" t="n">
        <f aca="false">Q9*I9</f>
        <v>14.7241129</v>
      </c>
      <c r="S9" s="1" t="n">
        <v>16</v>
      </c>
      <c r="T9" s="1" t="n">
        <v>0.0304</v>
      </c>
      <c r="U9" s="1" t="n">
        <f aca="false">N9*I9/0.000001</f>
        <v>247660</v>
      </c>
      <c r="V9" s="1" t="n">
        <f aca="false">(4*PI()*S9*T9*I9^2)/0.000001</f>
        <v>1114446.38635941</v>
      </c>
      <c r="AE9" s="1" t="s">
        <v>90</v>
      </c>
    </row>
    <row r="10" customFormat="false" ht="12.8" hidden="false" customHeight="false" outlineLevel="0" collapsed="false">
      <c r="A10" s="1" t="s">
        <v>91</v>
      </c>
      <c r="B10" s="1" t="s">
        <v>92</v>
      </c>
      <c r="C10" s="1" t="s">
        <v>93</v>
      </c>
      <c r="D10" s="1" t="s">
        <v>54</v>
      </c>
      <c r="E10" s="1" t="s">
        <v>61</v>
      </c>
      <c r="F10" s="1" t="n">
        <v>1</v>
      </c>
      <c r="G10" s="1" t="n">
        <v>1</v>
      </c>
      <c r="H10" s="1" t="n">
        <v>0</v>
      </c>
      <c r="I10" s="1" t="n">
        <v>0.05</v>
      </c>
      <c r="J10" s="1" t="n">
        <v>0.0065</v>
      </c>
      <c r="K10" s="1" t="n">
        <v>0.046</v>
      </c>
      <c r="L10" s="1" t="n">
        <v>0.00468</v>
      </c>
      <c r="M10" s="1" t="n">
        <v>0.52</v>
      </c>
      <c r="N10" s="1" t="n">
        <v>0.52</v>
      </c>
      <c r="O10" s="2" t="n">
        <f aca="false">Q10/L10</f>
        <v>328.730769230769</v>
      </c>
      <c r="P10" s="2" t="n">
        <f aca="false">O10/9.81</f>
        <v>33.509762408845</v>
      </c>
      <c r="Q10" s="1" t="n">
        <v>1.53846</v>
      </c>
      <c r="R10" s="1" t="n">
        <f aca="false">Q10*I10</f>
        <v>0.076923</v>
      </c>
      <c r="S10" s="1" t="n">
        <v>19</v>
      </c>
      <c r="T10" s="1" t="n">
        <v>0.12</v>
      </c>
      <c r="U10" s="1" t="n">
        <f aca="false">N10*I10/0.000001</f>
        <v>26000</v>
      </c>
      <c r="V10" s="1" t="n">
        <f aca="false">(4*PI()*S10*T10*I10^2)/0.000001</f>
        <v>71628.3125018473</v>
      </c>
      <c r="AE10" s="1" t="s">
        <v>94</v>
      </c>
    </row>
    <row r="11" customFormat="false" ht="12.8" hidden="false" customHeight="false" outlineLevel="0" collapsed="false">
      <c r="A11" s="1" t="s">
        <v>95</v>
      </c>
      <c r="B11" s="1" t="s">
        <v>77</v>
      </c>
      <c r="C11" s="1" t="s">
        <v>78</v>
      </c>
      <c r="D11" s="1" t="s">
        <v>79</v>
      </c>
      <c r="E11" s="1" t="s">
        <v>55</v>
      </c>
      <c r="F11" s="1" t="n">
        <v>9</v>
      </c>
      <c r="G11" s="1" t="n">
        <v>9</v>
      </c>
      <c r="H11" s="1" t="n">
        <v>0</v>
      </c>
      <c r="I11" s="1" t="n">
        <v>1.6</v>
      </c>
      <c r="L11" s="1" t="n">
        <v>14.4</v>
      </c>
      <c r="M11" s="1" t="n">
        <v>0.1</v>
      </c>
      <c r="N11" s="1" t="n">
        <v>0.075</v>
      </c>
      <c r="O11" s="2" t="n">
        <f aca="false">Q11/L11</f>
        <v>64.8145833333333</v>
      </c>
      <c r="P11" s="2" t="n">
        <f aca="false">O11/9.81</f>
        <v>6.6069911654774</v>
      </c>
      <c r="Q11" s="1" t="n">
        <v>933.33</v>
      </c>
      <c r="R11" s="1" t="n">
        <f aca="false">Q11*I11</f>
        <v>1493.328</v>
      </c>
      <c r="S11" s="1" t="n">
        <v>2.093</v>
      </c>
      <c r="T11" s="1" t="n">
        <v>0.125</v>
      </c>
      <c r="U11" s="1" t="n">
        <f aca="false">N11*I11/0.000001</f>
        <v>120000</v>
      </c>
      <c r="V11" s="1" t="n">
        <f aca="false">(4*PI()*S11*T11*I11^2)/0.000001</f>
        <v>8416452.3826732</v>
      </c>
      <c r="AE11" s="1" t="s">
        <v>80</v>
      </c>
    </row>
    <row r="12" customFormat="false" ht="12.8" hidden="false" customHeight="false" outlineLevel="0" collapsed="false">
      <c r="A12" s="1" t="s">
        <v>96</v>
      </c>
      <c r="B12" s="1" t="s">
        <v>97</v>
      </c>
      <c r="C12" s="1" t="s">
        <v>98</v>
      </c>
      <c r="D12" s="1" t="s">
        <v>54</v>
      </c>
      <c r="E12" s="1" t="s">
        <v>99</v>
      </c>
      <c r="F12" s="1" t="n">
        <v>1</v>
      </c>
      <c r="G12" s="1" t="n">
        <v>1</v>
      </c>
      <c r="H12" s="1" t="n">
        <v>1</v>
      </c>
      <c r="I12" s="1" t="n">
        <v>0.22</v>
      </c>
      <c r="L12" s="1" t="n">
        <v>0.0251</v>
      </c>
      <c r="M12" s="1" t="n">
        <v>0.0019</v>
      </c>
      <c r="N12" s="1" t="n">
        <v>0.0019</v>
      </c>
      <c r="O12" s="2" t="n">
        <f aca="false">Q12/L12</f>
        <v>418.326693227092</v>
      </c>
      <c r="P12" s="2" t="n">
        <f aca="false">O12/9.81</f>
        <v>42.6428841210083</v>
      </c>
      <c r="Q12" s="1" t="n">
        <v>10.5</v>
      </c>
      <c r="R12" s="1" t="n">
        <f aca="false">Q12*I12</f>
        <v>2.31</v>
      </c>
      <c r="S12" s="1" t="n">
        <v>0.33</v>
      </c>
      <c r="T12" s="1" t="n">
        <v>0.05</v>
      </c>
      <c r="U12" s="1" t="n">
        <f aca="false">N12*I12/0.000001</f>
        <v>418</v>
      </c>
      <c r="V12" s="1" t="n">
        <f aca="false">(4*PI()*S12*T12*I12^2)/0.000001</f>
        <v>10035.5035726272</v>
      </c>
      <c r="AE12" s="1" t="s">
        <v>100</v>
      </c>
    </row>
  </sheetData>
  <hyperlinks>
    <hyperlink ref="AE12" r:id="rId1" display="https://doi.org/10.1126/scirobotics.aat1893"/>
  </hyperlinks>
  <printOptions headings="false" gridLines="false" gridLinesSet="true" horizontalCentered="false" verticalCentered="false"/>
  <pageMargins left="0" right="0" top="0.39375" bottom="0.39375" header="0" footer="0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  <tableParts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D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E4" activeCellId="0" sqref="E4"/>
    </sheetView>
  </sheetViews>
  <sheetFormatPr defaultColWidth="8.6171875" defaultRowHeight="12.8" zeroHeight="false" outlineLevelRow="0" outlineLevelCol="0"/>
  <cols>
    <col collapsed="false" customWidth="true" hidden="false" outlineLevel="0" max="1" min="1" style="10" width="24.44"/>
    <col collapsed="false" customWidth="true" hidden="false" outlineLevel="0" max="2" min="2" style="10" width="16.25"/>
    <col collapsed="false" customWidth="true" hidden="false" outlineLevel="0" max="3" min="3" style="10" width="29.75"/>
    <col collapsed="false" customWidth="true" hidden="false" outlineLevel="0" max="5" min="4" style="10" width="12.63"/>
    <col collapsed="false" customWidth="true" hidden="false" outlineLevel="0" max="6" min="6" style="10" width="14.13"/>
    <col collapsed="false" customWidth="true" hidden="false" outlineLevel="0" max="11" min="7" style="10" width="10.61"/>
    <col collapsed="false" customWidth="true" hidden="false" outlineLevel="0" max="12" min="12" style="10" width="14.37"/>
    <col collapsed="false" customWidth="true" hidden="false" outlineLevel="0" max="13" min="13" style="10" width="15"/>
    <col collapsed="false" customWidth="true" hidden="false" outlineLevel="0" max="18" min="14" style="10" width="19.75"/>
    <col collapsed="false" customWidth="true" hidden="false" outlineLevel="0" max="19" min="19" style="10" width="23.13"/>
    <col collapsed="false" customWidth="true" hidden="false" outlineLevel="0" max="22" min="20" style="10" width="18.61"/>
    <col collapsed="false" customWidth="true" hidden="false" outlineLevel="0" max="23" min="23" style="11" width="21.15"/>
    <col collapsed="false" customWidth="true" hidden="false" outlineLevel="0" max="24" min="24" style="10" width="17.85"/>
    <col collapsed="false" customWidth="true" hidden="false" outlineLevel="0" max="25" min="25" style="11" width="13.25"/>
    <col collapsed="false" customWidth="true" hidden="false" outlineLevel="0" max="26" min="26" style="10" width="22.67"/>
    <col collapsed="false" customWidth="true" hidden="false" outlineLevel="0" max="69" min="27" style="10" width="10.61"/>
    <col collapsed="false" customWidth="true" hidden="false" outlineLevel="0" max="70" min="70" style="1" width="9"/>
    <col collapsed="false" customWidth="false" hidden="false" outlineLevel="0" max="1024" min="71" style="1" width="8.62"/>
  </cols>
  <sheetData>
    <row r="1" s="12" customFormat="true" ht="13.8" hidden="false" customHeight="false" outlineLevel="0" collapsed="false">
      <c r="A1" s="12" t="s">
        <v>1</v>
      </c>
      <c r="B1" s="12" t="s">
        <v>37</v>
      </c>
      <c r="C1" s="12" t="s">
        <v>38</v>
      </c>
      <c r="D1" s="12" t="s">
        <v>2</v>
      </c>
      <c r="E1" s="12" t="s">
        <v>39</v>
      </c>
      <c r="F1" s="12" t="s">
        <v>40</v>
      </c>
      <c r="G1" s="12" t="s">
        <v>41</v>
      </c>
      <c r="H1" s="12" t="s">
        <v>3</v>
      </c>
      <c r="I1" s="12" t="s">
        <v>4</v>
      </c>
      <c r="J1" s="12" t="s">
        <v>5</v>
      </c>
      <c r="K1" s="12" t="s">
        <v>6</v>
      </c>
      <c r="L1" s="12" t="s">
        <v>7</v>
      </c>
      <c r="M1" s="12" t="s">
        <v>8</v>
      </c>
      <c r="N1" s="12" t="s">
        <v>9</v>
      </c>
      <c r="O1" s="12" t="s">
        <v>10</v>
      </c>
      <c r="P1" s="12" t="s">
        <v>11</v>
      </c>
      <c r="Q1" s="12" t="s">
        <v>12</v>
      </c>
      <c r="R1" s="12" t="s">
        <v>43</v>
      </c>
      <c r="S1" s="12" t="s">
        <v>44</v>
      </c>
      <c r="T1" s="12" t="s">
        <v>13</v>
      </c>
      <c r="U1" s="12" t="s">
        <v>45</v>
      </c>
      <c r="V1" s="12" t="s">
        <v>46</v>
      </c>
      <c r="W1" s="12" t="s">
        <v>47</v>
      </c>
      <c r="X1" s="12" t="s">
        <v>15</v>
      </c>
      <c r="Y1" s="12" t="s">
        <v>16</v>
      </c>
      <c r="Z1" s="12" t="s">
        <v>48</v>
      </c>
      <c r="AA1" s="12" t="s">
        <v>49</v>
      </c>
      <c r="AB1" s="12" t="s">
        <v>19</v>
      </c>
      <c r="AC1" s="12" t="s">
        <v>50</v>
      </c>
      <c r="AD1" s="12" t="s">
        <v>21</v>
      </c>
    </row>
    <row r="2" customFormat="false" ht="13.8" hidden="false" customHeight="false" outlineLevel="0" collapsed="false">
      <c r="A2" s="10" t="s">
        <v>101</v>
      </c>
      <c r="B2" s="10" t="s">
        <v>102</v>
      </c>
      <c r="C2" s="10" t="s">
        <v>59</v>
      </c>
      <c r="D2" s="10" t="s">
        <v>103</v>
      </c>
      <c r="E2" s="10" t="s">
        <v>104</v>
      </c>
      <c r="F2" s="10" t="n">
        <v>2</v>
      </c>
      <c r="G2" s="10" t="n">
        <f aca="false">F2</f>
        <v>2</v>
      </c>
      <c r="H2" s="10" t="n">
        <v>0.11</v>
      </c>
      <c r="I2" s="10" t="n">
        <v>0.21</v>
      </c>
      <c r="J2" s="10" t="n">
        <v>0.025</v>
      </c>
      <c r="K2" s="10" t="n">
        <v>0.055</v>
      </c>
      <c r="L2" s="10" t="n">
        <v>0.0074</v>
      </c>
      <c r="M2" s="10" t="n">
        <v>0.00737</v>
      </c>
      <c r="N2" s="10" t="n">
        <f aca="false">P2/K2</f>
        <v>6167.45454545455</v>
      </c>
      <c r="O2" s="10" t="n">
        <f aca="false">N2/9.81</f>
        <v>628.690575479566</v>
      </c>
      <c r="P2" s="10" t="n">
        <v>339.21</v>
      </c>
      <c r="Q2" s="10" t="n">
        <f aca="false">P2*H2</f>
        <v>37.3131</v>
      </c>
      <c r="R2" s="10" t="n">
        <v>0.167</v>
      </c>
      <c r="S2" s="10" t="n">
        <v>0.20238</v>
      </c>
      <c r="T2" s="10" t="n">
        <f aca="false">(H2*M2)/0.000001</f>
        <v>810.7</v>
      </c>
      <c r="U2" s="10" t="n">
        <f aca="false">(4*PI()*R2*S2*H2^2)/0.000001</f>
        <v>5139.00803902615</v>
      </c>
      <c r="Z2" s="12"/>
      <c r="AD2" s="10" t="s">
        <v>105</v>
      </c>
    </row>
    <row r="3" customFormat="false" ht="13.8" hidden="false" customHeight="false" outlineLevel="0" collapsed="false">
      <c r="A3" s="10" t="s">
        <v>106</v>
      </c>
      <c r="B3" s="10" t="s">
        <v>102</v>
      </c>
      <c r="C3" s="10" t="s">
        <v>59</v>
      </c>
      <c r="D3" s="10" t="s">
        <v>103</v>
      </c>
      <c r="E3" s="10" t="s">
        <v>107</v>
      </c>
      <c r="F3" s="10" t="n">
        <v>2</v>
      </c>
      <c r="G3" s="10" t="n">
        <f aca="false">F3</f>
        <v>2</v>
      </c>
      <c r="H3" s="10" t="n">
        <v>0.21</v>
      </c>
      <c r="I3" s="10" t="n">
        <v>0.33</v>
      </c>
      <c r="J3" s="10" t="n">
        <v>0.05</v>
      </c>
      <c r="K3" s="10" t="n">
        <v>0.119</v>
      </c>
      <c r="L3" s="10" t="n">
        <v>0.07</v>
      </c>
      <c r="M3" s="10" t="n">
        <f aca="false">L3</f>
        <v>0.07</v>
      </c>
      <c r="N3" s="10" t="n">
        <f aca="false">P3/K3</f>
        <v>2352.94117647059</v>
      </c>
      <c r="O3" s="10" t="n">
        <f aca="false">N3/9.81</f>
        <v>239.851292198837</v>
      </c>
      <c r="P3" s="10" t="n">
        <v>280</v>
      </c>
      <c r="Q3" s="10" t="n">
        <f aca="false">P3*H3</f>
        <v>58.8</v>
      </c>
      <c r="R3" s="10" t="n">
        <v>0.157</v>
      </c>
      <c r="S3" s="10" t="n">
        <v>0.010332</v>
      </c>
      <c r="T3" s="10" t="n">
        <f aca="false">(H3*M3)/0.000001</f>
        <v>14700</v>
      </c>
      <c r="U3" s="10" t="n">
        <f aca="false">(4*PI()*R3*S3*H3^2)/0.000001</f>
        <v>898.943721260302</v>
      </c>
      <c r="Z3" s="12"/>
      <c r="AB3" s="10" t="n">
        <v>2</v>
      </c>
      <c r="AD3" s="10" t="s">
        <v>108</v>
      </c>
    </row>
  </sheetData>
  <printOptions headings="false" gridLines="false" gridLinesSet="true" horizontalCentered="false" verticalCentered="false"/>
  <pageMargins left="0" right="0" top="0.39375" bottom="0.39375" header="0" footer="0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  <tableParts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Q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E12" activeCellId="0" sqref="E12"/>
    </sheetView>
  </sheetViews>
  <sheetFormatPr defaultColWidth="8.6171875" defaultRowHeight="13.8" zeroHeight="false" outlineLevelRow="0" outlineLevelCol="0"/>
  <cols>
    <col collapsed="false" customWidth="true" hidden="false" outlineLevel="0" max="1" min="1" style="10" width="21"/>
    <col collapsed="false" customWidth="true" hidden="false" outlineLevel="0" max="2" min="2" style="10" width="16.25"/>
    <col collapsed="false" customWidth="true" hidden="false" outlineLevel="0" max="3" min="3" style="10" width="29.75"/>
    <col collapsed="false" customWidth="true" hidden="false" outlineLevel="0" max="5" min="4" style="10" width="12.63"/>
    <col collapsed="false" customWidth="true" hidden="false" outlineLevel="0" max="6" min="6" style="10" width="13.63"/>
    <col collapsed="false" customWidth="true" hidden="false" outlineLevel="0" max="7" min="7" style="10" width="16.84"/>
    <col collapsed="false" customWidth="true" hidden="false" outlineLevel="0" max="11" min="8" style="10" width="10.61"/>
    <col collapsed="false" customWidth="true" hidden="false" outlineLevel="0" max="12" min="12" style="10" width="14.37"/>
    <col collapsed="false" customWidth="true" hidden="false" outlineLevel="0" max="13" min="13" style="10" width="15"/>
    <col collapsed="false" customWidth="true" hidden="false" outlineLevel="0" max="18" min="14" style="10" width="19.75"/>
    <col collapsed="false" customWidth="true" hidden="false" outlineLevel="0" max="19" min="19" style="10" width="23.13"/>
    <col collapsed="false" customWidth="true" hidden="false" outlineLevel="0" max="22" min="20" style="10" width="18.61"/>
    <col collapsed="false" customWidth="true" hidden="false" outlineLevel="0" max="23" min="23" style="11" width="13.25"/>
    <col collapsed="false" customWidth="true" hidden="false" outlineLevel="0" max="24" min="24" style="10" width="12.5"/>
    <col collapsed="false" customWidth="true" hidden="false" outlineLevel="0" max="25" min="25" style="11" width="13.25"/>
    <col collapsed="false" customWidth="true" hidden="false" outlineLevel="0" max="26" min="26" style="12" width="45.6"/>
    <col collapsed="false" customWidth="true" hidden="false" outlineLevel="0" max="69" min="27" style="10" width="10.61"/>
    <col collapsed="false" customWidth="true" hidden="false" outlineLevel="0" max="70" min="70" style="12" width="9"/>
  </cols>
  <sheetData>
    <row r="1" customFormat="false" ht="13.8" hidden="false" customHeight="false" outlineLevel="0" collapsed="false">
      <c r="A1" s="12" t="s">
        <v>1</v>
      </c>
      <c r="B1" s="12" t="s">
        <v>37</v>
      </c>
      <c r="C1" s="12" t="s">
        <v>38</v>
      </c>
      <c r="D1" s="12" t="s">
        <v>2</v>
      </c>
      <c r="E1" s="12" t="s">
        <v>39</v>
      </c>
      <c r="F1" s="12" t="s">
        <v>40</v>
      </c>
      <c r="G1" s="12" t="s">
        <v>41</v>
      </c>
      <c r="H1" s="12" t="s">
        <v>3</v>
      </c>
      <c r="I1" s="12" t="s">
        <v>4</v>
      </c>
      <c r="J1" s="12" t="s">
        <v>5</v>
      </c>
      <c r="K1" s="12" t="s">
        <v>6</v>
      </c>
      <c r="L1" s="12" t="s">
        <v>7</v>
      </c>
      <c r="M1" s="12" t="s">
        <v>8</v>
      </c>
      <c r="N1" s="12" t="s">
        <v>9</v>
      </c>
      <c r="O1" s="12" t="s">
        <v>10</v>
      </c>
      <c r="P1" s="12" t="s">
        <v>11</v>
      </c>
      <c r="Q1" s="12" t="s">
        <v>12</v>
      </c>
      <c r="R1" s="12" t="s">
        <v>43</v>
      </c>
      <c r="S1" s="12" t="s">
        <v>44</v>
      </c>
      <c r="T1" s="12" t="s">
        <v>13</v>
      </c>
      <c r="U1" s="12" t="s">
        <v>45</v>
      </c>
      <c r="V1" s="12" t="s">
        <v>46</v>
      </c>
      <c r="W1" s="12" t="s">
        <v>47</v>
      </c>
      <c r="X1" s="12" t="s">
        <v>15</v>
      </c>
      <c r="Y1" s="12" t="s">
        <v>16</v>
      </c>
      <c r="Z1" s="12" t="s">
        <v>48</v>
      </c>
      <c r="AA1" s="12" t="s">
        <v>49</v>
      </c>
      <c r="AB1" s="12" t="s">
        <v>19</v>
      </c>
      <c r="AC1" s="12" t="s">
        <v>50</v>
      </c>
      <c r="AD1" s="12" t="s">
        <v>21</v>
      </c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  <c r="BO1" s="12"/>
      <c r="BP1" s="12"/>
      <c r="BQ1" s="12"/>
    </row>
    <row r="2" customFormat="false" ht="13.8" hidden="false" customHeight="false" outlineLevel="0" collapsed="false">
      <c r="A2" s="10" t="s">
        <v>109</v>
      </c>
      <c r="B2" s="10" t="s">
        <v>110</v>
      </c>
      <c r="C2" s="10" t="s">
        <v>111</v>
      </c>
      <c r="D2" s="10" t="s">
        <v>112</v>
      </c>
      <c r="E2" s="10" t="s">
        <v>61</v>
      </c>
      <c r="F2" s="10" t="n">
        <v>4</v>
      </c>
      <c r="G2" s="10" t="n">
        <f aca="false">F2</f>
        <v>4</v>
      </c>
      <c r="H2" s="10" t="n">
        <v>0.78</v>
      </c>
      <c r="I2" s="10" t="n">
        <v>0.44</v>
      </c>
      <c r="J2" s="10" t="n">
        <v>0.13</v>
      </c>
      <c r="K2" s="10" t="n">
        <v>24.4</v>
      </c>
      <c r="L2" s="10" t="n">
        <v>0.77</v>
      </c>
      <c r="M2" s="10" t="n">
        <v>0.77</v>
      </c>
      <c r="N2" s="10" t="n">
        <f aca="false">P2/K2</f>
        <v>3.4335</v>
      </c>
      <c r="O2" s="10" t="n">
        <f aca="false">N2/9.81</f>
        <v>0.35</v>
      </c>
      <c r="P2" s="10" t="n">
        <v>83.7774</v>
      </c>
      <c r="Q2" s="10" t="n">
        <f aca="false">P2*H2</f>
        <v>65.346372</v>
      </c>
      <c r="R2" s="10" t="n">
        <v>6</v>
      </c>
      <c r="S2" s="10" t="n">
        <v>0.0288</v>
      </c>
      <c r="T2" s="10" t="n">
        <f aca="false">(M2*H2)/0.000001</f>
        <v>600600</v>
      </c>
      <c r="U2" s="10" t="n">
        <f aca="false">(4*PI()*R2*S2*H2^2)/0.000001</f>
        <v>1321121.64357091</v>
      </c>
      <c r="AD2" s="12" t="s">
        <v>113</v>
      </c>
    </row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" right="0" top="0.39375" bottom="0.39375" header="0" footer="0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5093</TotalTime>
  <Application>LibreOffice/7.2.6.2$Linux_X86_64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2020-04-22T09:21:04Z</dcterms:created>
  <dc:creator>Michael Coe</dc:creator>
  <dc:description/>
  <dc:language>en-NZ</dc:language>
  <cp:lastModifiedBy/>
  <dcterms:modified xsi:type="dcterms:W3CDTF">2022-03-31T16:04:16Z</dcterms:modified>
  <cp:revision>2521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