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ost-of-Transport-Estimation\"/>
    </mc:Choice>
  </mc:AlternateContent>
  <xr:revisionPtr revIDLastSave="0" documentId="8_{DE4AA079-66A8-4FDA-9366-76CAF081A23F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Propeller" sheetId="1" r:id="rId1"/>
    <sheet name="BCF" sheetId="2" r:id="rId2"/>
    <sheet name="MPF" sheetId="3" r:id="rId3"/>
    <sheet name="LiftBased" sheetId="4" r:id="rId4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" i="4" l="1"/>
  <c r="T2" i="4"/>
  <c r="Q2" i="4"/>
  <c r="N2" i="4"/>
  <c r="O2" i="4" s="1"/>
  <c r="G2" i="4"/>
  <c r="U3" i="3"/>
  <c r="Q3" i="3"/>
  <c r="N3" i="3"/>
  <c r="O3" i="3" s="1"/>
  <c r="M3" i="3"/>
  <c r="T3" i="3" s="1"/>
  <c r="G3" i="3"/>
  <c r="U2" i="3"/>
  <c r="T2" i="3"/>
  <c r="Q2" i="3"/>
  <c r="O2" i="3"/>
  <c r="N2" i="3"/>
  <c r="G2" i="3"/>
  <c r="V11" i="2"/>
  <c r="U11" i="2"/>
  <c r="R11" i="2"/>
  <c r="O11" i="2"/>
  <c r="P11" i="2" s="1"/>
  <c r="V10" i="2"/>
  <c r="U10" i="2"/>
  <c r="R10" i="2"/>
  <c r="P10" i="2"/>
  <c r="O10" i="2"/>
  <c r="V9" i="2"/>
  <c r="U9" i="2"/>
  <c r="R9" i="2"/>
  <c r="P9" i="2"/>
  <c r="O9" i="2"/>
  <c r="V8" i="2"/>
  <c r="U8" i="2"/>
  <c r="R8" i="2"/>
  <c r="O8" i="2"/>
  <c r="P8" i="2" s="1"/>
  <c r="V7" i="2"/>
  <c r="U7" i="2"/>
  <c r="R7" i="2"/>
  <c r="O7" i="2"/>
  <c r="P7" i="2" s="1"/>
  <c r="U6" i="2"/>
  <c r="T6" i="2"/>
  <c r="V6" i="2" s="1"/>
  <c r="R6" i="2"/>
  <c r="P6" i="2"/>
  <c r="O6" i="2"/>
  <c r="V5" i="2"/>
  <c r="U5" i="2"/>
  <c r="R5" i="2"/>
  <c r="O5" i="2"/>
  <c r="P5" i="2" s="1"/>
  <c r="X4" i="2"/>
  <c r="V4" i="2"/>
  <c r="U4" i="2"/>
  <c r="R4" i="2"/>
  <c r="P4" i="2"/>
  <c r="O4" i="2"/>
  <c r="V3" i="2"/>
  <c r="U3" i="2"/>
  <c r="R3" i="2"/>
  <c r="P3" i="2"/>
  <c r="O3" i="2"/>
  <c r="N5" i="1"/>
  <c r="M5" i="1"/>
  <c r="K5" i="1"/>
  <c r="J5" i="1"/>
  <c r="N4" i="1"/>
  <c r="M4" i="1"/>
  <c r="L4" i="1"/>
  <c r="K4" i="1"/>
  <c r="N3" i="1"/>
  <c r="M3" i="1"/>
  <c r="L3" i="1"/>
  <c r="K3" i="1"/>
  <c r="M2" i="1"/>
  <c r="K2" i="1"/>
  <c r="J2" i="1"/>
  <c r="I2" i="1"/>
  <c r="N2" i="1" s="1"/>
</calcChain>
</file>

<file path=xl/sharedStrings.xml><?xml version="1.0" encoding="utf-8"?>
<sst xmlns="http://schemas.openxmlformats.org/spreadsheetml/2006/main" count="234" uniqueCount="138">
  <si>
    <t>Manufacturer</t>
  </si>
  <si>
    <t>Name</t>
  </si>
  <si>
    <t>Locomotion</t>
  </si>
  <si>
    <t>Length [m]</t>
  </si>
  <si>
    <t>Width [m]</t>
  </si>
  <si>
    <t>Height [m]</t>
  </si>
  <si>
    <t>Weight [kg]</t>
  </si>
  <si>
    <t>Umax [m/s]</t>
  </si>
  <si>
    <t>Uopt [m/s]</t>
  </si>
  <si>
    <t>COTopt [J/kgm]</t>
  </si>
  <si>
    <t>COTopt [J/Nm]</t>
  </si>
  <si>
    <t>COTopt [J/m]</t>
  </si>
  <si>
    <t>COTopt [J]</t>
  </si>
  <si>
    <t>Re</t>
  </si>
  <si>
    <t>Jw</t>
  </si>
  <si>
    <t>Max Depth [m]</t>
  </si>
  <si>
    <t>Endurance [hr]</t>
  </si>
  <si>
    <t>Battery Rating [kWh]</t>
  </si>
  <si>
    <t>Battery Type</t>
  </si>
  <si>
    <t>Hotel Power [W]</t>
  </si>
  <si>
    <t>Propulsion Power [W]</t>
  </si>
  <si>
    <t>Reference</t>
  </si>
  <si>
    <t>National Oceanography Center</t>
  </si>
  <si>
    <t>Autosub 3</t>
  </si>
  <si>
    <t>Propeller</t>
  </si>
  <si>
    <t>https://noc.ac.uk/facilities/marine-autonomous-robotic-systems/autosubs</t>
  </si>
  <si>
    <t>Kongsberg Maritime</t>
  </si>
  <si>
    <t>HUGIN 4500</t>
  </si>
  <si>
    <t>Al/HP semi Fuelcell</t>
  </si>
  <si>
    <t>Kongsberg, 2009</t>
  </si>
  <si>
    <t>Maritime and Ocean Engineering Research Institute</t>
  </si>
  <si>
    <t>ISiMI</t>
  </si>
  <si>
    <t>Li-Polymer</t>
  </si>
  <si>
    <t>Jun et al., 2009</t>
  </si>
  <si>
    <t>Memorial University</t>
  </si>
  <si>
    <t>MUN Explorer</t>
  </si>
  <si>
    <t>Moli-Lithium-Ion Cobalt</t>
  </si>
  <si>
    <t>Author</t>
  </si>
  <si>
    <t>Affiliation</t>
  </si>
  <si>
    <t>Actuator</t>
  </si>
  <si>
    <t>No Actuators</t>
  </si>
  <si>
    <t>No Linkages</t>
  </si>
  <si>
    <t>Compliant Tail</t>
  </si>
  <si>
    <t>Freq [Hz]</t>
  </si>
  <si>
    <t>A [BL]</t>
  </si>
  <si>
    <t>Sw</t>
  </si>
  <si>
    <t>Yaw Speed [m/s]</t>
  </si>
  <si>
    <t>Yaw Radius [m]</t>
  </si>
  <si>
    <t>Operating Voltage [V]</t>
  </si>
  <si>
    <t>Battery Rating [Ah]</t>
  </si>
  <si>
    <t>Mechanical Power [W]</t>
  </si>
  <si>
    <t>Cyberfish</t>
  </si>
  <si>
    <t>Szymak</t>
  </si>
  <si>
    <t>Polish Naval Academy</t>
  </si>
  <si>
    <t>Carangiform</t>
  </si>
  <si>
    <t>Servo</t>
  </si>
  <si>
    <t>https://doi.org/10.1007/978-3-319-05353-0_43</t>
  </si>
  <si>
    <t>Tunabot</t>
  </si>
  <si>
    <t>Zhu</t>
  </si>
  <si>
    <t>University of Virginia</t>
  </si>
  <si>
    <t>Thunniform</t>
  </si>
  <si>
    <t>Motor</t>
  </si>
  <si>
    <t>https://doi.org/10.1126/scirobotics.aax4615</t>
  </si>
  <si>
    <t>RoboPike</t>
  </si>
  <si>
    <t>Kumph</t>
  </si>
  <si>
    <t>Massachusetts Institute of Technology</t>
  </si>
  <si>
    <t>https://dspace.mit.edu/bitstream/handle/1721.1/8968/47045662-MIT.pdf?sequence=2</t>
  </si>
  <si>
    <t>RoboSalmon</t>
  </si>
  <si>
    <t>McColgan</t>
  </si>
  <si>
    <t>University of Glasgow</t>
  </si>
  <si>
    <t>Sub-Carangiform</t>
  </si>
  <si>
    <t>https://doi.org/10.1109/10.3390/robotics5010002</t>
  </si>
  <si>
    <t>Arowana</t>
  </si>
  <si>
    <t>Low</t>
  </si>
  <si>
    <t>Nanyang Technological University</t>
  </si>
  <si>
    <t>https://doi.org/10.1109/ICMA.2007.4303527</t>
  </si>
  <si>
    <t>Finbot</t>
  </si>
  <si>
    <t>Berlinger</t>
  </si>
  <si>
    <t>Harvard University</t>
  </si>
  <si>
    <t>Ostraciiform</t>
  </si>
  <si>
    <t>Magnetic</t>
  </si>
  <si>
    <t>https://doi.org/10.1088/1748-3190/abd013</t>
  </si>
  <si>
    <t>Kyushu Carangiform</t>
  </si>
  <si>
    <t>Fujiwara</t>
  </si>
  <si>
    <t>Kyushu University</t>
  </si>
  <si>
    <t>https://doi.org/10.1109/IROS.2017.8206281</t>
  </si>
  <si>
    <t>iSplah Micro</t>
  </si>
  <si>
    <t>Clapham</t>
  </si>
  <si>
    <t>University of Essex</t>
  </si>
  <si>
    <t>https://doi.org/10.1109/IROS.2014.6942574</t>
  </si>
  <si>
    <t>NTNU Mamba</t>
  </si>
  <si>
    <t>Kelasidi</t>
  </si>
  <si>
    <t>NTNU</t>
  </si>
  <si>
    <t>Anguiliform</t>
  </si>
  <si>
    <t>https://doi.org/10.1109/SSRR.2016.7784295</t>
  </si>
  <si>
    <t>UCSD DEA leptocephali</t>
  </si>
  <si>
    <t>Christianson</t>
  </si>
  <si>
    <t>University of California, San Diego</t>
  </si>
  <si>
    <t>DEA</t>
  </si>
  <si>
    <t>https://doi.org/10.1126/scirobotics.aat1893</t>
  </si>
  <si>
    <t>UV Robotic Mantaray</t>
  </si>
  <si>
    <t>Chen</t>
  </si>
  <si>
    <t>Rajiform</t>
  </si>
  <si>
    <t>IPMC</t>
  </si>
  <si>
    <t>http://brcl.me.uh.edu/Paper/JSMN11.pdf</t>
  </si>
  <si>
    <t>UV Cownose Ray</t>
  </si>
  <si>
    <t>EAP</t>
  </si>
  <si>
    <t>https://www.researchgate.net/publication/266891803_Bio-Inspired_Robotic_Cownose_Ray_Propelled_by_Electroactive_Polymer_Pectoral_Fin</t>
  </si>
  <si>
    <t>Madeline</t>
  </si>
  <si>
    <t>Long</t>
  </si>
  <si>
    <t>Vassar College</t>
  </si>
  <si>
    <t>LiftBased</t>
  </si>
  <si>
    <t>https://doi.org/10.1088/1748-3182/1/1/003</t>
  </si>
  <si>
    <t>4</t>
  </si>
  <si>
    <t>3</t>
  </si>
  <si>
    <t>0</t>
  </si>
  <si>
    <t>0.69</t>
  </si>
  <si>
    <t>0.22</t>
  </si>
  <si>
    <t>0.23</t>
  </si>
  <si>
    <t>3.4</t>
  </si>
  <si>
    <t>0.66</t>
  </si>
  <si>
    <t>0.662</t>
  </si>
  <si>
    <t>3.9559</t>
  </si>
  <si>
    <t>0.4032</t>
  </si>
  <si>
    <t>13.45</t>
  </si>
  <si>
    <t>9.2805</t>
  </si>
  <si>
    <t>1.4</t>
  </si>
  <si>
    <t>0.08</t>
  </si>
  <si>
    <t>455400</t>
  </si>
  <si>
    <t>670079.0935</t>
  </si>
  <si>
    <t>Column3</t>
  </si>
  <si>
    <t>Column4</t>
  </si>
  <si>
    <t>Column5</t>
  </si>
  <si>
    <t>36</t>
  </si>
  <si>
    <t>11.1</t>
  </si>
  <si>
    <t>2.4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</si>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</sst>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CC0000"/>
      <name val="Arial"/>
      <charset val="1"/>
    </font>
    <font>
      <sz val="10"/>
      <color rgb="FF000000"/>
      <name val="Arial"/>
      <charset val="1"/>
    </font>
    <font>
      <sz val="10"/>
      <color rgb="FF000000"/>
      <name val="Calibri"/>
      <family val="2"/>
      <charset val="1"/>
    </font>
    <font>
      <sz val="11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7" fillId="0" borderId="0" applyBorder="0" applyProtection="0"/>
  </cellStyleXfs>
  <cellXfs count="13">
    <xf numFmtId="0" fontId="0" fillId="0" borderId="0" xfId="0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0" fillId="0" borderId="0" xfId="0" applyNumberFormat="1"/>
    <xf numFmtId="0" fontId="8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Font="1"/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V5" totalsRowShown="0">
  <tableColumns count="22">
    <tableColumn id="1" xr3:uid="{00000000-0010-0000-0000-000001000000}" name="Manufacturer"/>
    <tableColumn id="2" xr3:uid="{00000000-0010-0000-0000-000002000000}" name="Name"/>
    <tableColumn id="3" xr3:uid="{00000000-0010-0000-0000-000003000000}" name="Locomotion"/>
    <tableColumn id="4" xr3:uid="{00000000-0010-0000-0000-000004000000}" name="Length [m]"/>
    <tableColumn id="5" xr3:uid="{00000000-0010-0000-0000-000005000000}" name="Width [m]"/>
    <tableColumn id="6" xr3:uid="{00000000-0010-0000-0000-000006000000}" name="Height [m]"/>
    <tableColumn id="7" xr3:uid="{00000000-0010-0000-0000-000007000000}" name="Weight [kg]"/>
    <tableColumn id="8" xr3:uid="{00000000-0010-0000-0000-000008000000}" name="Umax [m/s]"/>
    <tableColumn id="9" xr3:uid="{00000000-0010-0000-0000-000009000000}" name="Uopt [m/s]"/>
    <tableColumn id="10" xr3:uid="{00000000-0010-0000-0000-00000A000000}" name="COTopt [J/kgm]"/>
    <tableColumn id="11" xr3:uid="{00000000-0010-0000-0000-00000B000000}" name="COTopt [J/Nm]"/>
    <tableColumn id="12" xr3:uid="{00000000-0010-0000-0000-00000C000000}" name="COTopt [J/m]"/>
    <tableColumn id="13" xr3:uid="{00000000-0010-0000-0000-00000D000000}" name="COTopt [J]"/>
    <tableColumn id="14" xr3:uid="{00000000-0010-0000-0000-00000E000000}" name="Re"/>
    <tableColumn id="15" xr3:uid="{00000000-0010-0000-0000-00000F000000}" name="Jw"/>
    <tableColumn id="16" xr3:uid="{00000000-0010-0000-0000-000010000000}" name="Max Depth [m]"/>
    <tableColumn id="17" xr3:uid="{00000000-0010-0000-0000-000011000000}" name="Endurance [hr]"/>
    <tableColumn id="18" xr3:uid="{00000000-0010-0000-0000-000012000000}" name="Battery Rating [kWh]"/>
    <tableColumn id="19" xr3:uid="{00000000-0010-0000-0000-000013000000}" name="Battery Type"/>
    <tableColumn id="20" xr3:uid="{00000000-0010-0000-0000-000014000000}" name="Hotel Power [W]"/>
    <tableColumn id="21" xr3:uid="{00000000-0010-0000-0000-000015000000}" name="Propulsion Power [W]"/>
    <tableColumn id="22" xr3:uid="{00000000-0010-0000-0000-000016000000}" name="Referenc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1" displayName="__Anonymous_Sheet_DB__1" ref="A2:AE9" totalsRowShown="0">
  <tableColumns count="31">
    <tableColumn id="1" xr3:uid="{00000000-0010-0000-0100-000001000000}" name="Cyberfish"/>
    <tableColumn id="2" xr3:uid="{00000000-0010-0000-0100-000002000000}" name="Szymak"/>
    <tableColumn id="3" xr3:uid="{00000000-0010-0000-0100-000003000000}" name="Polish Naval Academy"/>
    <tableColumn id="4" xr3:uid="{00000000-0010-0000-0100-000004000000}" name="Carangiform"/>
    <tableColumn id="5" xr3:uid="{00000000-0010-0000-0100-000005000000}" name="Servo"/>
    <tableColumn id="6" xr3:uid="{00000000-0010-0000-0100-000006000000}" name="4"/>
    <tableColumn id="7" xr3:uid="{00000000-0010-0000-0100-000007000000}" name="3"/>
    <tableColumn id="8" xr3:uid="{00000000-0010-0000-0100-000008000000}" name="0"/>
    <tableColumn id="9" xr3:uid="{00000000-0010-0000-0100-000009000000}" name="0.69"/>
    <tableColumn id="10" xr3:uid="{00000000-0010-0000-0100-00000A000000}" name="0.22"/>
    <tableColumn id="11" xr3:uid="{00000000-0010-0000-0100-00000B000000}" name="0.23"/>
    <tableColumn id="12" xr3:uid="{00000000-0010-0000-0100-00000C000000}" name="3.4"/>
    <tableColumn id="13" xr3:uid="{00000000-0010-0000-0100-00000D000000}" name="0.66"/>
    <tableColumn id="14" xr3:uid="{00000000-0010-0000-0100-00000E000000}" name="0.662"/>
    <tableColumn id="15" xr3:uid="{00000000-0010-0000-0100-00000F000000}" name="3.9559"/>
    <tableColumn id="16" xr3:uid="{00000000-0010-0000-0100-000010000000}" name="0.4032"/>
    <tableColumn id="17" xr3:uid="{00000000-0010-0000-0100-000011000000}" name="13.45"/>
    <tableColumn id="18" xr3:uid="{00000000-0010-0000-0100-000012000000}" name="9.2805"/>
    <tableColumn id="19" xr3:uid="{00000000-0010-0000-0100-000013000000}" name="1.4"/>
    <tableColumn id="20" xr3:uid="{00000000-0010-0000-0100-000014000000}" name="0.08"/>
    <tableColumn id="21" xr3:uid="{00000000-0010-0000-0100-000015000000}" name="455400"/>
    <tableColumn id="22" xr3:uid="{00000000-0010-0000-0100-000016000000}" name="670079.0935"/>
    <tableColumn id="23" xr3:uid="{00000000-0010-0000-0100-000017000000}" name="Column3"/>
    <tableColumn id="24" xr3:uid="{00000000-0010-0000-0100-000018000000}" name="Column4"/>
    <tableColumn id="25" xr3:uid="{00000000-0010-0000-0100-000019000000}" name="Column5"/>
    <tableColumn id="26" xr3:uid="{00000000-0010-0000-0100-00001A000000}" name="36"/>
    <tableColumn id="27" xr3:uid="{00000000-0010-0000-0100-00001B000000}" name="11.1"/>
    <tableColumn id="28" xr3:uid="{00000000-0010-0000-0100-00001C000000}" name="2.4"/>
    <tableColumn id="29" xr3:uid="{00000000-0010-0000-0100-00001D000000}" name="Column7"/>
    <tableColumn id="30" xr3:uid="{00000000-0010-0000-0100-00001E000000}" name="Column8"/>
    <tableColumn id="31" xr3:uid="{00000000-0010-0000-0100-00001F000000}" name="https://doi.org/10.1007/978-3-319-05353-0_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doi.org/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"/>
  <sheetViews>
    <sheetView tabSelected="1" zoomScaleNormal="100" workbookViewId="0">
      <pane xSplit="1" ySplit="1" topLeftCell="B2" activePane="bottomRight" state="frozen"/>
      <selection pane="topRight" activeCell="G1" sqref="G1"/>
      <selection pane="bottomLeft" activeCell="A2" sqref="A2"/>
      <selection pane="bottomRight" activeCell="Q11" sqref="Q11"/>
    </sheetView>
  </sheetViews>
  <sheetFormatPr defaultColWidth="8.625" defaultRowHeight="14.25" x14ac:dyDescent="0.2"/>
  <cols>
    <col min="1" max="1" width="52.25" style="1" customWidth="1"/>
    <col min="2" max="2" width="38.75" style="1" customWidth="1"/>
    <col min="3" max="7" width="10.625" style="1" customWidth="1"/>
    <col min="8" max="8" width="13" style="1" customWidth="1"/>
    <col min="9" max="9" width="14.375" style="1" customWidth="1"/>
    <col min="10" max="11" width="12.5" style="2" customWidth="1"/>
    <col min="12" max="16" width="12.5" style="1" customWidth="1"/>
    <col min="17" max="17" width="13.25" style="3" customWidth="1"/>
    <col min="18" max="18" width="17" style="3" customWidth="1"/>
    <col min="19" max="19" width="20.625" style="3" customWidth="1"/>
    <col min="20" max="20" width="14.625" style="3" customWidth="1"/>
    <col min="21" max="21" width="17.625" style="3" customWidth="1"/>
    <col min="22" max="22" width="45.625" style="1" customWidth="1"/>
    <col min="23" max="74" width="10.625" style="1" customWidth="1"/>
    <col min="75" max="75" width="9" style="1" customWidth="1"/>
    <col min="76" max="1024" width="8.625" style="1"/>
  </cols>
  <sheetData>
    <row r="1" spans="1:74" ht="13.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3.9" customHeight="1" x14ac:dyDescent="0.2">
      <c r="A2" s="1" t="s">
        <v>22</v>
      </c>
      <c r="B2" s="1" t="s">
        <v>23</v>
      </c>
      <c r="C2" s="1" t="s">
        <v>24</v>
      </c>
      <c r="D2" s="1">
        <v>3.7</v>
      </c>
      <c r="E2" s="1">
        <v>0.8</v>
      </c>
      <c r="F2" s="1">
        <v>0.8</v>
      </c>
      <c r="G2" s="1">
        <v>1300</v>
      </c>
      <c r="H2" s="1">
        <v>3.9</v>
      </c>
      <c r="I2" s="1">
        <f>ROUND(H2*0.514,2)</f>
        <v>2</v>
      </c>
      <c r="J2" s="2">
        <f>L2/G2</f>
        <v>9.8076923076923075E-2</v>
      </c>
      <c r="K2" s="2">
        <f>J2/9.81</f>
        <v>9.9976476123265108E-3</v>
      </c>
      <c r="L2" s="3">
        <v>127.5</v>
      </c>
      <c r="M2" s="1">
        <f>L2*D2</f>
        <v>471.75</v>
      </c>
      <c r="N2" s="6">
        <f>(I2*D2)/0.000001</f>
        <v>7400000.0000000009</v>
      </c>
      <c r="O2" s="1">
        <v>23323615.160349801</v>
      </c>
      <c r="P2" s="1">
        <v>6000</v>
      </c>
      <c r="Q2" s="3">
        <v>72</v>
      </c>
      <c r="T2" s="3">
        <v>255</v>
      </c>
      <c r="V2" s="1" t="s">
        <v>25</v>
      </c>
    </row>
    <row r="3" spans="1:74" ht="13.9" customHeight="1" x14ac:dyDescent="0.2">
      <c r="A3" s="1" t="s">
        <v>26</v>
      </c>
      <c r="B3" s="1" t="s">
        <v>27</v>
      </c>
      <c r="C3" s="1" t="s">
        <v>24</v>
      </c>
      <c r="D3" s="1">
        <v>6</v>
      </c>
      <c r="E3" s="1">
        <v>1</v>
      </c>
      <c r="F3" s="1">
        <v>1</v>
      </c>
      <c r="G3" s="1">
        <v>1900</v>
      </c>
      <c r="H3" s="1">
        <v>2.0499999999999998</v>
      </c>
      <c r="I3" s="1">
        <v>2</v>
      </c>
      <c r="J3" s="2">
        <v>0.31</v>
      </c>
      <c r="K3" s="2">
        <f>J3/9.81</f>
        <v>3.1600407747196739E-2</v>
      </c>
      <c r="L3" s="1">
        <f>J3*G3</f>
        <v>589</v>
      </c>
      <c r="M3" s="1">
        <f>L3*D3</f>
        <v>3534</v>
      </c>
      <c r="N3" s="6">
        <f>(I3*D3)/0.000001</f>
        <v>12000000</v>
      </c>
      <c r="O3" s="1">
        <v>13275662.193059901</v>
      </c>
      <c r="P3" s="1">
        <v>4500</v>
      </c>
      <c r="Q3" s="1">
        <v>50</v>
      </c>
      <c r="R3" s="1">
        <v>60</v>
      </c>
      <c r="S3" s="1" t="s">
        <v>28</v>
      </c>
      <c r="T3" s="1"/>
      <c r="V3" s="7" t="s">
        <v>29</v>
      </c>
    </row>
    <row r="4" spans="1:74" ht="13.9" customHeight="1" x14ac:dyDescent="0.2">
      <c r="A4" s="1" t="s">
        <v>30</v>
      </c>
      <c r="B4" s="1" t="s">
        <v>31</v>
      </c>
      <c r="C4" s="1" t="s">
        <v>24</v>
      </c>
      <c r="D4" s="1">
        <v>1.5</v>
      </c>
      <c r="E4" s="1">
        <v>0.2</v>
      </c>
      <c r="F4" s="1">
        <v>0.2</v>
      </c>
      <c r="G4" s="1">
        <v>20</v>
      </c>
      <c r="H4" s="1">
        <v>2</v>
      </c>
      <c r="I4" s="1">
        <v>0.80216136496032897</v>
      </c>
      <c r="J4" s="2">
        <v>3.7</v>
      </c>
      <c r="K4" s="2">
        <f>J4/9.81</f>
        <v>0.37716615698267075</v>
      </c>
      <c r="L4" s="1">
        <f>J4*G4</f>
        <v>74</v>
      </c>
      <c r="M4" s="1">
        <f>L4*D4</f>
        <v>111</v>
      </c>
      <c r="N4" s="6">
        <f>(I4*D4)/0.000001</f>
        <v>1203242.0474404935</v>
      </c>
      <c r="O4" s="1">
        <v>1508028.96725441</v>
      </c>
      <c r="P4" s="1">
        <v>20</v>
      </c>
      <c r="Q4" s="1">
        <v>4</v>
      </c>
      <c r="R4" s="1">
        <v>0.20699999999999999</v>
      </c>
      <c r="S4" s="1" t="s">
        <v>32</v>
      </c>
      <c r="T4" s="1"/>
      <c r="V4" s="1" t="s">
        <v>33</v>
      </c>
    </row>
    <row r="5" spans="1:74" ht="13.9" customHeight="1" x14ac:dyDescent="0.2">
      <c r="A5" s="1" t="s">
        <v>34</v>
      </c>
      <c r="B5" s="1" t="s">
        <v>35</v>
      </c>
      <c r="C5" s="1" t="s">
        <v>24</v>
      </c>
      <c r="D5" s="1">
        <v>5.3</v>
      </c>
      <c r="E5" s="1">
        <v>0.69</v>
      </c>
      <c r="F5" s="1">
        <v>0.69</v>
      </c>
      <c r="G5" s="1">
        <v>830</v>
      </c>
      <c r="H5" s="1">
        <v>2.5</v>
      </c>
      <c r="I5" s="1">
        <v>1.5</v>
      </c>
      <c r="J5" s="2">
        <f>L5/G5</f>
        <v>0.8785132530120483</v>
      </c>
      <c r="K5" s="2">
        <f>J5/9.81</f>
        <v>8.9552829053215932E-2</v>
      </c>
      <c r="L5" s="1">
        <v>729.16600000000005</v>
      </c>
      <c r="M5" s="1">
        <f>L5*D5</f>
        <v>3864.5798</v>
      </c>
      <c r="N5" s="6">
        <f>(I5*D5)/0.000001</f>
        <v>7950000</v>
      </c>
      <c r="O5" s="1">
        <v>8470312.4999999907</v>
      </c>
      <c r="P5" s="1">
        <v>3000</v>
      </c>
      <c r="Q5" s="3">
        <v>16</v>
      </c>
      <c r="R5" s="3">
        <v>17.5</v>
      </c>
      <c r="S5" s="3" t="s">
        <v>36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"/>
  <sheetViews>
    <sheetView zoomScaleNormal="100" workbookViewId="0">
      <pane xSplit="1" ySplit="1" topLeftCell="I2" activePane="bottomRight" state="frozen"/>
      <selection pane="topRight" activeCell="I1" sqref="I1"/>
      <selection pane="bottomLeft" activeCell="A2" sqref="A2"/>
      <selection pane="bottomRight" activeCell="A8" sqref="A8"/>
    </sheetView>
  </sheetViews>
  <sheetFormatPr defaultColWidth="8.625" defaultRowHeight="14.25" x14ac:dyDescent="0.2"/>
  <cols>
    <col min="1" max="1" width="34.25" style="1" customWidth="1"/>
    <col min="2" max="2" width="16.25" style="1" customWidth="1"/>
    <col min="3" max="3" width="37.125" style="1" customWidth="1"/>
    <col min="4" max="4" width="12.625" style="1" customWidth="1"/>
    <col min="5" max="5" width="14" style="1" customWidth="1"/>
    <col min="6" max="6" width="13.75" style="1" customWidth="1"/>
    <col min="7" max="7" width="11.5" style="1" customWidth="1"/>
    <col min="8" max="12" width="10.625" style="1" customWidth="1"/>
    <col min="13" max="13" width="14.375" style="1" customWidth="1"/>
    <col min="14" max="14" width="15" style="1" customWidth="1"/>
    <col min="15" max="15" width="13.625" style="2" customWidth="1"/>
    <col min="16" max="16" width="12.875" style="2" customWidth="1"/>
    <col min="17" max="17" width="11.75" style="1" customWidth="1"/>
    <col min="18" max="18" width="10.625" style="1" customWidth="1"/>
    <col min="19" max="19" width="8.625" style="1"/>
    <col min="20" max="20" width="7.125" style="1" customWidth="1"/>
    <col min="21" max="23" width="18.625" style="1" customWidth="1"/>
    <col min="24" max="24" width="13.25" style="1" customWidth="1"/>
    <col min="25" max="25" width="12.5" style="1" customWidth="1"/>
    <col min="26" max="26" width="13.25" style="1" customWidth="1"/>
    <col min="27" max="29" width="15.25" style="1" customWidth="1"/>
    <col min="30" max="30" width="16.375" style="1" customWidth="1"/>
    <col min="31" max="31" width="45.625" style="1" customWidth="1"/>
    <col min="32" max="72" width="10.625" style="1" customWidth="1"/>
    <col min="73" max="73" width="9" style="1" customWidth="1"/>
    <col min="74" max="1024" width="8.625" style="1"/>
  </cols>
  <sheetData>
    <row r="1" spans="1:31" s="8" customFormat="1" ht="12.75" x14ac:dyDescent="0.2">
      <c r="A1" s="8" t="s">
        <v>1</v>
      </c>
      <c r="B1" s="8" t="s">
        <v>37</v>
      </c>
      <c r="C1" s="8" t="s">
        <v>38</v>
      </c>
      <c r="D1" s="8" t="s">
        <v>2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9" t="s">
        <v>9</v>
      </c>
      <c r="P1" s="9" t="s">
        <v>10</v>
      </c>
      <c r="Q1" s="8" t="s">
        <v>11</v>
      </c>
      <c r="R1" s="8" t="s">
        <v>12</v>
      </c>
      <c r="S1" s="8" t="s">
        <v>43</v>
      </c>
      <c r="T1" s="8" t="s">
        <v>44</v>
      </c>
      <c r="U1" s="8" t="s">
        <v>13</v>
      </c>
      <c r="V1" s="8" t="s">
        <v>45</v>
      </c>
      <c r="W1" s="8" t="s">
        <v>46</v>
      </c>
      <c r="X1" s="8" t="s">
        <v>47</v>
      </c>
      <c r="Y1" s="8" t="s">
        <v>15</v>
      </c>
      <c r="Z1" s="8" t="s">
        <v>16</v>
      </c>
      <c r="AA1" s="8" t="s">
        <v>48</v>
      </c>
      <c r="AB1" s="8" t="s">
        <v>49</v>
      </c>
      <c r="AC1" s="8" t="s">
        <v>19</v>
      </c>
      <c r="AD1" s="8" t="s">
        <v>50</v>
      </c>
      <c r="AE1" s="8" t="s">
        <v>21</v>
      </c>
    </row>
    <row r="2" spans="1:31" x14ac:dyDescent="0.2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113</v>
      </c>
      <c r="G2" s="1" t="s">
        <v>114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119</v>
      </c>
      <c r="M2" s="1" t="s">
        <v>120</v>
      </c>
      <c r="N2" s="1" t="s">
        <v>121</v>
      </c>
      <c r="O2" s="2" t="s">
        <v>122</v>
      </c>
      <c r="P2" s="2" t="s">
        <v>123</v>
      </c>
      <c r="Q2" s="1" t="s">
        <v>124</v>
      </c>
      <c r="R2" s="1" t="s">
        <v>125</v>
      </c>
      <c r="S2" s="1" t="s">
        <v>126</v>
      </c>
      <c r="T2" s="1" t="s">
        <v>127</v>
      </c>
      <c r="U2" s="1" t="s">
        <v>128</v>
      </c>
      <c r="V2" s="1" t="s">
        <v>129</v>
      </c>
      <c r="W2" s="1" t="s">
        <v>130</v>
      </c>
      <c r="X2" s="1" t="s">
        <v>131</v>
      </c>
      <c r="Y2" s="1" t="s">
        <v>132</v>
      </c>
      <c r="Z2" s="1" t="s">
        <v>133</v>
      </c>
      <c r="AA2" s="1" t="s">
        <v>134</v>
      </c>
      <c r="AB2" s="1" t="s">
        <v>135</v>
      </c>
      <c r="AC2" s="1" t="s">
        <v>136</v>
      </c>
      <c r="AD2" s="1" t="s">
        <v>137</v>
      </c>
      <c r="AE2" s="1" t="s">
        <v>56</v>
      </c>
    </row>
    <row r="3" spans="1:31" x14ac:dyDescent="0.2">
      <c r="A3" s="1" t="s">
        <v>57</v>
      </c>
      <c r="B3" s="1" t="s">
        <v>58</v>
      </c>
      <c r="C3" s="1" t="s">
        <v>59</v>
      </c>
      <c r="D3" s="1" t="s">
        <v>60</v>
      </c>
      <c r="E3" s="1" t="s">
        <v>61</v>
      </c>
      <c r="F3" s="1">
        <v>1</v>
      </c>
      <c r="G3" s="1">
        <v>1</v>
      </c>
      <c r="H3" s="1">
        <v>1</v>
      </c>
      <c r="I3" s="1">
        <v>0.255</v>
      </c>
      <c r="J3" s="1">
        <v>4.9200000000000001E-2</v>
      </c>
      <c r="K3" s="1">
        <v>6.7799999999999999E-2</v>
      </c>
      <c r="L3" s="1">
        <v>0.30599999999999999</v>
      </c>
      <c r="M3" s="1">
        <v>1.02</v>
      </c>
      <c r="N3" s="1">
        <v>0.40799999999999997</v>
      </c>
      <c r="O3" s="2">
        <f t="shared" ref="O2:O11" si="0">Q3/L3</f>
        <v>12.744117647058824</v>
      </c>
      <c r="P3" s="2">
        <f t="shared" ref="P2:P11" si="1">O3/9.81</f>
        <v>1.2990945613719493</v>
      </c>
      <c r="Q3" s="1">
        <v>3.8997000000000002</v>
      </c>
      <c r="R3" s="1">
        <f t="shared" ref="R2:R11" si="2">Q3*I3</f>
        <v>0.99442350000000002</v>
      </c>
      <c r="S3" s="1">
        <v>5.8</v>
      </c>
      <c r="T3" s="1">
        <v>0.17</v>
      </c>
      <c r="U3" s="1">
        <f t="shared" ref="U2:U11" si="3">N3*I3/0.000001</f>
        <v>104040</v>
      </c>
      <c r="V3" s="1">
        <f t="shared" ref="V2:V11" si="4">(4*PI()*S3*T3*I3^2)/0.000001</f>
        <v>805688.45370992343</v>
      </c>
      <c r="Z3" s="1">
        <v>1.1599999999999999</v>
      </c>
      <c r="AE3" s="1" t="s">
        <v>62</v>
      </c>
    </row>
    <row r="4" spans="1:31" x14ac:dyDescent="0.2">
      <c r="A4" s="1" t="s">
        <v>63</v>
      </c>
      <c r="B4" s="1" t="s">
        <v>64</v>
      </c>
      <c r="C4" s="1" t="s">
        <v>65</v>
      </c>
      <c r="D4" s="1" t="s">
        <v>54</v>
      </c>
      <c r="E4" s="1" t="s">
        <v>55</v>
      </c>
      <c r="F4" s="1">
        <v>3</v>
      </c>
      <c r="G4" s="1">
        <v>6</v>
      </c>
      <c r="H4" s="1">
        <v>0</v>
      </c>
      <c r="I4" s="1">
        <v>0.82</v>
      </c>
      <c r="L4" s="1">
        <v>3.63</v>
      </c>
      <c r="M4" s="1">
        <v>0.09</v>
      </c>
      <c r="N4" s="1">
        <v>0.09</v>
      </c>
      <c r="O4" s="2">
        <f t="shared" si="0"/>
        <v>27.548209366391184</v>
      </c>
      <c r="P4" s="2">
        <f t="shared" si="1"/>
        <v>2.8081762860745343</v>
      </c>
      <c r="Q4" s="1">
        <v>100</v>
      </c>
      <c r="R4" s="1">
        <f t="shared" si="2"/>
        <v>82</v>
      </c>
      <c r="S4" s="1">
        <v>1</v>
      </c>
      <c r="T4" s="1">
        <v>0.36580000000000001</v>
      </c>
      <c r="U4" s="1">
        <f t="shared" si="3"/>
        <v>73800</v>
      </c>
      <c r="V4" s="1">
        <f t="shared" si="4"/>
        <v>3090873.77648059</v>
      </c>
      <c r="W4" s="1">
        <v>15</v>
      </c>
      <c r="X4" s="1">
        <f>ROUND(TAN(RADIANS(30)),2)</f>
        <v>0.57999999999999996</v>
      </c>
      <c r="AC4" s="1">
        <v>8.5</v>
      </c>
      <c r="AD4" s="1">
        <v>5</v>
      </c>
      <c r="AE4" s="1" t="s">
        <v>66</v>
      </c>
    </row>
    <row r="5" spans="1:31" x14ac:dyDescent="0.2">
      <c r="A5" s="1" t="s">
        <v>67</v>
      </c>
      <c r="B5" s="1" t="s">
        <v>68</v>
      </c>
      <c r="C5" s="1" t="s">
        <v>69</v>
      </c>
      <c r="D5" s="1" t="s">
        <v>70</v>
      </c>
      <c r="E5" s="1" t="s">
        <v>55</v>
      </c>
      <c r="F5" s="1">
        <v>8</v>
      </c>
      <c r="G5" s="1">
        <v>8</v>
      </c>
      <c r="H5" s="1">
        <v>0</v>
      </c>
      <c r="I5" s="1">
        <v>0.9</v>
      </c>
      <c r="J5" s="1">
        <v>0.25</v>
      </c>
      <c r="K5" s="1">
        <v>0.16</v>
      </c>
      <c r="L5" s="1">
        <v>4.3</v>
      </c>
      <c r="M5" s="1">
        <v>0.14599999999999999</v>
      </c>
      <c r="N5" s="1">
        <v>2.4E-2</v>
      </c>
      <c r="O5" s="2">
        <f t="shared" si="0"/>
        <v>37.879999999999995</v>
      </c>
      <c r="P5" s="2">
        <f t="shared" si="1"/>
        <v>3.8613659531090718</v>
      </c>
      <c r="Q5" s="1">
        <v>162.88399999999999</v>
      </c>
      <c r="R5" s="1">
        <f t="shared" si="2"/>
        <v>146.59559999999999</v>
      </c>
      <c r="S5" s="1">
        <v>1</v>
      </c>
      <c r="T5" s="1">
        <v>0.15</v>
      </c>
      <c r="U5" s="1">
        <f t="shared" si="3"/>
        <v>21600.000000000004</v>
      </c>
      <c r="V5" s="1">
        <f t="shared" si="4"/>
        <v>1526814.0296446397</v>
      </c>
      <c r="X5" s="1">
        <v>0.6</v>
      </c>
      <c r="AA5" s="1">
        <v>12</v>
      </c>
      <c r="AB5" s="1">
        <v>2.6</v>
      </c>
      <c r="AC5" s="1">
        <v>3.9</v>
      </c>
      <c r="AD5" s="1">
        <v>0.01</v>
      </c>
      <c r="AE5" s="1" t="s">
        <v>71</v>
      </c>
    </row>
    <row r="6" spans="1:31" x14ac:dyDescent="0.2">
      <c r="A6" s="1" t="s">
        <v>72</v>
      </c>
      <c r="B6" s="1" t="s">
        <v>73</v>
      </c>
      <c r="C6" s="1" t="s">
        <v>74</v>
      </c>
      <c r="D6" s="1" t="s">
        <v>54</v>
      </c>
      <c r="E6" s="1" t="s">
        <v>61</v>
      </c>
      <c r="F6" s="1">
        <v>2</v>
      </c>
      <c r="G6" s="1">
        <v>4</v>
      </c>
      <c r="H6" s="1">
        <v>0</v>
      </c>
      <c r="I6" s="1">
        <v>0.5</v>
      </c>
      <c r="J6" s="1">
        <v>6.5000000000000002E-2</v>
      </c>
      <c r="K6" s="1">
        <v>0.15</v>
      </c>
      <c r="L6" s="1">
        <v>2.5</v>
      </c>
      <c r="M6" s="1">
        <v>0.05</v>
      </c>
      <c r="N6" s="1">
        <v>0.05</v>
      </c>
      <c r="O6" s="2">
        <f t="shared" si="0"/>
        <v>48.6</v>
      </c>
      <c r="P6" s="2">
        <f t="shared" si="1"/>
        <v>4.9541284403669721</v>
      </c>
      <c r="Q6" s="1">
        <v>121.5</v>
      </c>
      <c r="R6" s="1">
        <f t="shared" si="2"/>
        <v>60.75</v>
      </c>
      <c r="S6" s="1">
        <v>2.6</v>
      </c>
      <c r="T6" s="1">
        <f>ROUND(TAN(RADIANS(30))*(I6/3),2)</f>
        <v>0.1</v>
      </c>
      <c r="U6" s="1">
        <f t="shared" si="3"/>
        <v>25000.000000000004</v>
      </c>
      <c r="V6" s="1">
        <f t="shared" si="4"/>
        <v>816814.08993334626</v>
      </c>
      <c r="Z6" s="1">
        <v>8</v>
      </c>
      <c r="AA6" s="1">
        <v>18</v>
      </c>
      <c r="AB6" s="1">
        <v>2.7</v>
      </c>
      <c r="AE6" s="1" t="s">
        <v>75</v>
      </c>
    </row>
    <row r="7" spans="1:31" x14ac:dyDescent="0.2">
      <c r="A7" s="1" t="s">
        <v>76</v>
      </c>
      <c r="B7" s="1" t="s">
        <v>77</v>
      </c>
      <c r="C7" s="1" t="s">
        <v>78</v>
      </c>
      <c r="D7" s="1" t="s">
        <v>79</v>
      </c>
      <c r="E7" s="1" t="s">
        <v>80</v>
      </c>
      <c r="F7" s="1">
        <v>1</v>
      </c>
      <c r="G7" s="1">
        <v>1</v>
      </c>
      <c r="H7" s="1">
        <v>0</v>
      </c>
      <c r="I7" s="1">
        <v>0.12</v>
      </c>
      <c r="L7" s="1">
        <v>0.13800000000000001</v>
      </c>
      <c r="M7" s="1">
        <v>0.122</v>
      </c>
      <c r="N7" s="1">
        <v>0.69</v>
      </c>
      <c r="O7" s="2">
        <f t="shared" si="0"/>
        <v>80.399999999999991</v>
      </c>
      <c r="P7" s="2">
        <f t="shared" si="1"/>
        <v>8.1957186544342502</v>
      </c>
      <c r="Q7" s="1">
        <v>11.0952</v>
      </c>
      <c r="R7" s="1">
        <f t="shared" si="2"/>
        <v>1.3314239999999999</v>
      </c>
      <c r="S7" s="1">
        <v>1.75</v>
      </c>
      <c r="T7" s="1">
        <v>0.1</v>
      </c>
      <c r="U7" s="1">
        <f t="shared" si="3"/>
        <v>82799.999999999985</v>
      </c>
      <c r="V7" s="1">
        <f t="shared" si="4"/>
        <v>31667.253948185116</v>
      </c>
      <c r="AE7" s="1" t="s">
        <v>81</v>
      </c>
    </row>
    <row r="8" spans="1:31" x14ac:dyDescent="0.2">
      <c r="A8" s="1" t="s">
        <v>82</v>
      </c>
      <c r="B8" s="1" t="s">
        <v>83</v>
      </c>
      <c r="C8" s="1" t="s">
        <v>84</v>
      </c>
      <c r="D8" s="1" t="s">
        <v>54</v>
      </c>
      <c r="E8" s="1" t="s">
        <v>61</v>
      </c>
      <c r="F8" s="1">
        <v>1</v>
      </c>
      <c r="G8" s="1">
        <v>1</v>
      </c>
      <c r="H8" s="1">
        <v>1</v>
      </c>
      <c r="I8" s="1">
        <v>0.42699999999999999</v>
      </c>
      <c r="L8" s="1">
        <v>0.82599999999999996</v>
      </c>
      <c r="M8" s="1">
        <v>0.57999999999999996</v>
      </c>
      <c r="N8" s="1">
        <v>0.57999999999999996</v>
      </c>
      <c r="O8" s="2">
        <f t="shared" si="0"/>
        <v>41.746610169491532</v>
      </c>
      <c r="P8" s="2">
        <f t="shared" si="1"/>
        <v>4.2555158174812977</v>
      </c>
      <c r="Q8" s="1">
        <v>34.482700000000001</v>
      </c>
      <c r="R8" s="1">
        <f t="shared" si="2"/>
        <v>14.7241129</v>
      </c>
      <c r="S8" s="1">
        <v>16</v>
      </c>
      <c r="T8" s="1">
        <v>3.04E-2</v>
      </c>
      <c r="U8" s="1">
        <f t="shared" si="3"/>
        <v>247660</v>
      </c>
      <c r="V8" s="1">
        <f t="shared" si="4"/>
        <v>1114446.3863594078</v>
      </c>
      <c r="AE8" s="1" t="s">
        <v>85</v>
      </c>
    </row>
    <row r="9" spans="1:31" x14ac:dyDescent="0.2">
      <c r="A9" s="1" t="s">
        <v>86</v>
      </c>
      <c r="B9" s="1" t="s">
        <v>87</v>
      </c>
      <c r="C9" s="1" t="s">
        <v>88</v>
      </c>
      <c r="D9" s="1" t="s">
        <v>54</v>
      </c>
      <c r="E9" s="1" t="s">
        <v>61</v>
      </c>
      <c r="F9" s="1">
        <v>1</v>
      </c>
      <c r="G9" s="1">
        <v>1</v>
      </c>
      <c r="H9" s="1">
        <v>0</v>
      </c>
      <c r="I9" s="1">
        <v>0.05</v>
      </c>
      <c r="J9" s="1">
        <v>6.4999999999999997E-3</v>
      </c>
      <c r="K9" s="1">
        <v>4.5999999999999999E-2</v>
      </c>
      <c r="L9" s="1">
        <v>4.6800000000000001E-3</v>
      </c>
      <c r="M9" s="1">
        <v>0.52</v>
      </c>
      <c r="N9" s="1">
        <v>0.52</v>
      </c>
      <c r="O9" s="2">
        <f t="shared" si="0"/>
        <v>328.73076923076923</v>
      </c>
      <c r="P9" s="2">
        <f t="shared" si="1"/>
        <v>33.509762408844978</v>
      </c>
      <c r="Q9" s="1">
        <v>1.5384599999999999</v>
      </c>
      <c r="R9" s="1">
        <f t="shared" si="2"/>
        <v>7.6923000000000005E-2</v>
      </c>
      <c r="S9" s="1">
        <v>19</v>
      </c>
      <c r="T9" s="1">
        <v>0.12</v>
      </c>
      <c r="U9" s="1">
        <f t="shared" si="3"/>
        <v>26000.000000000004</v>
      </c>
      <c r="V9" s="1">
        <f t="shared" si="4"/>
        <v>71628.312501847293</v>
      </c>
      <c r="AE9" s="1" t="s">
        <v>89</v>
      </c>
    </row>
    <row r="10" spans="1:31" x14ac:dyDescent="0.2">
      <c r="A10" s="1" t="s">
        <v>90</v>
      </c>
      <c r="B10" s="1" t="s">
        <v>91</v>
      </c>
      <c r="C10" s="1" t="s">
        <v>92</v>
      </c>
      <c r="D10" s="1" t="s">
        <v>93</v>
      </c>
      <c r="E10" s="1" t="s">
        <v>55</v>
      </c>
      <c r="F10" s="1">
        <v>9</v>
      </c>
      <c r="G10" s="1">
        <v>9</v>
      </c>
      <c r="H10" s="1">
        <v>0</v>
      </c>
      <c r="I10" s="1">
        <v>1.6</v>
      </c>
      <c r="L10" s="1">
        <v>14.4</v>
      </c>
      <c r="M10" s="1">
        <v>0.1</v>
      </c>
      <c r="N10" s="1">
        <v>7.4999999999999997E-2</v>
      </c>
      <c r="O10" s="2">
        <f t="shared" si="0"/>
        <v>64.814583333333331</v>
      </c>
      <c r="P10" s="2">
        <f t="shared" si="1"/>
        <v>6.6069911654774032</v>
      </c>
      <c r="Q10" s="1">
        <v>933.33</v>
      </c>
      <c r="R10" s="1">
        <f t="shared" si="2"/>
        <v>1493.3280000000002</v>
      </c>
      <c r="S10" s="1">
        <v>2.093</v>
      </c>
      <c r="T10" s="1">
        <v>0.125</v>
      </c>
      <c r="U10" s="1">
        <f t="shared" si="3"/>
        <v>120000</v>
      </c>
      <c r="V10" s="1">
        <f t="shared" si="4"/>
        <v>8416452.3826732021</v>
      </c>
      <c r="AE10" s="1" t="s">
        <v>94</v>
      </c>
    </row>
    <row r="11" spans="1:31" x14ac:dyDescent="0.2">
      <c r="A11" s="1" t="s">
        <v>95</v>
      </c>
      <c r="B11" s="1" t="s">
        <v>96</v>
      </c>
      <c r="C11" s="1" t="s">
        <v>97</v>
      </c>
      <c r="D11" s="1" t="s">
        <v>54</v>
      </c>
      <c r="E11" s="1" t="s">
        <v>98</v>
      </c>
      <c r="F11" s="1">
        <v>1</v>
      </c>
      <c r="G11" s="1">
        <v>1</v>
      </c>
      <c r="H11" s="1">
        <v>1</v>
      </c>
      <c r="I11" s="1">
        <v>0.22</v>
      </c>
      <c r="L11" s="1">
        <v>2.5100000000000001E-2</v>
      </c>
      <c r="M11" s="1">
        <v>1.9E-3</v>
      </c>
      <c r="N11" s="1">
        <v>1.9E-3</v>
      </c>
      <c r="O11" s="2">
        <f t="shared" si="0"/>
        <v>418.3266932270916</v>
      </c>
      <c r="P11" s="2">
        <f t="shared" si="1"/>
        <v>42.642884121008315</v>
      </c>
      <c r="Q11" s="1">
        <v>10.5</v>
      </c>
      <c r="R11" s="1">
        <f t="shared" si="2"/>
        <v>2.31</v>
      </c>
      <c r="S11" s="1">
        <v>0.33</v>
      </c>
      <c r="T11" s="1">
        <v>0.05</v>
      </c>
      <c r="U11" s="1">
        <f t="shared" si="3"/>
        <v>418.00000000000006</v>
      </c>
      <c r="V11" s="1">
        <f t="shared" si="4"/>
        <v>10035.503572627236</v>
      </c>
      <c r="AE11" s="1" t="s">
        <v>99</v>
      </c>
    </row>
  </sheetData>
  <hyperlinks>
    <hyperlink ref="AE11" r:id="rId1" xr:uid="{00000000-0004-0000-0100-000000000000}"/>
  </hyperlink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8.625" defaultRowHeight="14.25" x14ac:dyDescent="0.2"/>
  <cols>
    <col min="1" max="1" width="24.5" style="10" customWidth="1"/>
    <col min="2" max="2" width="16.25" style="10" customWidth="1"/>
    <col min="3" max="3" width="29.75" style="10" customWidth="1"/>
    <col min="4" max="5" width="12.625" style="10" customWidth="1"/>
    <col min="6" max="6" width="14.125" style="10" customWidth="1"/>
    <col min="7" max="11" width="10.625" style="10" customWidth="1"/>
    <col min="12" max="12" width="14.375" style="10" customWidth="1"/>
    <col min="13" max="13" width="15" style="10" customWidth="1"/>
    <col min="14" max="18" width="19.75" style="10" customWidth="1"/>
    <col min="19" max="19" width="23.125" style="10" customWidth="1"/>
    <col min="20" max="22" width="18.625" style="10" customWidth="1"/>
    <col min="23" max="23" width="21.125" style="11" customWidth="1"/>
    <col min="24" max="24" width="17.875" style="10" customWidth="1"/>
    <col min="25" max="25" width="13.25" style="11" customWidth="1"/>
    <col min="26" max="26" width="22.625" style="10" customWidth="1"/>
    <col min="27" max="69" width="10.625" style="10" customWidth="1"/>
    <col min="70" max="70" width="9" style="1" customWidth="1"/>
    <col min="71" max="1024" width="8.625" style="1"/>
  </cols>
  <sheetData>
    <row r="1" spans="1:30" s="12" customFormat="1" x14ac:dyDescent="0.2">
      <c r="A1" s="12" t="s">
        <v>1</v>
      </c>
      <c r="B1" s="12" t="s">
        <v>37</v>
      </c>
      <c r="C1" s="12" t="s">
        <v>38</v>
      </c>
      <c r="D1" s="12" t="s">
        <v>2</v>
      </c>
      <c r="E1" s="12" t="s">
        <v>39</v>
      </c>
      <c r="F1" s="12" t="s">
        <v>40</v>
      </c>
      <c r="G1" s="12" t="s">
        <v>41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43</v>
      </c>
      <c r="S1" s="12" t="s">
        <v>44</v>
      </c>
      <c r="T1" s="12" t="s">
        <v>13</v>
      </c>
      <c r="U1" s="12" t="s">
        <v>45</v>
      </c>
      <c r="V1" s="12" t="s">
        <v>46</v>
      </c>
      <c r="W1" s="12" t="s">
        <v>47</v>
      </c>
      <c r="X1" s="12" t="s">
        <v>15</v>
      </c>
      <c r="Y1" s="12" t="s">
        <v>16</v>
      </c>
      <c r="Z1" s="12" t="s">
        <v>48</v>
      </c>
      <c r="AA1" s="12" t="s">
        <v>49</v>
      </c>
      <c r="AB1" s="12" t="s">
        <v>19</v>
      </c>
      <c r="AC1" s="12" t="s">
        <v>50</v>
      </c>
      <c r="AD1" s="12" t="s">
        <v>21</v>
      </c>
    </row>
    <row r="2" spans="1:30" x14ac:dyDescent="0.2">
      <c r="A2" s="10" t="s">
        <v>100</v>
      </c>
      <c r="B2" s="10" t="s">
        <v>101</v>
      </c>
      <c r="C2" s="10" t="s">
        <v>59</v>
      </c>
      <c r="D2" s="10" t="s">
        <v>102</v>
      </c>
      <c r="E2" s="10" t="s">
        <v>103</v>
      </c>
      <c r="F2" s="10">
        <v>2</v>
      </c>
      <c r="G2" s="10">
        <f>F2</f>
        <v>2</v>
      </c>
      <c r="H2" s="10">
        <v>0.11</v>
      </c>
      <c r="I2" s="10">
        <v>0.21</v>
      </c>
      <c r="J2" s="10">
        <v>2.5000000000000001E-2</v>
      </c>
      <c r="K2" s="10">
        <v>5.5E-2</v>
      </c>
      <c r="L2" s="10">
        <v>7.4000000000000003E-3</v>
      </c>
      <c r="M2" s="10">
        <v>7.3699999999999998E-3</v>
      </c>
      <c r="N2" s="10">
        <f>P2/K2</f>
        <v>6167.454545454545</v>
      </c>
      <c r="O2" s="10">
        <f>N2/9.81</f>
        <v>628.69057547956618</v>
      </c>
      <c r="P2" s="10">
        <v>339.21</v>
      </c>
      <c r="Q2" s="10">
        <f>P2*H2</f>
        <v>37.313099999999999</v>
      </c>
      <c r="R2" s="10">
        <v>0.16700000000000001</v>
      </c>
      <c r="S2" s="10">
        <v>0.20238</v>
      </c>
      <c r="T2" s="10">
        <f>(H2*M2)/0.000001</f>
        <v>810.7</v>
      </c>
      <c r="U2" s="10">
        <f>(4*PI()*R2*S2*H2^2)/0.000001</f>
        <v>5139.0080390261528</v>
      </c>
      <c r="Z2" s="12"/>
      <c r="AD2" s="10" t="s">
        <v>104</v>
      </c>
    </row>
    <row r="3" spans="1:30" x14ac:dyDescent="0.2">
      <c r="A3" s="10" t="s">
        <v>105</v>
      </c>
      <c r="B3" s="10" t="s">
        <v>101</v>
      </c>
      <c r="C3" s="10" t="s">
        <v>59</v>
      </c>
      <c r="D3" s="10" t="s">
        <v>102</v>
      </c>
      <c r="E3" s="10" t="s">
        <v>106</v>
      </c>
      <c r="F3" s="10">
        <v>2</v>
      </c>
      <c r="G3" s="10">
        <f>F3</f>
        <v>2</v>
      </c>
      <c r="H3" s="10">
        <v>0.21</v>
      </c>
      <c r="I3" s="10">
        <v>0.33</v>
      </c>
      <c r="J3" s="10">
        <v>0.05</v>
      </c>
      <c r="K3" s="10">
        <v>0.11899999999999999</v>
      </c>
      <c r="L3" s="10">
        <v>7.0000000000000007E-2</v>
      </c>
      <c r="M3" s="10">
        <f>L3</f>
        <v>7.0000000000000007E-2</v>
      </c>
      <c r="N3" s="10">
        <f>P3/K3</f>
        <v>2352.9411764705883</v>
      </c>
      <c r="O3" s="10">
        <f>N3/9.81</f>
        <v>239.85129219883672</v>
      </c>
      <c r="P3" s="10">
        <v>280</v>
      </c>
      <c r="Q3" s="10">
        <f>P3*H3</f>
        <v>58.8</v>
      </c>
      <c r="R3" s="10">
        <v>0.157</v>
      </c>
      <c r="S3" s="10">
        <v>1.0331999999999999E-2</v>
      </c>
      <c r="T3" s="10">
        <f>(H3*M3)/0.000001</f>
        <v>14700.000000000002</v>
      </c>
      <c r="U3" s="10">
        <f>(4*PI()*R3*S3*H3^2)/0.000001</f>
        <v>898.94372126030191</v>
      </c>
      <c r="Z3" s="12"/>
      <c r="AB3" s="10">
        <v>2</v>
      </c>
      <c r="AD3" s="10" t="s">
        <v>107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ColWidth="8.625" defaultRowHeight="14.25" x14ac:dyDescent="0.2"/>
  <cols>
    <col min="1" max="1" width="21" style="10" customWidth="1"/>
    <col min="2" max="2" width="16.25" style="10" customWidth="1"/>
    <col min="3" max="3" width="29.75" style="10" customWidth="1"/>
    <col min="4" max="5" width="12.625" style="10" customWidth="1"/>
    <col min="6" max="6" width="13.625" style="10" customWidth="1"/>
    <col min="7" max="7" width="16.875" style="10" customWidth="1"/>
    <col min="8" max="11" width="10.625" style="10" customWidth="1"/>
    <col min="12" max="12" width="14.375" style="10" customWidth="1"/>
    <col min="13" max="13" width="15" style="10" customWidth="1"/>
    <col min="14" max="18" width="19.75" style="10" customWidth="1"/>
    <col min="19" max="19" width="23.125" style="10" customWidth="1"/>
    <col min="20" max="22" width="18.625" style="10" customWidth="1"/>
    <col min="23" max="23" width="13.25" style="11" customWidth="1"/>
    <col min="24" max="24" width="12.5" style="10" customWidth="1"/>
    <col min="25" max="25" width="13.25" style="11" customWidth="1"/>
    <col min="26" max="26" width="45.625" style="12" customWidth="1"/>
    <col min="27" max="69" width="10.625" style="10" customWidth="1"/>
    <col min="70" max="70" width="9" style="12" customWidth="1"/>
  </cols>
  <sheetData>
    <row r="1" spans="1:69" x14ac:dyDescent="0.2">
      <c r="A1" s="12" t="s">
        <v>1</v>
      </c>
      <c r="B1" s="12" t="s">
        <v>37</v>
      </c>
      <c r="C1" s="12" t="s">
        <v>38</v>
      </c>
      <c r="D1" s="12" t="s">
        <v>2</v>
      </c>
      <c r="E1" s="12" t="s">
        <v>39</v>
      </c>
      <c r="F1" s="12" t="s">
        <v>40</v>
      </c>
      <c r="G1" s="12" t="s">
        <v>41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43</v>
      </c>
      <c r="S1" s="12" t="s">
        <v>44</v>
      </c>
      <c r="T1" s="12" t="s">
        <v>13</v>
      </c>
      <c r="U1" s="12" t="s">
        <v>45</v>
      </c>
      <c r="V1" s="12" t="s">
        <v>46</v>
      </c>
      <c r="W1" s="12" t="s">
        <v>47</v>
      </c>
      <c r="X1" s="12" t="s">
        <v>15</v>
      </c>
      <c r="Y1" s="12" t="s">
        <v>16</v>
      </c>
      <c r="Z1" s="12" t="s">
        <v>48</v>
      </c>
      <c r="AA1" s="12" t="s">
        <v>49</v>
      </c>
      <c r="AB1" s="12" t="s">
        <v>19</v>
      </c>
      <c r="AC1" s="12" t="s">
        <v>50</v>
      </c>
      <c r="AD1" s="12" t="s">
        <v>21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 x14ac:dyDescent="0.2">
      <c r="A2" s="10" t="s">
        <v>108</v>
      </c>
      <c r="B2" s="10" t="s">
        <v>109</v>
      </c>
      <c r="C2" s="10" t="s">
        <v>110</v>
      </c>
      <c r="D2" s="10" t="s">
        <v>111</v>
      </c>
      <c r="E2" s="10" t="s">
        <v>61</v>
      </c>
      <c r="F2" s="10">
        <v>4</v>
      </c>
      <c r="G2" s="10">
        <f>F2</f>
        <v>4</v>
      </c>
      <c r="H2" s="10">
        <v>0.78</v>
      </c>
      <c r="I2" s="10">
        <v>0.44</v>
      </c>
      <c r="J2" s="10">
        <v>0.13</v>
      </c>
      <c r="K2" s="10">
        <v>24.4</v>
      </c>
      <c r="L2" s="10">
        <v>0.77</v>
      </c>
      <c r="M2" s="10">
        <v>0.77</v>
      </c>
      <c r="N2" s="10">
        <f>P2/K2</f>
        <v>3.4335</v>
      </c>
      <c r="O2" s="10">
        <f>N2/9.81</f>
        <v>0.35</v>
      </c>
      <c r="P2" s="10">
        <v>83.7774</v>
      </c>
      <c r="Q2" s="10">
        <f>P2*H2</f>
        <v>65.346372000000002</v>
      </c>
      <c r="R2" s="10">
        <v>6</v>
      </c>
      <c r="S2" s="10">
        <v>2.8799999999999999E-2</v>
      </c>
      <c r="T2" s="10">
        <f>(M2*H2)/0.000001</f>
        <v>600600</v>
      </c>
      <c r="U2" s="10">
        <f>(4*PI()*R2*S2*H2^2)/0.000001</f>
        <v>1321121.6435709139</v>
      </c>
      <c r="AD2" s="12" t="s">
        <v>112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Propeller</vt:lpstr>
      <vt:lpstr>BCF</vt:lpstr>
      <vt:lpstr>MPF</vt:lpstr>
      <vt:lpstr>LiftBased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Coe</dc:creator>
  <dc:description/>
  <cp:lastModifiedBy>Michael Coe</cp:lastModifiedBy>
  <cp:revision>2522</cp:revision>
  <dcterms:created xsi:type="dcterms:W3CDTF">2020-04-22T09:21:04Z</dcterms:created>
  <dcterms:modified xsi:type="dcterms:W3CDTF">2022-11-02T22:23:07Z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