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ost-of-Transport-Estimation\"/>
    </mc:Choice>
  </mc:AlternateContent>
  <xr:revisionPtr revIDLastSave="0" documentId="13_ncr:1_{D427C1BA-0FA1-4106-A565-043D1C1052C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peller" sheetId="1" r:id="rId1"/>
    <sheet name="BCF" sheetId="2" r:id="rId2"/>
    <sheet name="MPF" sheetId="3" r:id="rId3"/>
    <sheet name="LiftBased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1" i="1" l="1"/>
  <c r="J2" i="1"/>
  <c r="K2" i="1" s="1"/>
  <c r="L2" i="1"/>
  <c r="M2" i="1"/>
  <c r="J3" i="1"/>
  <c r="K3" i="1" s="1"/>
  <c r="L3" i="1"/>
  <c r="M3" i="1"/>
  <c r="J4" i="1"/>
  <c r="K4" i="1" s="1"/>
  <c r="L4" i="1"/>
  <c r="M4" i="1"/>
  <c r="J5" i="1"/>
  <c r="K5" i="1"/>
  <c r="L5" i="1"/>
  <c r="M5" i="1"/>
  <c r="J6" i="1"/>
  <c r="K6" i="1" s="1"/>
  <c r="L6" i="1"/>
  <c r="M6" i="1"/>
  <c r="J7" i="1"/>
  <c r="K7" i="1" s="1"/>
  <c r="N7" i="1" s="1"/>
  <c r="O7" i="1" s="1"/>
  <c r="L7" i="1"/>
  <c r="M7" i="1"/>
  <c r="J8" i="1"/>
  <c r="K8" i="1" s="1"/>
  <c r="L8" i="1"/>
  <c r="M8" i="1"/>
  <c r="J9" i="1"/>
  <c r="K9" i="1"/>
  <c r="N9" i="1" s="1"/>
  <c r="O9" i="1" s="1"/>
  <c r="L9" i="1"/>
  <c r="M9" i="1"/>
  <c r="J10" i="1"/>
  <c r="K10" i="1" s="1"/>
  <c r="L10" i="1"/>
  <c r="M10" i="1"/>
  <c r="J11" i="1"/>
  <c r="K11" i="1" s="1"/>
  <c r="L11" i="1"/>
  <c r="M11" i="1"/>
  <c r="J12" i="1"/>
  <c r="K12" i="1" s="1"/>
  <c r="L12" i="1"/>
  <c r="M12" i="1"/>
  <c r="J13" i="1"/>
  <c r="K13" i="1"/>
  <c r="L13" i="1"/>
  <c r="M13" i="1"/>
  <c r="J14" i="1"/>
  <c r="K14" i="1" s="1"/>
  <c r="N14" i="1" s="1"/>
  <c r="O14" i="1" s="1"/>
  <c r="L14" i="1"/>
  <c r="M14" i="1"/>
  <c r="J15" i="1"/>
  <c r="K15" i="1" s="1"/>
  <c r="N15" i="1" s="1"/>
  <c r="O15" i="1" s="1"/>
  <c r="L15" i="1"/>
  <c r="M15" i="1"/>
  <c r="J16" i="1"/>
  <c r="K16" i="1" s="1"/>
  <c r="L16" i="1"/>
  <c r="M16" i="1"/>
  <c r="J17" i="1"/>
  <c r="K17" i="1"/>
  <c r="L17" i="1"/>
  <c r="M17" i="1"/>
  <c r="N17" i="1"/>
  <c r="O17" i="1" s="1"/>
  <c r="J18" i="1"/>
  <c r="K18" i="1" s="1"/>
  <c r="L18" i="1"/>
  <c r="M18" i="1"/>
  <c r="J19" i="1"/>
  <c r="K19" i="1" s="1"/>
  <c r="L19" i="1"/>
  <c r="M19" i="1"/>
  <c r="J20" i="1"/>
  <c r="K20" i="1"/>
  <c r="L20" i="1"/>
  <c r="N20" i="1" s="1"/>
  <c r="M20" i="1"/>
  <c r="O20" i="1" s="1"/>
  <c r="J21" i="1"/>
  <c r="K21" i="1" s="1"/>
  <c r="N21" i="1" s="1"/>
  <c r="O21" i="1" s="1"/>
  <c r="L21" i="1"/>
  <c r="M21" i="1"/>
  <c r="J22" i="1"/>
  <c r="K22" i="1" s="1"/>
  <c r="L22" i="1"/>
  <c r="M22" i="1"/>
  <c r="J23" i="1"/>
  <c r="K23" i="1"/>
  <c r="L23" i="1"/>
  <c r="M23" i="1"/>
  <c r="J24" i="1"/>
  <c r="K24" i="1" s="1"/>
  <c r="N24" i="1" s="1"/>
  <c r="L24" i="1"/>
  <c r="M24" i="1"/>
  <c r="O24" i="1" s="1"/>
  <c r="J25" i="1"/>
  <c r="K25" i="1" s="1"/>
  <c r="L25" i="1"/>
  <c r="M25" i="1"/>
  <c r="J26" i="1"/>
  <c r="K26" i="1"/>
  <c r="L26" i="1"/>
  <c r="M26" i="1"/>
  <c r="J27" i="1"/>
  <c r="K27" i="1" s="1"/>
  <c r="L27" i="1"/>
  <c r="M27" i="1"/>
  <c r="J28" i="1"/>
  <c r="K28" i="1" s="1"/>
  <c r="L28" i="1"/>
  <c r="M28" i="1"/>
  <c r="J29" i="1"/>
  <c r="K29" i="1" s="1"/>
  <c r="L29" i="1"/>
  <c r="M29" i="1"/>
  <c r="J30" i="1"/>
  <c r="K30" i="1" s="1"/>
  <c r="L30" i="1"/>
  <c r="M30" i="1"/>
  <c r="J31" i="1"/>
  <c r="K31" i="1" s="1"/>
  <c r="N31" i="1" s="1"/>
  <c r="L31" i="1"/>
  <c r="M31" i="1"/>
  <c r="J32" i="1"/>
  <c r="K32" i="1" s="1"/>
  <c r="N32" i="1" s="1"/>
  <c r="L32" i="1"/>
  <c r="M32" i="1"/>
  <c r="O32" i="1" s="1"/>
  <c r="G33" i="1"/>
  <c r="J33" i="1"/>
  <c r="K33" i="1" s="1"/>
  <c r="L33" i="1"/>
  <c r="M33" i="1"/>
  <c r="D34" i="1"/>
  <c r="M34" i="1" s="1"/>
  <c r="E34" i="1"/>
  <c r="L34" i="1" s="1"/>
  <c r="F34" i="1"/>
  <c r="J34" i="1"/>
  <c r="K34" i="1" s="1"/>
  <c r="J35" i="1"/>
  <c r="K35" i="1" s="1"/>
  <c r="N35" i="1" s="1"/>
  <c r="L35" i="1"/>
  <c r="M35" i="1"/>
  <c r="O35" i="1" s="1"/>
  <c r="J36" i="1"/>
  <c r="K36" i="1"/>
  <c r="L36" i="1"/>
  <c r="M36" i="1"/>
  <c r="J37" i="1"/>
  <c r="K37" i="1" s="1"/>
  <c r="N37" i="1" s="1"/>
  <c r="O37" i="1" s="1"/>
  <c r="L37" i="1"/>
  <c r="M37" i="1"/>
  <c r="J38" i="1"/>
  <c r="K38" i="1" s="1"/>
  <c r="L38" i="1"/>
  <c r="M38" i="1"/>
  <c r="J39" i="1"/>
  <c r="K39" i="1" s="1"/>
  <c r="L39" i="1"/>
  <c r="M39" i="1"/>
  <c r="J40" i="1"/>
  <c r="K40" i="1" s="1"/>
  <c r="L40" i="1"/>
  <c r="M40" i="1"/>
  <c r="J41" i="1"/>
  <c r="K41" i="1" s="1"/>
  <c r="L41" i="1"/>
  <c r="M41" i="1"/>
  <c r="J42" i="1"/>
  <c r="K42" i="1" s="1"/>
  <c r="L42" i="1"/>
  <c r="M42" i="1"/>
  <c r="J43" i="1"/>
  <c r="K43" i="1"/>
  <c r="L43" i="1"/>
  <c r="M43" i="1"/>
  <c r="J44" i="1"/>
  <c r="K44" i="1"/>
  <c r="L44" i="1"/>
  <c r="N44" i="1" s="1"/>
  <c r="O44" i="1" s="1"/>
  <c r="M44" i="1"/>
  <c r="J45" i="1"/>
  <c r="K45" i="1" s="1"/>
  <c r="L45" i="1"/>
  <c r="M45" i="1"/>
  <c r="J46" i="1"/>
  <c r="K46" i="1" s="1"/>
  <c r="L46" i="1"/>
  <c r="M46" i="1"/>
  <c r="J47" i="1"/>
  <c r="K47" i="1" s="1"/>
  <c r="L47" i="1"/>
  <c r="M47" i="1"/>
  <c r="G48" i="1"/>
  <c r="J48" i="1"/>
  <c r="K48" i="1"/>
  <c r="L48" i="1"/>
  <c r="M48" i="1"/>
  <c r="D49" i="1"/>
  <c r="M49" i="1" s="1"/>
  <c r="E49" i="1"/>
  <c r="L49" i="1" s="1"/>
  <c r="F49" i="1"/>
  <c r="G49" i="1"/>
  <c r="J49" i="1"/>
  <c r="K49" i="1" s="1"/>
  <c r="J50" i="1"/>
  <c r="K50" i="1"/>
  <c r="L50" i="1"/>
  <c r="M50" i="1"/>
  <c r="J51" i="1"/>
  <c r="K51" i="1" s="1"/>
  <c r="L51" i="1"/>
  <c r="M51" i="1"/>
  <c r="J52" i="1"/>
  <c r="K52" i="1" s="1"/>
  <c r="L52" i="1"/>
  <c r="M52" i="1"/>
  <c r="J53" i="1"/>
  <c r="K53" i="1" s="1"/>
  <c r="L53" i="1"/>
  <c r="M53" i="1"/>
  <c r="J54" i="1"/>
  <c r="K54" i="1"/>
  <c r="L54" i="1"/>
  <c r="M54" i="1"/>
  <c r="J55" i="1"/>
  <c r="K55" i="1" s="1"/>
  <c r="L55" i="1"/>
  <c r="M55" i="1"/>
  <c r="J56" i="1"/>
  <c r="K56" i="1" s="1"/>
  <c r="L56" i="1"/>
  <c r="M56" i="1"/>
  <c r="J57" i="1"/>
  <c r="K57" i="1" s="1"/>
  <c r="L57" i="1"/>
  <c r="M57" i="1"/>
  <c r="J58" i="1"/>
  <c r="K58" i="1" s="1"/>
  <c r="N58" i="1" s="1"/>
  <c r="L58" i="1"/>
  <c r="M58" i="1"/>
  <c r="J59" i="1"/>
  <c r="K59" i="1" s="1"/>
  <c r="L59" i="1"/>
  <c r="M59" i="1"/>
  <c r="J60" i="1"/>
  <c r="K60" i="1" s="1"/>
  <c r="L60" i="1"/>
  <c r="M60" i="1"/>
  <c r="J61" i="1"/>
  <c r="K61" i="1" s="1"/>
  <c r="L61" i="1"/>
  <c r="M61" i="1"/>
  <c r="J62" i="1"/>
  <c r="K62" i="1" s="1"/>
  <c r="L62" i="1"/>
  <c r="M62" i="1"/>
  <c r="J63" i="1"/>
  <c r="K63" i="1" s="1"/>
  <c r="N63" i="1" s="1"/>
  <c r="O63" i="1" s="1"/>
  <c r="L63" i="1"/>
  <c r="M63" i="1"/>
  <c r="J64" i="1"/>
  <c r="K64" i="1"/>
  <c r="L64" i="1"/>
  <c r="M64" i="1"/>
  <c r="J65" i="1"/>
  <c r="K65" i="1" s="1"/>
  <c r="L65" i="1"/>
  <c r="M65" i="1"/>
  <c r="J66" i="1"/>
  <c r="K66" i="1" s="1"/>
  <c r="L66" i="1"/>
  <c r="M66" i="1"/>
  <c r="J67" i="1"/>
  <c r="K67" i="1" s="1"/>
  <c r="L67" i="1"/>
  <c r="M67" i="1"/>
  <c r="J68" i="1"/>
  <c r="K68" i="1" s="1"/>
  <c r="N68" i="1" s="1"/>
  <c r="L68" i="1"/>
  <c r="M68" i="1"/>
  <c r="O68" i="1" s="1"/>
  <c r="J69" i="1"/>
  <c r="K69" i="1" s="1"/>
  <c r="L69" i="1"/>
  <c r="M69" i="1"/>
  <c r="D70" i="1"/>
  <c r="M70" i="1" s="1"/>
  <c r="J70" i="1"/>
  <c r="K70" i="1"/>
  <c r="N70" i="1" s="1"/>
  <c r="L70" i="1"/>
  <c r="J71" i="1"/>
  <c r="K71" i="1" s="1"/>
  <c r="L71" i="1"/>
  <c r="M71" i="1"/>
  <c r="J72" i="1"/>
  <c r="K72" i="1" s="1"/>
  <c r="L72" i="1"/>
  <c r="M72" i="1"/>
  <c r="J73" i="1"/>
  <c r="K73" i="1" s="1"/>
  <c r="L73" i="1"/>
  <c r="M73" i="1"/>
  <c r="J74" i="1"/>
  <c r="K74" i="1" s="1"/>
  <c r="L74" i="1"/>
  <c r="M74" i="1"/>
  <c r="J75" i="1"/>
  <c r="K75" i="1" s="1"/>
  <c r="L75" i="1"/>
  <c r="M75" i="1"/>
  <c r="J76" i="1"/>
  <c r="K76" i="1" s="1"/>
  <c r="L76" i="1"/>
  <c r="M76" i="1"/>
  <c r="J77" i="1"/>
  <c r="K77" i="1"/>
  <c r="L77" i="1"/>
  <c r="N77" i="1" s="1"/>
  <c r="M77" i="1"/>
  <c r="O77" i="1" s="1"/>
  <c r="J78" i="1"/>
  <c r="K78" i="1" s="1"/>
  <c r="N78" i="1" s="1"/>
  <c r="L78" i="1"/>
  <c r="M78" i="1"/>
  <c r="J79" i="1"/>
  <c r="K79" i="1" s="1"/>
  <c r="L79" i="1"/>
  <c r="M79" i="1"/>
  <c r="J80" i="1"/>
  <c r="K80" i="1"/>
  <c r="L80" i="1"/>
  <c r="M80" i="1"/>
  <c r="J81" i="1"/>
  <c r="K81" i="1" s="1"/>
  <c r="L81" i="1"/>
  <c r="M81" i="1"/>
  <c r="J82" i="1"/>
  <c r="K82" i="1"/>
  <c r="L82" i="1"/>
  <c r="M82" i="1"/>
  <c r="J83" i="1"/>
  <c r="K83" i="1" s="1"/>
  <c r="L83" i="1"/>
  <c r="M83" i="1"/>
  <c r="J84" i="1"/>
  <c r="K84" i="1" s="1"/>
  <c r="L84" i="1"/>
  <c r="M84" i="1"/>
  <c r="J85" i="1"/>
  <c r="K85" i="1"/>
  <c r="L85" i="1"/>
  <c r="M85" i="1"/>
  <c r="J86" i="1"/>
  <c r="K86" i="1" s="1"/>
  <c r="L86" i="1"/>
  <c r="M86" i="1"/>
  <c r="J87" i="1"/>
  <c r="K87" i="1" s="1"/>
  <c r="L87" i="1"/>
  <c r="M87" i="1"/>
  <c r="J88" i="1"/>
  <c r="K88" i="1" s="1"/>
  <c r="L88" i="1"/>
  <c r="M88" i="1"/>
  <c r="J89" i="1"/>
  <c r="K89" i="1" s="1"/>
  <c r="L89" i="1"/>
  <c r="M89" i="1"/>
  <c r="J90" i="1"/>
  <c r="K90" i="1"/>
  <c r="L90" i="1"/>
  <c r="N90" i="1" s="1"/>
  <c r="M90" i="1"/>
  <c r="D91" i="1"/>
  <c r="M91" i="1" s="1"/>
  <c r="E91" i="1"/>
  <c r="L91" i="1" s="1"/>
  <c r="G91" i="1"/>
  <c r="J91" i="1"/>
  <c r="K91" i="1" s="1"/>
  <c r="D92" i="1"/>
  <c r="M92" i="1" s="1"/>
  <c r="E92" i="1"/>
  <c r="G92" i="1"/>
  <c r="J92" i="1"/>
  <c r="K92" i="1" s="1"/>
  <c r="L92" i="1"/>
  <c r="D93" i="1"/>
  <c r="M93" i="1" s="1"/>
  <c r="J93" i="1"/>
  <c r="K93" i="1" s="1"/>
  <c r="L93" i="1"/>
  <c r="J94" i="1"/>
  <c r="K94" i="1" s="1"/>
  <c r="N94" i="1" s="1"/>
  <c r="O94" i="1" s="1"/>
  <c r="L94" i="1"/>
  <c r="M94" i="1"/>
  <c r="J95" i="1"/>
  <c r="K95" i="1" s="1"/>
  <c r="L95" i="1"/>
  <c r="M95" i="1"/>
  <c r="J96" i="1"/>
  <c r="K96" i="1" s="1"/>
  <c r="L96" i="1"/>
  <c r="M96" i="1"/>
  <c r="J97" i="1"/>
  <c r="K97" i="1" s="1"/>
  <c r="L97" i="1"/>
  <c r="M97" i="1"/>
  <c r="J98" i="1"/>
  <c r="K98" i="1"/>
  <c r="L98" i="1"/>
  <c r="M98" i="1"/>
  <c r="J99" i="1"/>
  <c r="K99" i="1" s="1"/>
  <c r="N99" i="1" s="1"/>
  <c r="L99" i="1"/>
  <c r="M99" i="1"/>
  <c r="O36" i="1" l="1"/>
  <c r="O64" i="1"/>
  <c r="O45" i="1"/>
  <c r="O16" i="1"/>
  <c r="O11" i="1"/>
  <c r="O6" i="1"/>
  <c r="O25" i="1"/>
  <c r="O58" i="1"/>
  <c r="O8" i="1"/>
  <c r="O39" i="1"/>
  <c r="O10" i="1"/>
  <c r="O67" i="1"/>
  <c r="O62" i="1"/>
  <c r="O43" i="1"/>
  <c r="O33" i="1"/>
  <c r="O18" i="1"/>
  <c r="N81" i="1"/>
  <c r="N71" i="1"/>
  <c r="O71" i="1" s="1"/>
  <c r="N66" i="1"/>
  <c r="O66" i="1" s="1"/>
  <c r="N56" i="1"/>
  <c r="O56" i="1" s="1"/>
  <c r="N19" i="1"/>
  <c r="O19" i="1" s="1"/>
  <c r="N82" i="1"/>
  <c r="O82" i="1" s="1"/>
  <c r="N55" i="1"/>
  <c r="O55" i="1" s="1"/>
  <c r="N50" i="1"/>
  <c r="O50" i="1" s="1"/>
  <c r="N75" i="1"/>
  <c r="N59" i="1"/>
  <c r="O59" i="1" s="1"/>
  <c r="N54" i="1"/>
  <c r="O54" i="1" s="1"/>
  <c r="N41" i="1"/>
  <c r="O41" i="1" s="1"/>
  <c r="N80" i="1"/>
  <c r="N79" i="1"/>
  <c r="N74" i="1"/>
  <c r="O74" i="1" s="1"/>
  <c r="N26" i="1"/>
  <c r="O26" i="1" s="1"/>
  <c r="N3" i="1"/>
  <c r="O3" i="1" s="1"/>
  <c r="N92" i="1"/>
  <c r="O92" i="1"/>
  <c r="N83" i="1"/>
  <c r="O83" i="1" s="1"/>
  <c r="N40" i="1"/>
  <c r="O40" i="1" s="1"/>
  <c r="N39" i="1"/>
  <c r="N95" i="1"/>
  <c r="N25" i="1"/>
  <c r="N11" i="1"/>
  <c r="N72" i="1"/>
  <c r="O72" i="1" s="1"/>
  <c r="N67" i="1"/>
  <c r="N62" i="1"/>
  <c r="N6" i="1"/>
  <c r="O90" i="1"/>
  <c r="N29" i="1"/>
  <c r="O29" i="1" s="1"/>
  <c r="N69" i="1"/>
  <c r="O69" i="1" s="1"/>
  <c r="N22" i="1"/>
  <c r="O22" i="1" s="1"/>
  <c r="O81" i="1"/>
  <c r="N47" i="1"/>
  <c r="O47" i="1" s="1"/>
  <c r="N38" i="1"/>
  <c r="O38" i="1" s="1"/>
  <c r="N93" i="1"/>
  <c r="N60" i="1"/>
  <c r="O60" i="1" s="1"/>
  <c r="O85" i="1"/>
  <c r="N34" i="1"/>
  <c r="O34" i="1" s="1"/>
  <c r="N13" i="1"/>
  <c r="O13" i="1" s="1"/>
  <c r="N5" i="1"/>
  <c r="O5" i="1" s="1"/>
  <c r="N85" i="1"/>
  <c r="N73" i="1"/>
  <c r="O73" i="1" s="1"/>
  <c r="N30" i="1"/>
  <c r="O30" i="1" s="1"/>
  <c r="N43" i="1"/>
  <c r="N51" i="1"/>
  <c r="O51" i="1" s="1"/>
  <c r="N42" i="1"/>
  <c r="O42" i="1" s="1"/>
  <c r="N12" i="1"/>
  <c r="O12" i="1" s="1"/>
  <c r="N4" i="1"/>
  <c r="O4" i="1" s="1"/>
  <c r="N89" i="1"/>
  <c r="O89" i="1" s="1"/>
  <c r="N76" i="1"/>
  <c r="O76" i="1" s="1"/>
  <c r="N86" i="1"/>
  <c r="O86" i="1" s="1"/>
  <c r="N46" i="1"/>
  <c r="O46" i="1" s="1"/>
  <c r="N84" i="1"/>
  <c r="O84" i="1" s="1"/>
  <c r="N33" i="1"/>
  <c r="N16" i="1"/>
  <c r="N8" i="1"/>
  <c r="N64" i="1"/>
  <c r="N97" i="1"/>
  <c r="O97" i="1" s="1"/>
  <c r="O80" i="1"/>
  <c r="O95" i="1"/>
  <c r="N88" i="1"/>
  <c r="O88" i="1" s="1"/>
  <c r="O79" i="1"/>
  <c r="N28" i="1"/>
  <c r="O28" i="1" s="1"/>
  <c r="N98" i="1"/>
  <c r="O98" i="1" s="1"/>
  <c r="N96" i="1"/>
  <c r="O96" i="1" s="1"/>
  <c r="N45" i="1"/>
  <c r="O75" i="1"/>
  <c r="O99" i="1"/>
  <c r="N57" i="1"/>
  <c r="O57" i="1" s="1"/>
  <c r="N53" i="1"/>
  <c r="O53" i="1" s="1"/>
  <c r="N36" i="1"/>
  <c r="N87" i="1"/>
  <c r="O87" i="1" s="1"/>
  <c r="N48" i="1"/>
  <c r="O48" i="1" s="1"/>
  <c r="N23" i="1"/>
  <c r="O23" i="1" s="1"/>
  <c r="N2" i="1"/>
  <c r="O2" i="1" s="1"/>
  <c r="O70" i="1"/>
  <c r="N65" i="1"/>
  <c r="O65" i="1" s="1"/>
  <c r="N61" i="1"/>
  <c r="O61" i="1" s="1"/>
  <c r="N52" i="1"/>
  <c r="O52" i="1" s="1"/>
  <c r="N27" i="1"/>
  <c r="O27" i="1" s="1"/>
  <c r="N18" i="1"/>
  <c r="N10" i="1"/>
  <c r="O93" i="1"/>
  <c r="N49" i="1"/>
  <c r="O49" i="1" s="1"/>
  <c r="N91" i="1"/>
  <c r="O91" i="1" s="1"/>
  <c r="O78" i="1"/>
  <c r="J7" i="2"/>
  <c r="M7" i="2" s="1"/>
  <c r="N7" i="2"/>
  <c r="M20" i="2"/>
  <c r="N20" i="2"/>
  <c r="M17" i="2"/>
  <c r="N17" i="2"/>
  <c r="M10" i="2"/>
  <c r="N10" i="2"/>
  <c r="J22" i="2"/>
  <c r="M22" i="2" s="1"/>
  <c r="N22" i="2"/>
  <c r="J12" i="2"/>
  <c r="M12" i="2" s="1"/>
  <c r="N12" i="2"/>
  <c r="M35" i="2"/>
  <c r="N35" i="2"/>
  <c r="J31" i="2"/>
  <c r="M31" i="2" s="1"/>
  <c r="N31" i="2"/>
  <c r="M15" i="2"/>
  <c r="N15" i="2"/>
  <c r="J23" i="2"/>
  <c r="M23" i="2" s="1"/>
  <c r="N23" i="2"/>
  <c r="J33" i="2"/>
  <c r="M33" i="2" s="1"/>
  <c r="N33" i="2"/>
  <c r="M38" i="2"/>
  <c r="N38" i="2"/>
  <c r="J4" i="2"/>
  <c r="M4" i="2" s="1"/>
  <c r="N4" i="2"/>
  <c r="J18" i="2"/>
  <c r="M18" i="2" s="1"/>
  <c r="N18" i="2"/>
  <c r="M30" i="2"/>
  <c r="N30" i="2"/>
  <c r="J16" i="2"/>
  <c r="M16" i="2" s="1"/>
  <c r="N16" i="2"/>
  <c r="L5" i="2"/>
  <c r="N5" i="2" s="1"/>
  <c r="M5" i="2"/>
  <c r="J19" i="2"/>
  <c r="M19" i="2" s="1"/>
  <c r="N19" i="2"/>
  <c r="M11" i="2"/>
  <c r="N11" i="2"/>
  <c r="J26" i="2"/>
  <c r="M26" i="2" s="1"/>
  <c r="N26" i="2"/>
  <c r="M37" i="2"/>
  <c r="N37" i="2"/>
  <c r="M6" i="2"/>
  <c r="N6" i="2"/>
  <c r="J14" i="2"/>
  <c r="M14" i="2" s="1"/>
  <c r="N14" i="2"/>
  <c r="L29" i="2"/>
  <c r="N29" i="2" s="1"/>
  <c r="M29" i="2"/>
  <c r="M21" i="2"/>
  <c r="N21" i="2"/>
  <c r="M13" i="2"/>
  <c r="N13" i="2"/>
  <c r="M42" i="2"/>
  <c r="N42" i="2"/>
  <c r="J34" i="2"/>
  <c r="M34" i="2" s="1"/>
  <c r="N34" i="2"/>
  <c r="M43" i="2"/>
  <c r="N43" i="2"/>
  <c r="L25" i="2"/>
  <c r="N25" i="2" s="1"/>
  <c r="M25" i="2"/>
  <c r="J41" i="2"/>
  <c r="M41" i="2"/>
  <c r="N41" i="2"/>
  <c r="J3" i="2"/>
  <c r="M3" i="2" s="1"/>
  <c r="N3" i="2"/>
  <c r="J36" i="2"/>
  <c r="M36" i="2" s="1"/>
  <c r="N36" i="2"/>
  <c r="J2" i="2"/>
  <c r="M2" i="2" s="1"/>
  <c r="N2" i="2"/>
  <c r="J9" i="2"/>
  <c r="M9" i="2" s="1"/>
  <c r="N9" i="2"/>
  <c r="M40" i="2"/>
  <c r="N40" i="2"/>
  <c r="J32" i="2"/>
  <c r="M32" i="2" s="1"/>
  <c r="N32" i="2"/>
  <c r="M24" i="2"/>
  <c r="N24" i="2"/>
  <c r="M8" i="2"/>
  <c r="N8" i="2"/>
  <c r="J39" i="2"/>
  <c r="M39" i="2" s="1"/>
  <c r="N39" i="2"/>
  <c r="J28" i="2"/>
  <c r="M28" i="2" s="1"/>
  <c r="N28" i="2"/>
  <c r="M27" i="2"/>
  <c r="N27" i="2"/>
  <c r="M2" i="4"/>
  <c r="I2" i="4"/>
  <c r="L2" i="4" s="1"/>
  <c r="M3" i="4"/>
  <c r="L3" i="4"/>
  <c r="N19" i="3"/>
  <c r="J19" i="3"/>
  <c r="M19" i="3" s="1"/>
  <c r="N18" i="3"/>
  <c r="J18" i="3"/>
  <c r="M18" i="3" s="1"/>
  <c r="N17" i="3"/>
  <c r="J17" i="3"/>
  <c r="M17" i="3" s="1"/>
  <c r="N16" i="3"/>
  <c r="J16" i="3"/>
  <c r="M16" i="3" s="1"/>
  <c r="N15" i="3"/>
  <c r="J15" i="3"/>
  <c r="M15" i="3" s="1"/>
  <c r="N11" i="3"/>
  <c r="J11" i="3"/>
  <c r="M11" i="3" s="1"/>
  <c r="N9" i="3"/>
  <c r="J9" i="3"/>
  <c r="M9" i="3" s="1"/>
  <c r="N2" i="3"/>
  <c r="J2" i="3"/>
  <c r="M2" i="3" s="1"/>
  <c r="N8" i="3"/>
  <c r="J8" i="3"/>
  <c r="M8" i="3" s="1"/>
  <c r="N7" i="3"/>
  <c r="J7" i="3"/>
  <c r="M7" i="3" s="1"/>
  <c r="N6" i="3"/>
  <c r="J6" i="3"/>
  <c r="M6" i="3" s="1"/>
  <c r="N14" i="3"/>
  <c r="M14" i="3"/>
  <c r="N13" i="3"/>
  <c r="J13" i="3"/>
  <c r="M13" i="3" s="1"/>
  <c r="N3" i="3"/>
  <c r="J3" i="3"/>
  <c r="M3" i="3" s="1"/>
  <c r="N10" i="3"/>
  <c r="J10" i="3"/>
  <c r="M10" i="3" s="1"/>
  <c r="N4" i="3"/>
  <c r="J4" i="3"/>
  <c r="M4" i="3" s="1"/>
  <c r="N12" i="3"/>
  <c r="M12" i="3"/>
  <c r="N5" i="3"/>
  <c r="J5" i="3"/>
  <c r="M5" i="3" s="1"/>
</calcChain>
</file>

<file path=xl/sharedStrings.xml><?xml version="1.0" encoding="utf-8"?>
<sst xmlns="http://schemas.openxmlformats.org/spreadsheetml/2006/main" count="743" uniqueCount="463">
  <si>
    <t>Manufacturer</t>
  </si>
  <si>
    <t>Name</t>
  </si>
  <si>
    <t>Locomotion</t>
  </si>
  <si>
    <t>Length [m]</t>
  </si>
  <si>
    <t>Width [m]</t>
  </si>
  <si>
    <t>Height [m]</t>
  </si>
  <si>
    <t>Weight [kg]</t>
  </si>
  <si>
    <t>Umax [m/s]</t>
  </si>
  <si>
    <t>Uopt [m/s]</t>
  </si>
  <si>
    <t>Re</t>
  </si>
  <si>
    <t>Reference</t>
  </si>
  <si>
    <t>Hydroid</t>
  </si>
  <si>
    <t>Teledyne Marine</t>
  </si>
  <si>
    <t>Atlas Elektronik</t>
  </si>
  <si>
    <t>Seaotter MkII</t>
  </si>
  <si>
    <t>Propeller</t>
  </si>
  <si>
    <t>Atlas Maridan</t>
  </si>
  <si>
    <t>SeaCat</t>
  </si>
  <si>
    <t>https://www.maridan.atlas-elektronik.com/solutions/unmanned-naval-systems/seacat.html</t>
  </si>
  <si>
    <t>SeaFox</t>
  </si>
  <si>
    <t>https://www.maridan.atlas-elektronik.com/fileadmin/user_upload/01_Images/Solutions/Datenblaetter_zum_Download/005_Seafox.pdf</t>
  </si>
  <si>
    <t>Australian National Univeristy</t>
  </si>
  <si>
    <t>Serafina</t>
  </si>
  <si>
    <t>http://serafina.anu.edu.au/2-Systems/Submersibles.html</t>
  </si>
  <si>
    <t>BAE Systems</t>
  </si>
  <si>
    <t>1MP</t>
  </si>
  <si>
    <t>https://www.baesystems.com/en/product/riptide-family-of-autonomous-undersea-vehicles</t>
  </si>
  <si>
    <t>2MP</t>
  </si>
  <si>
    <t>microUUV</t>
  </si>
  <si>
    <t>Bluefin Robotics</t>
  </si>
  <si>
    <t>Bluefin 21</t>
  </si>
  <si>
    <t>BPAUV</t>
  </si>
  <si>
    <t>Boeing</t>
  </si>
  <si>
    <t>Echo Voyager</t>
  </si>
  <si>
    <t>https://www.boeing.com/resources/boeingdotcom/defense/autonomous-systems/echo-voyager/echo_voyager_product_sheet.pdf</t>
  </si>
  <si>
    <t>Central Mechanical Engineering Research Institute</t>
  </si>
  <si>
    <t>AUV-150</t>
  </si>
  <si>
    <t>https://www.cmeri.res.in/autonomous-underwater-vehicle-auv</t>
  </si>
  <si>
    <t>Commonwealth Scientific and Industrial Research</t>
  </si>
  <si>
    <t>Starbug</t>
  </si>
  <si>
    <t>https://eprints.qut.edu.au/33830/1/33830.pdf</t>
  </si>
  <si>
    <t>Cybernetix</t>
  </si>
  <si>
    <t>ALIVE</t>
  </si>
  <si>
    <t>Marty, 2004</t>
  </si>
  <si>
    <t>Daewoo</t>
  </si>
  <si>
    <t>OKPO-300</t>
  </si>
  <si>
    <t>https://dsmeu.en.ec21.com/Autonomous_Underwater_Vehicle_OKPO_300--698356_698435.html</t>
  </si>
  <si>
    <t>ECA SA</t>
  </si>
  <si>
    <t>Alistar</t>
  </si>
  <si>
    <t>Copros &amp; Scourzic, 2011</t>
  </si>
  <si>
    <t>Alister Daurade</t>
  </si>
  <si>
    <t>Evo Logics</t>
  </si>
  <si>
    <t>Sonobot</t>
  </si>
  <si>
    <t>https://evologics.de/web/content/30413?unique=eaae989aef8253ad2af7b76097c8f5b78d10fc09</t>
  </si>
  <si>
    <t>Exocetus</t>
  </si>
  <si>
    <t>Coastal Glider</t>
  </si>
  <si>
    <t>https://www.exocetussystems.com/coastalglider</t>
  </si>
  <si>
    <t>GD-Bluefin Robotics</t>
  </si>
  <si>
    <t>Bluefin-12</t>
  </si>
  <si>
    <t>https://gdmissionsystems.com/-/media/General-Dynamics/Maritime-and-Strategic-Systems/Bluefin/PDF/Bluefin-12-UUV-Datasheet.ashx?la=en&amp;hash=22D8864DB641D8B87272B50960BB345AA8DA18B4</t>
  </si>
  <si>
    <t>Bluefin-21</t>
  </si>
  <si>
    <t>https://gdmissionsystems.com/-/media/General-Dynamics/Maritime-and-Strategic-Systems/Bluefin/PDF/Bluefin-21-BPAUV-Product-Sheet.ashx?la=en&amp;hash=00B8F3DDB86A0421AFD965E085F2409F85FAA9BC</t>
  </si>
  <si>
    <t>Bluefin-9</t>
  </si>
  <si>
    <t>https://gdmissionsystems.com/-/media/General-Dynamics/Maritime-and-Strategic-Systems/Bluefin/PDF/bluefin-9-auv-datasheet.ashx?la=en&amp;hash=CE59823117FA829801B73D637AA17B877A51A7F0</t>
  </si>
  <si>
    <t>HAUV</t>
  </si>
  <si>
    <t>https://gdmissionsystems.com/products/underwater-vehicles/bluefin-hauv</t>
  </si>
  <si>
    <t>Graal Tech</t>
  </si>
  <si>
    <t>Folaga</t>
  </si>
  <si>
    <t>https://www.graaltech.com/folaga-features</t>
  </si>
  <si>
    <t>Heriot-Watt University Ocean Systems Laboratory</t>
  </si>
  <si>
    <t>Nessie 2012</t>
  </si>
  <si>
    <t>http://osl.eps.hw.ac.uk/virtualPages/experimentalCapabilities/Nessie%202012.php</t>
  </si>
  <si>
    <t>Nessie IV (2009)</t>
  </si>
  <si>
    <t>http://osl.eps.hw.ac.uk/virtualPages/experimentalCapabilities/Nessie%20IV%20AUV.php</t>
  </si>
  <si>
    <t>Remus 100</t>
  </si>
  <si>
    <t>https://www.hydroid.com/new-generation-remus-100-marine-research-applications</t>
  </si>
  <si>
    <t>Remus 300</t>
  </si>
  <si>
    <t>https://www.hydroid.com/REMUS300</t>
  </si>
  <si>
    <t>Remus 600</t>
  </si>
  <si>
    <t>https://www.hydroid.com/remus-600-marine-research-applications</t>
  </si>
  <si>
    <t>Remus 6000</t>
  </si>
  <si>
    <t>https://www.hydroid.com/remus-6000-marine-research-applications</t>
  </si>
  <si>
    <t>Remus M3V</t>
  </si>
  <si>
    <t>https://www.hydroid.com/REMUS-M3V</t>
  </si>
  <si>
    <t>International Submarine Engineering Ltd.</t>
  </si>
  <si>
    <t>Explorer</t>
  </si>
  <si>
    <t>https://ise.bc.ca/wp-content/uploads/2017/12/Explorer_SpecSheet.pdf</t>
  </si>
  <si>
    <t>Theseus</t>
  </si>
  <si>
    <t>https://ise.bc.ca/wp-content/uploads/2017/12/Theseus-AUV.pdf</t>
  </si>
  <si>
    <t>Japan Agency for Marine-Earth Science and Technology</t>
  </si>
  <si>
    <t>Urashima</t>
  </si>
  <si>
    <t>http://www.jamstec.go.jp/e/about/equipment/ships/urashima.html</t>
  </si>
  <si>
    <t>Kongsberg</t>
  </si>
  <si>
    <t>Hugin 1000</t>
  </si>
  <si>
    <t>https://www.kongsberg.com/globalassets/maritime/km-products/product-documents/hugin-family-of-auvs</t>
  </si>
  <si>
    <t>Hugin 3000</t>
  </si>
  <si>
    <t>Hugin 4500</t>
  </si>
  <si>
    <t>Hugin Superior</t>
  </si>
  <si>
    <t>https://www.kongsberg.com/globalassets/maritime/km-products/product-documents/hugin-superior.pdf</t>
  </si>
  <si>
    <t>Kongsberg Maritime</t>
  </si>
  <si>
    <t>HUGIN 1000</t>
  </si>
  <si>
    <t>Kongsberg,2009</t>
  </si>
  <si>
    <t>HUGIN 3000</t>
  </si>
  <si>
    <t>Kongsberg, 2009; Yoshida et al., 2010</t>
  </si>
  <si>
    <t>HUGIN 4500</t>
  </si>
  <si>
    <t>Kongsberg, 2009</t>
  </si>
  <si>
    <t>L3 Harris OceanServer</t>
  </si>
  <si>
    <t>Iver3 Standard</t>
  </si>
  <si>
    <t>https://ocean-server.com/iver3/</t>
  </si>
  <si>
    <t>Iver4 900</t>
  </si>
  <si>
    <t>https://ocean-server.com/iver4-pw/</t>
  </si>
  <si>
    <t>Lockheed Martin</t>
  </si>
  <si>
    <t>Marlin MK1</t>
  </si>
  <si>
    <t>https://www.lockheedmartin.com/en-us/products/marlin.html</t>
  </si>
  <si>
    <t>Marlin Mk2</t>
  </si>
  <si>
    <t>Marlin Mk3</t>
  </si>
  <si>
    <t>Marine Autonomous Systems Engineering</t>
  </si>
  <si>
    <t>SAUVIM</t>
  </si>
  <si>
    <t>http://maseinc.com/index.html</t>
  </si>
  <si>
    <t>Maritime and Ocean Engineering Research Institute</t>
  </si>
  <si>
    <t>ISiMI</t>
  </si>
  <si>
    <t>Jun et al., 2009</t>
  </si>
  <si>
    <t>Memorial University</t>
  </si>
  <si>
    <t>MUN Explorer</t>
  </si>
  <si>
    <t>MIT AUV Lab</t>
  </si>
  <si>
    <t>Odyssey IV</t>
  </si>
  <si>
    <t>https://seagrant.mit.edu/auv-lab-vehicles/#odyssey-iv-auv</t>
  </si>
  <si>
    <t>MIT AUV Laboratory</t>
  </si>
  <si>
    <t>Monterey Bay Aquarium Research Institute</t>
  </si>
  <si>
    <t>Benthic Rover</t>
  </si>
  <si>
    <t>https://www.mbari.org/benthic-rover/</t>
  </si>
  <si>
    <t>Dorado</t>
  </si>
  <si>
    <t>Tethys</t>
  </si>
  <si>
    <t>https://www.mbari.org/at-sea/vehicles/autonomous-underwater-vehicles/long-range-auv-tethys/</t>
  </si>
  <si>
    <t>National Deep Submergence Facility</t>
  </si>
  <si>
    <t>Sentry</t>
  </si>
  <si>
    <t>https://www.whoi.edu/wp-content/uploads/2019/02/18G0622-Sentry-One-Pager-Masako-Mtominaga.pdf</t>
  </si>
  <si>
    <t>National Oceanography Center</t>
  </si>
  <si>
    <t>Autosub 3</t>
  </si>
  <si>
    <t>https://noc.ac.uk/facilities/marine-autonomous-robotic-systems/autosubs</t>
  </si>
  <si>
    <t>Autosub6000</t>
  </si>
  <si>
    <t>Yoshida et al., 2010</t>
  </si>
  <si>
    <t>National University of Singapore</t>
  </si>
  <si>
    <t>Starfish</t>
  </si>
  <si>
    <t>https://auvac.org/uploads/configuration_spec_sheets/Starfish.pdf</t>
  </si>
  <si>
    <t>Naval Postgraduate School</t>
  </si>
  <si>
    <t>Aries</t>
  </si>
  <si>
    <t>https://www.nps.edu/web/cavr/auv</t>
  </si>
  <si>
    <t>Newcastle University</t>
  </si>
  <si>
    <t>Delphin 2</t>
  </si>
  <si>
    <t>https://doi.org/10.1177/1475090213506185</t>
  </si>
  <si>
    <t>Ocean Aero</t>
  </si>
  <si>
    <t>SubMaran UUSV</t>
  </si>
  <si>
    <t>https://www.oceanaero.com/vehicles/</t>
  </si>
  <si>
    <t>OceanServer Technology</t>
  </si>
  <si>
    <t>Iver2</t>
  </si>
  <si>
    <t>Office of Naval Research</t>
  </si>
  <si>
    <t>Oddysey</t>
  </si>
  <si>
    <t>https://doi.org/10.5670/oceanog.1993.03</t>
  </si>
  <si>
    <t>Qinetiq</t>
  </si>
  <si>
    <t>SEAScout</t>
  </si>
  <si>
    <t>https://qinetiq-na.com/wp-content/uploads/SEAScout_Datasheet_LRv2.pdf</t>
  </si>
  <si>
    <t>Saab Seaeye</t>
  </si>
  <si>
    <t>Sabertooth Double Hull</t>
  </si>
  <si>
    <t>https://www.saabseaeye.com/solutions/underwater-vehicles/sabertooth-double-hull</t>
  </si>
  <si>
    <t>Sabertooth Single Hull</t>
  </si>
  <si>
    <t>https://www.saabseaeye.com/solutions/underwater-vehicles/sabertooth-single-hull</t>
  </si>
  <si>
    <t>Scripps Institution of Oceanography</t>
  </si>
  <si>
    <t>Spray</t>
  </si>
  <si>
    <t>Stone Aerospace</t>
  </si>
  <si>
    <t>DepthX</t>
  </si>
  <si>
    <t>https://stoneaerospace.com/depthx/</t>
  </si>
  <si>
    <t>Tecnico Lisboa Dynamical Systems and Ocean Robotics Laboratory</t>
  </si>
  <si>
    <t>Medusa</t>
  </si>
  <si>
    <t>http://dsor.isr.ist.utl.pt/vehicles/medusa/</t>
  </si>
  <si>
    <t>Gavia</t>
  </si>
  <si>
    <t>http://www.teledynemarine.com/gavia-auv?ProductLineID=15</t>
  </si>
  <si>
    <t>Sea Raptor</t>
  </si>
  <si>
    <t>http://www.teledynemarine.com/searaptor-auv?ProductLineID=15</t>
  </si>
  <si>
    <t>University of Delaware Robotic Discovery Laboratories</t>
  </si>
  <si>
    <t>Fetch 3</t>
  </si>
  <si>
    <t>https://auvac.org/configurations/view/104?from_search=1</t>
  </si>
  <si>
    <t>University of Porto Ocean Systems Group</t>
  </si>
  <si>
    <t>MARES</t>
  </si>
  <si>
    <t>https://oceansys.fe.up.pt/?section=tech</t>
  </si>
  <si>
    <t>TriMARES</t>
  </si>
  <si>
    <t>https://www.researchgate.net/publication/261465972_TriMARES_-_A_hybrid_AUVROV_for_dam_inspection</t>
  </si>
  <si>
    <t>University of Tokyo Institute of Industrial Science</t>
  </si>
  <si>
    <t>ALBAC</t>
  </si>
  <si>
    <t>http://underwater.iis.u-tokyo.ac.jp/robot/albac/al-chp4-e.html</t>
  </si>
  <si>
    <t>Manta-ceresia</t>
  </si>
  <si>
    <t>http://underwater.iis.u-tokyo.ac.jp/robot/manta/Welcome-e.html</t>
  </si>
  <si>
    <t>PTEROA150</t>
  </si>
  <si>
    <t>http://underwater.iis.u-tokyo.ac.jp/robot/pteroa-e.html</t>
  </si>
  <si>
    <t>R-one</t>
  </si>
  <si>
    <t>http://underwater.iis.u-tokyo.ac.jp/top/sado/sado-e.html</t>
  </si>
  <si>
    <t>r2D4</t>
  </si>
  <si>
    <t>Tri-Dog 1</t>
  </si>
  <si>
    <t>http://underwater.iis.u-tokyo.ac.jp/robot/tri/tridog-e.html</t>
  </si>
  <si>
    <t>Tuna-Sand</t>
  </si>
  <si>
    <t>Twin Burger</t>
  </si>
  <si>
    <t>http://underwater.iis.u-tokyo.ac.jp/robot/tb/tb-chp1-e.html</t>
  </si>
  <si>
    <t>University of Victoria</t>
  </si>
  <si>
    <t>Maco</t>
  </si>
  <si>
    <t>https://auvac.org/uploads/configuration_spec_sheets/Maco%20AUV.pdf</t>
  </si>
  <si>
    <t>Virginia Institute of Marine Science</t>
  </si>
  <si>
    <t>Fetch</t>
  </si>
  <si>
    <t>https://auvac.org/configurations/view/103?from_search=1</t>
  </si>
  <si>
    <t>Virginia Tech Autonomous Systems and Controls Laboratory</t>
  </si>
  <si>
    <t>475 AUV</t>
  </si>
  <si>
    <t>https://www.ascl.ece.vt.edu/475AUV2.html</t>
  </si>
  <si>
    <t>690 AUV</t>
  </si>
  <si>
    <t>https://www.ascl.ece.vt.edu/690AUV.html</t>
  </si>
  <si>
    <t>Self-Mooring AUV</t>
  </si>
  <si>
    <t>https://www.ascl.ece.vt.edu/self_mooring.html</t>
  </si>
  <si>
    <t>Woods Hole Oceanographic Institution</t>
  </si>
  <si>
    <t>Autonomous Benthic Explorer (ABE)</t>
  </si>
  <si>
    <t>Nereus</t>
  </si>
  <si>
    <t>Bowen et al., 2008</t>
  </si>
  <si>
    <t>SeaBED</t>
  </si>
  <si>
    <t>seaBED</t>
  </si>
  <si>
    <t>https://web.whoi.edu/singh/auvasf/seabed/</t>
  </si>
  <si>
    <t>YSI</t>
  </si>
  <si>
    <t>I3XO EcoMapper</t>
  </si>
  <si>
    <t>https://www.ysi.com/ecomapper</t>
  </si>
  <si>
    <t>Author</t>
  </si>
  <si>
    <t>Affiliation</t>
  </si>
  <si>
    <t>Freq [Hz]</t>
  </si>
  <si>
    <t>A [BL]</t>
  </si>
  <si>
    <t>Sw</t>
  </si>
  <si>
    <t>Crespi</t>
  </si>
  <si>
    <t>Ecole Polytechnique Federale de Lausanne</t>
  </si>
  <si>
    <t>Anguiliform</t>
  </si>
  <si>
    <t>NTNU Mamba</t>
  </si>
  <si>
    <t>Kelasidi</t>
  </si>
  <si>
    <t>NTNU</t>
  </si>
  <si>
    <t>https://doi.org/10.1109/SSRR.2016.7784295</t>
  </si>
  <si>
    <t>Ecole Polytechnique Amphibot-II</t>
  </si>
  <si>
    <t>https://doi.org/10.1109/TRO.2008.915426</t>
  </si>
  <si>
    <t>CAS Amphibious Robot</t>
  </si>
  <si>
    <t>Ding</t>
  </si>
  <si>
    <t>Chinese Academy of Science</t>
  </si>
  <si>
    <t>https://doi.org/10.5772/56059</t>
  </si>
  <si>
    <t>Nguyen</t>
  </si>
  <si>
    <t>Yu</t>
  </si>
  <si>
    <t>Carangiform</t>
  </si>
  <si>
    <t>University of Essex iSplah Micro</t>
  </si>
  <si>
    <t>Clapham</t>
  </si>
  <si>
    <t>University of Essex</t>
  </si>
  <si>
    <t>https://doi.org/10.1109/IROS.2014.6942574</t>
  </si>
  <si>
    <t>UCSD DEA leptocephali</t>
  </si>
  <si>
    <t>Christianson</t>
  </si>
  <si>
    <t>University of California, San Diego</t>
  </si>
  <si>
    <t>https://doi.org/10.1126/scirobotics.aat1893</t>
  </si>
  <si>
    <t>Polish Naval Academy Cyberfish</t>
  </si>
  <si>
    <t>Szymak</t>
  </si>
  <si>
    <t>Polish Naval Academy</t>
  </si>
  <si>
    <t>https://doi.org/10.1007/978-3-319-05353-0_43</t>
  </si>
  <si>
    <t>Low</t>
  </si>
  <si>
    <t>Nanyang Technological University</t>
  </si>
  <si>
    <t>Kyushu University Carangiform</t>
  </si>
  <si>
    <t>Fujiwara</t>
  </si>
  <si>
    <t>Kyushu University</t>
  </si>
  <si>
    <t>https://doi.org/10.1109/IROS.2017.8206281</t>
  </si>
  <si>
    <t>MIT RoboPike</t>
  </si>
  <si>
    <t>Kumph</t>
  </si>
  <si>
    <t>Massachusetts Institute of Technology</t>
  </si>
  <si>
    <t>https://dspace.mit.edu/bitstream/handle/1721.1/8968/47045662-MIT.pdf?sequence=2</t>
  </si>
  <si>
    <t>Nanyang Arowana</t>
  </si>
  <si>
    <t>https://doi.org/10.1109/ICMA.2007.4303527</t>
  </si>
  <si>
    <t>Firat University i-RoF</t>
  </si>
  <si>
    <t>Bal</t>
  </si>
  <si>
    <t>Firat University</t>
  </si>
  <si>
    <t>https://doi.org/10.1016/j.oceaneng.2019.106334</t>
  </si>
  <si>
    <t>Harbin Tensegrity</t>
  </si>
  <si>
    <t>Chen</t>
  </si>
  <si>
    <t>Harbin Institute of Technology</t>
  </si>
  <si>
    <t>https://doi.org/10.1109/TIE.2011.2151812</t>
  </si>
  <si>
    <t>University Essex Isplash-I</t>
  </si>
  <si>
    <t>https://doi.org/10.1007/978-3-662-46870-8</t>
  </si>
  <si>
    <t>University of Essex Isplash-II</t>
  </si>
  <si>
    <t>https://doi.org/10.1007/978-3-662-46870-9</t>
  </si>
  <si>
    <t>Institute de Physique de Nice Carangiform</t>
  </si>
  <si>
    <t>Gibouin</t>
  </si>
  <si>
    <t>Institute de Physique de Nice</t>
  </si>
  <si>
    <t>https://doi.org/10.1063/1.5043137</t>
  </si>
  <si>
    <t>Kagawa Micro IPMC</t>
  </si>
  <si>
    <t>Guo</t>
  </si>
  <si>
    <t>Kagawa University</t>
  </si>
  <si>
    <t>https://doi.org/10.1109/ICMA.2006.257505</t>
  </si>
  <si>
    <t>NTU BAUV</t>
  </si>
  <si>
    <t>National Taiwan University</t>
  </si>
  <si>
    <t>https://doi.org/10.1007/s10514-009-9117-z</t>
  </si>
  <si>
    <t>Hankuk Tadpole</t>
  </si>
  <si>
    <t>Kim</t>
  </si>
  <si>
    <t>Hankuk Aviation University</t>
  </si>
  <si>
    <t>https://doi.org/10.1088/0964-1726/14/6/051</t>
  </si>
  <si>
    <t>Liu</t>
  </si>
  <si>
    <t>Ming</t>
  </si>
  <si>
    <t>University of Electro-Communications</t>
  </si>
  <si>
    <t>University of Washington Robotic Fish</t>
  </si>
  <si>
    <t>Morgansen</t>
  </si>
  <si>
    <t>University of Washingtong</t>
  </si>
  <si>
    <t>https://doi.org/10.1109/TRO.2007.911625</t>
  </si>
  <si>
    <t>Konkuk Piezoelectric</t>
  </si>
  <si>
    <t>Konkuk University</t>
  </si>
  <si>
    <t>https://doi.org/10.1007/s12555-009-0212-x</t>
  </si>
  <si>
    <t>Michigan State University</t>
  </si>
  <si>
    <t>Harbin SMA</t>
  </si>
  <si>
    <t>Wang</t>
  </si>
  <si>
    <t>https://doi.org/10.1016/j.sna.2008.02.013</t>
  </si>
  <si>
    <t>Harvard Beihang Mackerel</t>
  </si>
  <si>
    <t>Wen</t>
  </si>
  <si>
    <t>Harvard and Beihang University</t>
  </si>
  <si>
    <t>https://doi.org/10.1089/soro.2017.0085</t>
  </si>
  <si>
    <t>Xu</t>
  </si>
  <si>
    <t>USTC Carangiform</t>
  </si>
  <si>
    <t>Yan</t>
  </si>
  <si>
    <t>University of Science and Technology of China</t>
  </si>
  <si>
    <t>https://doi.org/10.1016/S1672-6529(08)60012-8</t>
  </si>
  <si>
    <t>Harvard Finbot</t>
  </si>
  <si>
    <t>Berlinger</t>
  </si>
  <si>
    <t>Harvard University</t>
  </si>
  <si>
    <t>Ostraciiform</t>
  </si>
  <si>
    <t>https://doi.org/10.1088/1748-3190/abd013</t>
  </si>
  <si>
    <t>Polytechnic Institute of New York University</t>
  </si>
  <si>
    <t>Konkuk Ostraciiform</t>
  </si>
  <si>
    <t>Chan</t>
  </si>
  <si>
    <t>https://doi.org/10.1109/ICCAS.2007.4406989</t>
  </si>
  <si>
    <t>Tohoku University Magnetic</t>
  </si>
  <si>
    <t>Tohoku University</t>
  </si>
  <si>
    <t>https://doi.org/10.1088/1748-3182/7/3/036007</t>
  </si>
  <si>
    <t>Polytechnic Institute of New York</t>
  </si>
  <si>
    <t>Kopman</t>
  </si>
  <si>
    <t>https://doi.org/10.1109/TMECH.2012.2222431</t>
  </si>
  <si>
    <t>BoxyBot</t>
  </si>
  <si>
    <t>Lachat</t>
  </si>
  <si>
    <t>Swiss Federal Institute of Technology</t>
  </si>
  <si>
    <t>https://doi.org/10.1109/BIOROB.2006.1639162</t>
  </si>
  <si>
    <t>Dalian University of Technology Magnetostrictive</t>
  </si>
  <si>
    <t>Dalian University of Technology</t>
  </si>
  <si>
    <t>https://doi.org/10.1016/j.sna.2010.04.014</t>
  </si>
  <si>
    <t>National Technical University of Athens</t>
  </si>
  <si>
    <t>Papadopoulos</t>
  </si>
  <si>
    <t>https://doi.org/10.1109/MED.2009.5164636</t>
  </si>
  <si>
    <t>Kindai University</t>
  </si>
  <si>
    <t>Shibata</t>
  </si>
  <si>
    <t>https://doi.org/10.1080/01691864.2014.944213</t>
  </si>
  <si>
    <t>Chengdu University</t>
  </si>
  <si>
    <t>Chengdu University of Information</t>
  </si>
  <si>
    <t>https://doi.org/10.1145/3351917.3351951</t>
  </si>
  <si>
    <t>University of Glasgow RoboSalmon</t>
  </si>
  <si>
    <t>McColgan</t>
  </si>
  <si>
    <t>University of Glasgow</t>
  </si>
  <si>
    <t>Sub-Carangiform</t>
  </si>
  <si>
    <t>https://doi.org/10.1109/10.3390/robotics5010002</t>
  </si>
  <si>
    <t>TUT SubCarang</t>
  </si>
  <si>
    <t>Daou</t>
  </si>
  <si>
    <t>Tallinn University of Technology</t>
  </si>
  <si>
    <t>https://doi.org/10.1088/1748-3182/9/1/016010</t>
  </si>
  <si>
    <t>Madrid SMA</t>
  </si>
  <si>
    <t>Rossi</t>
  </si>
  <si>
    <t>Universidad Politecnica de Madrid</t>
  </si>
  <si>
    <t>https://doi.org/10.1088/1748-3182/6/4/045005</t>
  </si>
  <si>
    <t>Chinese University of HK Wire</t>
  </si>
  <si>
    <t>Xie</t>
  </si>
  <si>
    <t>Chinese University of Hong Kong</t>
  </si>
  <si>
    <t>https://doi.org/10.1109/LRA.2019.2941827</t>
  </si>
  <si>
    <t>Zhong</t>
  </si>
  <si>
    <t>https://doi.org/10.1080/01691864.2017.1392344</t>
  </si>
  <si>
    <t>UV Tunabot</t>
  </si>
  <si>
    <t>Zhu</t>
  </si>
  <si>
    <t>University of Virginia</t>
  </si>
  <si>
    <t>Thunniform</t>
  </si>
  <si>
    <t>https://doi.org/10.1126/scirobotics.aax4615</t>
  </si>
  <si>
    <t>Beihang University</t>
  </si>
  <si>
    <t>Michigan State IPMC</t>
  </si>
  <si>
    <t>https://doi.org/10.1109/TMECH.2009.2027812</t>
  </si>
  <si>
    <t>Tongji University MFC</t>
  </si>
  <si>
    <t>Tongji University</t>
  </si>
  <si>
    <t>https://doi.org/10.1155/2018/5697408</t>
  </si>
  <si>
    <t>Harbin MACCEPA</t>
  </si>
  <si>
    <t>Li</t>
  </si>
  <si>
    <t>https://doi.org/10.1007/s42235-018-0049-1</t>
  </si>
  <si>
    <t>UC Ika</t>
  </si>
  <si>
    <t>Masoomi</t>
  </si>
  <si>
    <t>University of Canterbury</t>
  </si>
  <si>
    <t>https://doi.org/10.5772/60059</t>
  </si>
  <si>
    <t>University of EC PFC</t>
  </si>
  <si>
    <t>https://doi.org/10.1109/ROBOT.2009.5152723</t>
  </si>
  <si>
    <t>Shen</t>
  </si>
  <si>
    <t>Gymnotiform</t>
  </si>
  <si>
    <t>https://doi.org/10.1088/1748-3190/aacd26</t>
  </si>
  <si>
    <t>NTU Knifefish</t>
  </si>
  <si>
    <t>https://doi.org/10.1177/1077546306070597</t>
  </si>
  <si>
    <t>UNLV IPMC</t>
  </si>
  <si>
    <t>University of Nevada Las Vegas</t>
  </si>
  <si>
    <t>https://doi.org/10.1088/1361-665X/ab6fe8</t>
  </si>
  <si>
    <t>https://doi.org/10.1145/3205455.3205583</t>
  </si>
  <si>
    <t>Labriform</t>
  </si>
  <si>
    <t>https://doi.org/10.1017/S0263574719000997</t>
  </si>
  <si>
    <t>https://www.societyofrobots.com/robottheory/Sensor_Data_Fusion_Submerged_Results_Pectoral_Fin_UUV.pdf</t>
  </si>
  <si>
    <t>https://doi.org/10.1007/BF02492918</t>
  </si>
  <si>
    <t>https://doi.org/10.1109/48.820744</t>
  </si>
  <si>
    <t>https://doi.org/10.1007/978-4-431-53951-3_9</t>
  </si>
  <si>
    <t>https://doi.org/10.1016/S1672-6529(16)60396-7</t>
  </si>
  <si>
    <t>Labriform Fish</t>
  </si>
  <si>
    <t>Sitorus</t>
  </si>
  <si>
    <t>Bandung Institute of Technology</t>
  </si>
  <si>
    <t>https://doi.org/10.1016/S1672-6529(08)60100-6</t>
  </si>
  <si>
    <t>https://doi.org/10.1109/CDC.2009.5399642</t>
  </si>
  <si>
    <t>Squid Robot – model 5</t>
  </si>
  <si>
    <t>Rahman</t>
  </si>
  <si>
    <t>University Malaysia</t>
  </si>
  <si>
    <t>Oscilliatory</t>
  </si>
  <si>
    <t>https://doi.org/10.11113/jt.v74.4816</t>
  </si>
  <si>
    <t>Galatea</t>
  </si>
  <si>
    <t>Simmons</t>
  </si>
  <si>
    <t>Delft University of Technology</t>
  </si>
  <si>
    <t>University of Electro-communications</t>
  </si>
  <si>
    <t>Rajiform</t>
  </si>
  <si>
    <t>UV Cownose Ray</t>
  </si>
  <si>
    <t>UV Robotic Mantaray</t>
  </si>
  <si>
    <t>Tartu University</t>
  </si>
  <si>
    <t>Robo-ray I</t>
  </si>
  <si>
    <t>Cai</t>
  </si>
  <si>
    <t>Beijing University</t>
  </si>
  <si>
    <t>Robo-ray II</t>
  </si>
  <si>
    <t>Robo-ray V</t>
  </si>
  <si>
    <t>BHRay-I</t>
  </si>
  <si>
    <t>Gao</t>
  </si>
  <si>
    <t>SolarRay</t>
  </si>
  <si>
    <t>Love</t>
  </si>
  <si>
    <t>University of Florida</t>
  </si>
  <si>
    <t>Tartu University EAP Robot-2</t>
  </si>
  <si>
    <t>Punning</t>
  </si>
  <si>
    <t>Okoyama Pnuematic Ray</t>
  </si>
  <si>
    <t>Suzumori</t>
  </si>
  <si>
    <t>Okayama University</t>
  </si>
  <si>
    <t>http://vigir.missouri.edu/~gdesouza/Research/Conference_CDs/IEEE_ICRA_2007/data/papers/0448.pdf</t>
  </si>
  <si>
    <t>Nagoya IPMC Ray</t>
  </si>
  <si>
    <t>Takagi</t>
  </si>
  <si>
    <t>Nagoya University</t>
  </si>
  <si>
    <t>https://doi.org/10.1109/IROS.2006.282308</t>
  </si>
  <si>
    <t>Harbin SMA Ray</t>
  </si>
  <si>
    <t>https://doi.org/10.1109/ROBIO.2009.5420423</t>
  </si>
  <si>
    <t>Robo-Manta I</t>
  </si>
  <si>
    <t>https://doi.org/10.1109/ROBIO.2007.4522217</t>
  </si>
  <si>
    <t>University of EC</t>
  </si>
  <si>
    <t>Zhao</t>
  </si>
  <si>
    <t>https://doi.org/10.1109/ROBIO.2011.6181538</t>
  </si>
  <si>
    <t>LiftBased</t>
  </si>
  <si>
    <t>Madeline</t>
  </si>
  <si>
    <t>Vassar College</t>
  </si>
  <si>
    <t>https://doi.org/10.1088/1748-3182/1/1/003</t>
  </si>
  <si>
    <t>SSC Turtle</t>
  </si>
  <si>
    <t>Seoul National University</t>
  </si>
  <si>
    <t>https://doi.org/10.1088/0964-1726/22/1/014007</t>
  </si>
  <si>
    <t>Omega [rps]</t>
  </si>
  <si>
    <t>Shaft RPM [rpm]</t>
  </si>
  <si>
    <t>Prop Diameter [m]</t>
  </si>
  <si>
    <t>J</t>
  </si>
  <si>
    <t>Jw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</si>
</sst>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CC0000"/>
      <name val="Arial"/>
      <charset val="1"/>
    </font>
    <font>
      <sz val="10"/>
      <color rgb="FF000000"/>
      <name val="Arial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charset val="1"/>
    </font>
    <font>
      <sz val="8"/>
      <name val="Arial"/>
      <charset val="1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7" fillId="0" borderId="0" applyBorder="0" applyProtection="0"/>
  </cellStyleXfs>
  <cellXfs count="7">
    <xf numFmtId="0" fontId="0" fillId="0" borderId="0" xfId="0"/>
    <xf numFmtId="0" fontId="8" fillId="0" borderId="0" xfId="0" applyFont="1"/>
    <xf numFmtId="0" fontId="2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3" fillId="0" borderId="0" xfId="0" applyFont="1"/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1">
    <dxf>
      <font>
        <b/>
        <family val="2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P69" totalsRowShown="0" headerRowDxfId="0">
  <sortState xmlns:xlrd2="http://schemas.microsoft.com/office/spreadsheetml/2017/richdata2" ref="A2:P69">
    <sortCondition ref="A1:A69"/>
  </sortState>
  <tableColumns count="16">
    <tableColumn id="1" xr3:uid="{00000000-0010-0000-0000-000001000000}" name="Manufacturer"/>
    <tableColumn id="2" xr3:uid="{00000000-0010-0000-0000-000002000000}" name="Name"/>
    <tableColumn id="3" xr3:uid="{00000000-0010-0000-0000-000003000000}" name="Locomotion"/>
    <tableColumn id="4" xr3:uid="{00000000-0010-0000-0000-000004000000}" name="Length [m]"/>
    <tableColumn id="5" xr3:uid="{00000000-0010-0000-0000-000005000000}" name="Width [m]"/>
    <tableColumn id="6" xr3:uid="{00000000-0010-0000-0000-000006000000}" name="Height [m]"/>
    <tableColumn id="7" xr3:uid="{00000000-0010-0000-0000-000007000000}" name="Weight [kg]"/>
    <tableColumn id="8" xr3:uid="{00000000-0010-0000-0000-000008000000}" name="Umax [m/s]"/>
    <tableColumn id="9" xr3:uid="{00000000-0010-0000-0000-000009000000}" name="Uopt [m/s]"/>
    <tableColumn id="10" xr3:uid="{496086A0-57C8-45EA-A0C1-A935CB2153CF}" name="Shaft RPM [rpm]">
      <calculatedColumnFormula>(133.23*I2^0.87)</calculatedColumnFormula>
    </tableColumn>
    <tableColumn id="11" xr3:uid="{7C49FC80-38D3-42FC-B070-4412DF64ACC1}" name="Omega [rps]">
      <calculatedColumnFormula>J2/60</calculatedColumnFormula>
    </tableColumn>
    <tableColumn id="12" xr3:uid="{DB37F723-BA1E-4958-92D5-F92A7C0AA3F3}" name="Prop Diameter [m]">
      <calculatedColumnFormula>E2*0.7</calculatedColumnFormula>
    </tableColumn>
    <tableColumn id="14" xr3:uid="{00000000-0010-0000-0000-00000E000000}" name="Re">
      <calculatedColumnFormula>(I2*D2)/0.000001</calculatedColumnFormula>
    </tableColumn>
    <tableColumn id="13" xr3:uid="{040AD22B-0597-4EB9-B1A9-BFA74F6135FB}" name="J">
      <calculatedColumnFormula>I2/(K2*L2)</calculatedColumnFormula>
    </tableColumn>
    <tableColumn id="15" xr3:uid="{95948850-A23A-4619-9711-0D07B98ED174}" name="Jw">
      <calculatedColumnFormula>M2/N2</calculatedColumnFormula>
    </tableColumn>
    <tableColumn id="21" xr3:uid="{00000000-0010-0000-0000-000015000000}" name="Referenc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__Anonymous_Sheet_DB__2" displayName="__Anonymous_Sheet_DB__2" ref="A1:N14" totalsRowShown="0">
  <sortState xmlns:xlrd2="http://schemas.microsoft.com/office/spreadsheetml/2017/richdata2" ref="A2:N14">
    <sortCondition ref="A1:A14"/>
  </sortState>
  <tableColumns count="14">
    <tableColumn id="1" xr3:uid="{00000000-0010-0000-0200-000001000000}" name="Name"/>
    <tableColumn id="2" xr3:uid="{00000000-0010-0000-0200-000002000000}" name="Author"/>
    <tableColumn id="3" xr3:uid="{00000000-0010-0000-0200-000003000000}" name="Affiliation"/>
    <tableColumn id="4" xr3:uid="{00000000-0010-0000-0200-000004000000}" name="Locomotion"/>
    <tableColumn id="8" xr3:uid="{00000000-0010-0000-0200-000008000000}" name="Length [m]"/>
    <tableColumn id="9" xr3:uid="{00000000-0010-0000-0200-000009000000}" name="Width [m]"/>
    <tableColumn id="10" xr3:uid="{00000000-0010-0000-0200-00000A000000}" name="Height [m]"/>
    <tableColumn id="11" xr3:uid="{00000000-0010-0000-0200-00000B000000}" name="Weight [kg]"/>
    <tableColumn id="12" xr3:uid="{00000000-0010-0000-0200-00000C000000}" name="Umax [m/s]"/>
    <tableColumn id="13" xr3:uid="{00000000-0010-0000-0200-00000D000000}" name="Uopt [m/s]"/>
    <tableColumn id="18" xr3:uid="{00000000-0010-0000-0200-000012000000}" name="Freq [Hz]"/>
    <tableColumn id="19" xr3:uid="{00000000-0010-0000-0200-000013000000}" name="A [BL]"/>
    <tableColumn id="20" xr3:uid="{00000000-0010-0000-0200-000014000000}" name="Re"/>
    <tableColumn id="21" xr3:uid="{00000000-0010-0000-0200-000015000000}" name="Sw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8.625" defaultRowHeight="14.25" x14ac:dyDescent="0.2"/>
  <cols>
    <col min="1" max="1" width="57.875" bestFit="1" customWidth="1"/>
    <col min="2" max="2" width="37" customWidth="1"/>
    <col min="3" max="7" width="10.625" customWidth="1"/>
    <col min="8" max="8" width="13" customWidth="1"/>
    <col min="9" max="11" width="14.375" customWidth="1"/>
    <col min="12" max="12" width="15.5" bestFit="1" customWidth="1"/>
    <col min="13" max="15" width="12.5" customWidth="1"/>
    <col min="16" max="16" width="45.625" customWidth="1"/>
    <col min="17" max="68" width="10.625" customWidth="1"/>
    <col min="69" max="69" width="9" customWidth="1"/>
  </cols>
  <sheetData>
    <row r="1" spans="1:16" ht="13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459</v>
      </c>
      <c r="K1" s="6" t="s">
        <v>458</v>
      </c>
      <c r="L1" s="6" t="s">
        <v>460</v>
      </c>
      <c r="M1" s="6" t="s">
        <v>9</v>
      </c>
      <c r="N1" s="6" t="s">
        <v>461</v>
      </c>
      <c r="O1" s="6" t="s">
        <v>462</v>
      </c>
      <c r="P1" s="6" t="s">
        <v>10</v>
      </c>
    </row>
    <row r="2" spans="1:16" ht="13.9" customHeight="1" x14ac:dyDescent="0.2">
      <c r="A2" t="s">
        <v>13</v>
      </c>
      <c r="B2" t="s">
        <v>14</v>
      </c>
      <c r="C2" t="s">
        <v>15</v>
      </c>
      <c r="D2">
        <v>3.45</v>
      </c>
      <c r="E2">
        <v>0.98</v>
      </c>
      <c r="F2">
        <v>0.48</v>
      </c>
      <c r="G2">
        <v>1100</v>
      </c>
      <c r="H2">
        <v>4.12</v>
      </c>
      <c r="I2">
        <v>2.06</v>
      </c>
      <c r="J2">
        <f>(133.23*I2^0.87)</f>
        <v>249.84261085028453</v>
      </c>
      <c r="K2">
        <f>J2/60</f>
        <v>4.1640435141714089</v>
      </c>
      <c r="L2">
        <f>E2*0.7</f>
        <v>0.68599999999999994</v>
      </c>
      <c r="M2">
        <f>(I2*D2)/0.000001</f>
        <v>7107000.0000000009</v>
      </c>
      <c r="N2">
        <f>I2/(K2*L2)</f>
        <v>0.72115371553521956</v>
      </c>
      <c r="O2">
        <f>M2/N2</f>
        <v>9855041.7849894725</v>
      </c>
    </row>
    <row r="3" spans="1:16" ht="13.9" customHeight="1" x14ac:dyDescent="0.2">
      <c r="A3" t="s">
        <v>16</v>
      </c>
      <c r="B3" t="s">
        <v>17</v>
      </c>
      <c r="C3" t="s">
        <v>15</v>
      </c>
      <c r="D3">
        <v>3.25</v>
      </c>
      <c r="E3">
        <v>0.57999999999999996</v>
      </c>
      <c r="F3">
        <v>0.67</v>
      </c>
      <c r="G3">
        <v>220</v>
      </c>
      <c r="H3">
        <v>6</v>
      </c>
      <c r="I3">
        <v>6</v>
      </c>
      <c r="J3">
        <f>(133.23*I3^0.87)</f>
        <v>633.27685500401492</v>
      </c>
      <c r="K3">
        <f>J3/60</f>
        <v>10.554614250066916</v>
      </c>
      <c r="L3">
        <f>E3*0.7</f>
        <v>0.40599999999999997</v>
      </c>
      <c r="M3">
        <f>(I3*D3)/0.000001</f>
        <v>19500000</v>
      </c>
      <c r="N3">
        <f>I3/(K3*L3)</f>
        <v>1.4001767163645056</v>
      </c>
      <c r="O3">
        <f>M3/N3</f>
        <v>13926813.502963291</v>
      </c>
      <c r="P3" t="s">
        <v>18</v>
      </c>
    </row>
    <row r="4" spans="1:16" ht="13.9" customHeight="1" x14ac:dyDescent="0.2">
      <c r="A4" t="s">
        <v>16</v>
      </c>
      <c r="B4" t="s">
        <v>19</v>
      </c>
      <c r="C4" t="s">
        <v>15</v>
      </c>
      <c r="D4">
        <v>1.31</v>
      </c>
      <c r="E4">
        <v>0.39</v>
      </c>
      <c r="F4">
        <v>0.39</v>
      </c>
      <c r="G4">
        <v>43</v>
      </c>
      <c r="H4">
        <v>6</v>
      </c>
      <c r="I4">
        <v>6</v>
      </c>
      <c r="J4">
        <f>(133.23*I4^0.87)</f>
        <v>633.27685500401492</v>
      </c>
      <c r="K4">
        <f>J4/60</f>
        <v>10.554614250066916</v>
      </c>
      <c r="L4">
        <f>E4*0.7</f>
        <v>0.27299999999999996</v>
      </c>
      <c r="M4">
        <f>(I4*D4)/0.000001</f>
        <v>7860000.0000000009</v>
      </c>
      <c r="N4">
        <f>I4/(K4*L4)</f>
        <v>2.0823140910036235</v>
      </c>
      <c r="O4">
        <f>M4/N4</f>
        <v>3774646.6942514312</v>
      </c>
      <c r="P4" t="s">
        <v>20</v>
      </c>
    </row>
    <row r="5" spans="1:16" ht="13.9" customHeight="1" x14ac:dyDescent="0.2">
      <c r="A5" t="s">
        <v>21</v>
      </c>
      <c r="B5" t="s">
        <v>22</v>
      </c>
      <c r="C5" t="s">
        <v>15</v>
      </c>
      <c r="D5">
        <v>0.45500000000000002</v>
      </c>
      <c r="E5">
        <v>0.1</v>
      </c>
      <c r="F5">
        <v>0.14000000000000001</v>
      </c>
      <c r="H5">
        <v>1</v>
      </c>
      <c r="I5">
        <v>1</v>
      </c>
      <c r="J5">
        <f>(133.23*I5^0.87)</f>
        <v>133.22999999999999</v>
      </c>
      <c r="K5">
        <f>J5/60</f>
        <v>2.2204999999999999</v>
      </c>
      <c r="L5">
        <f>E5*0.7</f>
        <v>6.9999999999999993E-2</v>
      </c>
      <c r="M5">
        <f>(I5*D5)/0.000001</f>
        <v>455000.00000000006</v>
      </c>
      <c r="N5">
        <f>I5/(K5*L5)</f>
        <v>6.4335574355840066</v>
      </c>
      <c r="O5">
        <f>M5/N5</f>
        <v>70722.925000000003</v>
      </c>
      <c r="P5" t="s">
        <v>23</v>
      </c>
    </row>
    <row r="6" spans="1:16" ht="13.9" customHeight="1" x14ac:dyDescent="0.2">
      <c r="A6" t="s">
        <v>24</v>
      </c>
      <c r="B6" t="s">
        <v>27</v>
      </c>
      <c r="C6" t="s">
        <v>15</v>
      </c>
      <c r="D6">
        <v>0.8</v>
      </c>
      <c r="E6">
        <v>23.8</v>
      </c>
      <c r="F6">
        <v>23.8</v>
      </c>
      <c r="G6">
        <v>54.5</v>
      </c>
      <c r="H6">
        <v>6</v>
      </c>
      <c r="I6">
        <v>6</v>
      </c>
      <c r="J6">
        <f>(133.23*I6^0.87)</f>
        <v>633.27685500401492</v>
      </c>
      <c r="K6">
        <f>J6/60</f>
        <v>10.554614250066916</v>
      </c>
      <c r="L6">
        <f>E6*0.7</f>
        <v>16.66</v>
      </c>
      <c r="M6">
        <f>(I6*D6)/0.000001</f>
        <v>4800000.0000000009</v>
      </c>
      <c r="N6">
        <f>I6/(K6*L6)</f>
        <v>3.4121953592076183E-2</v>
      </c>
      <c r="O6">
        <f>M6/N6</f>
        <v>140671898.72489187</v>
      </c>
      <c r="P6" t="s">
        <v>26</v>
      </c>
    </row>
    <row r="7" spans="1:16" ht="13.9" customHeight="1" x14ac:dyDescent="0.2">
      <c r="A7" t="s">
        <v>24</v>
      </c>
      <c r="B7" t="s">
        <v>25</v>
      </c>
      <c r="C7" t="s">
        <v>15</v>
      </c>
      <c r="D7">
        <v>0.64700000000000002</v>
      </c>
      <c r="E7">
        <v>0.191</v>
      </c>
      <c r="F7">
        <v>0.191</v>
      </c>
      <c r="G7">
        <v>29.5</v>
      </c>
      <c r="H7">
        <v>7</v>
      </c>
      <c r="I7">
        <v>7</v>
      </c>
      <c r="J7">
        <f>(133.23*I7^0.87)</f>
        <v>724.16465289145162</v>
      </c>
      <c r="K7">
        <f>J7/60</f>
        <v>12.069410881524194</v>
      </c>
      <c r="L7">
        <f>E7*0.7</f>
        <v>0.13369999999999999</v>
      </c>
      <c r="M7">
        <f>(I7*D7)/0.000001</f>
        <v>4529000</v>
      </c>
      <c r="N7">
        <f>I7/(K7*L7)</f>
        <v>4.3379102307764477</v>
      </c>
      <c r="O7">
        <f>M7/N7</f>
        <v>1044051.1119542805</v>
      </c>
      <c r="P7" t="s">
        <v>26</v>
      </c>
    </row>
    <row r="8" spans="1:16" ht="13.9" customHeight="1" x14ac:dyDescent="0.2">
      <c r="A8" t="s">
        <v>24</v>
      </c>
      <c r="B8" t="s">
        <v>28</v>
      </c>
      <c r="C8" t="s">
        <v>15</v>
      </c>
      <c r="D8">
        <v>0.55900000000000005</v>
      </c>
      <c r="E8">
        <v>0.124</v>
      </c>
      <c r="F8">
        <v>0.124</v>
      </c>
      <c r="G8">
        <v>11.3</v>
      </c>
      <c r="H8">
        <v>10</v>
      </c>
      <c r="I8">
        <v>10</v>
      </c>
      <c r="J8">
        <f>(133.23*I8^0.87)</f>
        <v>987.64763448521251</v>
      </c>
      <c r="K8">
        <f>J8/60</f>
        <v>16.460793908086874</v>
      </c>
      <c r="L8">
        <f>E8*0.7</f>
        <v>8.6799999999999988E-2</v>
      </c>
      <c r="M8">
        <f>(I8*D8)/0.000001</f>
        <v>5590000.0000000009</v>
      </c>
      <c r="N8">
        <f>I8/(K8*L8)</f>
        <v>6.9988953093744906</v>
      </c>
      <c r="O8">
        <f>M8/N8</f>
        <v>798697.47337306489</v>
      </c>
      <c r="P8" t="s">
        <v>26</v>
      </c>
    </row>
    <row r="9" spans="1:16" ht="13.9" customHeight="1" x14ac:dyDescent="0.2">
      <c r="A9" t="s">
        <v>29</v>
      </c>
      <c r="B9" t="s">
        <v>30</v>
      </c>
      <c r="C9" t="s">
        <v>15</v>
      </c>
      <c r="D9">
        <v>4.93</v>
      </c>
      <c r="E9">
        <v>0.53</v>
      </c>
      <c r="F9">
        <v>0.53</v>
      </c>
      <c r="G9">
        <v>750</v>
      </c>
      <c r="H9">
        <v>2.2999999999999998</v>
      </c>
      <c r="I9">
        <v>1.54</v>
      </c>
      <c r="J9">
        <f>(133.23*I9^0.87)</f>
        <v>193.97468488444005</v>
      </c>
      <c r="K9">
        <f>J9/60</f>
        <v>3.2329114147406677</v>
      </c>
      <c r="L9">
        <f>E9*0.7</f>
        <v>0.371</v>
      </c>
      <c r="M9">
        <f>(I9*D9)/0.000001</f>
        <v>7592200</v>
      </c>
      <c r="N9">
        <f>I9/(K9*L9)</f>
        <v>1.2839644715595737</v>
      </c>
      <c r="O9">
        <f>M9/N9</f>
        <v>5913091.9649031227</v>
      </c>
    </row>
    <row r="10" spans="1:16" ht="13.9" customHeight="1" x14ac:dyDescent="0.2">
      <c r="A10" t="s">
        <v>29</v>
      </c>
      <c r="B10" t="s">
        <v>31</v>
      </c>
      <c r="C10" t="s">
        <v>15</v>
      </c>
      <c r="D10">
        <v>1.83</v>
      </c>
      <c r="E10">
        <v>0.53</v>
      </c>
      <c r="F10">
        <v>0.53</v>
      </c>
      <c r="G10">
        <v>362.87</v>
      </c>
      <c r="H10">
        <v>2.06</v>
      </c>
      <c r="I10">
        <v>1.54</v>
      </c>
      <c r="J10">
        <f>(133.23*I10^0.87)</f>
        <v>193.97468488444005</v>
      </c>
      <c r="K10">
        <f>J10/60</f>
        <v>3.2329114147406677</v>
      </c>
      <c r="L10">
        <f>E10*0.7</f>
        <v>0.371</v>
      </c>
      <c r="M10">
        <f>(I10*D10)/0.000001</f>
        <v>2818200</v>
      </c>
      <c r="N10">
        <f>I10/(K10*L10)</f>
        <v>1.2839644715595737</v>
      </c>
      <c r="O10">
        <f>M10/N10</f>
        <v>2194920.5468098815</v>
      </c>
    </row>
    <row r="11" spans="1:16" ht="13.9" customHeight="1" x14ac:dyDescent="0.2">
      <c r="A11" t="s">
        <v>32</v>
      </c>
      <c r="B11" t="s">
        <v>33</v>
      </c>
      <c r="C11" t="s">
        <v>15</v>
      </c>
      <c r="D11">
        <v>15.5</v>
      </c>
      <c r="E11">
        <v>2.6</v>
      </c>
      <c r="F11">
        <v>2.6</v>
      </c>
      <c r="G11">
        <v>45360</v>
      </c>
      <c r="H11">
        <v>8</v>
      </c>
      <c r="I11">
        <v>8</v>
      </c>
      <c r="J11">
        <f>(133.23*I11^0.87)</f>
        <v>813.37405763926097</v>
      </c>
      <c r="K11">
        <f>J11/60</f>
        <v>13.556234293987682</v>
      </c>
      <c r="L11">
        <f>E11*0.7</f>
        <v>1.8199999999999998</v>
      </c>
      <c r="M11">
        <f>(I11*D11)/0.000001</f>
        <v>124000000</v>
      </c>
      <c r="N11">
        <f>I11/(K11*L11)</f>
        <v>0.32424966257435428</v>
      </c>
      <c r="O11">
        <f>M11/N11</f>
        <v>382421369.43339252</v>
      </c>
      <c r="P11" t="s">
        <v>34</v>
      </c>
    </row>
    <row r="12" spans="1:16" ht="13.9" customHeight="1" x14ac:dyDescent="0.2">
      <c r="A12" t="s">
        <v>35</v>
      </c>
      <c r="B12" t="s">
        <v>36</v>
      </c>
      <c r="C12" t="s">
        <v>15</v>
      </c>
      <c r="D12">
        <v>4.8</v>
      </c>
      <c r="E12">
        <v>0.5</v>
      </c>
      <c r="F12">
        <v>0.5</v>
      </c>
      <c r="G12">
        <v>490</v>
      </c>
      <c r="H12">
        <v>4</v>
      </c>
      <c r="I12">
        <v>4</v>
      </c>
      <c r="J12">
        <f>(133.23*I12^0.87)</f>
        <v>445.03505402176648</v>
      </c>
      <c r="K12">
        <f>J12/60</f>
        <v>7.4172509003627747</v>
      </c>
      <c r="L12">
        <f>E12*0.7</f>
        <v>0.35</v>
      </c>
      <c r="M12">
        <f>(I12*D12)/0.000001</f>
        <v>19200000</v>
      </c>
      <c r="N12">
        <f>I12/(K12*L12)</f>
        <v>1.5408096048109228</v>
      </c>
      <c r="O12">
        <f>M12/N12</f>
        <v>12460981.512609461</v>
      </c>
      <c r="P12" t="s">
        <v>37</v>
      </c>
    </row>
    <row r="13" spans="1:16" ht="13.9" customHeight="1" x14ac:dyDescent="0.2">
      <c r="A13" t="s">
        <v>38</v>
      </c>
      <c r="B13" t="s">
        <v>39</v>
      </c>
      <c r="C13" t="s">
        <v>15</v>
      </c>
      <c r="D13">
        <v>1.2</v>
      </c>
      <c r="E13">
        <v>0.15</v>
      </c>
      <c r="F13">
        <v>0.15</v>
      </c>
      <c r="G13">
        <v>26</v>
      </c>
      <c r="H13">
        <v>2.91</v>
      </c>
      <c r="I13">
        <v>2.91</v>
      </c>
      <c r="J13">
        <f>(133.23*I13^0.87)</f>
        <v>337.43406848835542</v>
      </c>
      <c r="K13">
        <f>J13/60</f>
        <v>5.6239011414725901</v>
      </c>
      <c r="L13">
        <f>E13*0.7</f>
        <v>0.105</v>
      </c>
      <c r="M13">
        <f>(I13*D13)/0.000001</f>
        <v>3492000</v>
      </c>
      <c r="N13">
        <f>I13/(K13*L13)</f>
        <v>4.9279468143404941</v>
      </c>
      <c r="O13">
        <f>M13/N13</f>
        <v>708611.54382554628</v>
      </c>
      <c r="P13" t="s">
        <v>40</v>
      </c>
    </row>
    <row r="14" spans="1:16" ht="13.9" customHeight="1" x14ac:dyDescent="0.2">
      <c r="A14" t="s">
        <v>41</v>
      </c>
      <c r="B14" t="s">
        <v>42</v>
      </c>
      <c r="C14" t="s">
        <v>15</v>
      </c>
      <c r="D14">
        <v>4</v>
      </c>
      <c r="E14">
        <v>2.2000000000000002</v>
      </c>
      <c r="F14">
        <v>1.6</v>
      </c>
      <c r="G14">
        <v>3500</v>
      </c>
      <c r="H14">
        <v>2.57</v>
      </c>
      <c r="I14">
        <v>1.54</v>
      </c>
      <c r="J14">
        <f>(133.23*I14^0.87)</f>
        <v>193.97468488444005</v>
      </c>
      <c r="K14">
        <f>J14/60</f>
        <v>3.2329114147406677</v>
      </c>
      <c r="L14">
        <f>E14*0.7</f>
        <v>1.54</v>
      </c>
      <c r="M14">
        <f>(I14*D14)/0.000001</f>
        <v>6160000</v>
      </c>
      <c r="N14">
        <f>I14/(K14*L14)</f>
        <v>0.30931871360298824</v>
      </c>
      <c r="O14">
        <f>M14/N14</f>
        <v>19914734.314802513</v>
      </c>
      <c r="P14" t="s">
        <v>43</v>
      </c>
    </row>
    <row r="15" spans="1:16" ht="13.9" customHeight="1" x14ac:dyDescent="0.2">
      <c r="A15" t="s">
        <v>44</v>
      </c>
      <c r="B15" t="s">
        <v>45</v>
      </c>
      <c r="C15" t="s">
        <v>15</v>
      </c>
      <c r="D15">
        <v>1.83</v>
      </c>
      <c r="E15">
        <v>0.26</v>
      </c>
      <c r="F15">
        <v>0.26</v>
      </c>
      <c r="G15">
        <v>55</v>
      </c>
      <c r="H15">
        <v>6</v>
      </c>
      <c r="I15">
        <v>6</v>
      </c>
      <c r="J15">
        <f>(133.23*I15^0.87)</f>
        <v>633.27685500401492</v>
      </c>
      <c r="K15">
        <f>J15/60</f>
        <v>10.554614250066916</v>
      </c>
      <c r="L15">
        <f>E15*0.7</f>
        <v>0.182</v>
      </c>
      <c r="M15">
        <f>(I15*D15)/0.000001</f>
        <v>10980000</v>
      </c>
      <c r="N15">
        <f>I15/(K15*L15)</f>
        <v>3.1234711365054348</v>
      </c>
      <c r="O15">
        <f>M15/N15</f>
        <v>3515319.8221272868</v>
      </c>
      <c r="P15" t="s">
        <v>46</v>
      </c>
    </row>
    <row r="16" spans="1:16" ht="13.9" customHeight="1" x14ac:dyDescent="0.2">
      <c r="A16" t="s">
        <v>47</v>
      </c>
      <c r="B16" t="s">
        <v>48</v>
      </c>
      <c r="C16" t="s">
        <v>15</v>
      </c>
      <c r="D16">
        <v>5</v>
      </c>
      <c r="E16">
        <v>1.68</v>
      </c>
      <c r="F16">
        <v>1.1399999999999999</v>
      </c>
      <c r="G16">
        <v>2300</v>
      </c>
      <c r="H16">
        <v>2.06</v>
      </c>
      <c r="I16">
        <v>1.03</v>
      </c>
      <c r="J16">
        <f>(133.23*I16^0.87)</f>
        <v>136.70059768000223</v>
      </c>
      <c r="K16">
        <f>J16/60</f>
        <v>2.2783432946667039</v>
      </c>
      <c r="L16">
        <f>E16*0.7</f>
        <v>1.1759999999999999</v>
      </c>
      <c r="M16">
        <f>(I16*D16)/0.000001</f>
        <v>5150000.0000000009</v>
      </c>
      <c r="N16">
        <f>I16/(K16*L16)</f>
        <v>0.38442421832842427</v>
      </c>
      <c r="O16">
        <f>M16/N16</f>
        <v>13396658.572640222</v>
      </c>
      <c r="P16" t="s">
        <v>49</v>
      </c>
    </row>
    <row r="17" spans="1:16" ht="13.9" customHeight="1" x14ac:dyDescent="0.2">
      <c r="A17" t="s">
        <v>47</v>
      </c>
      <c r="B17" t="s">
        <v>50</v>
      </c>
      <c r="C17" t="s">
        <v>15</v>
      </c>
      <c r="D17">
        <v>5</v>
      </c>
      <c r="E17">
        <v>0.7</v>
      </c>
      <c r="G17">
        <v>950</v>
      </c>
      <c r="H17">
        <v>4.1100000000000003</v>
      </c>
      <c r="I17">
        <v>2.0499999999999998</v>
      </c>
      <c r="J17">
        <f>(133.23*I17^0.87)</f>
        <v>248.78711675995882</v>
      </c>
      <c r="K17">
        <f>J17/60</f>
        <v>4.1464519459993134</v>
      </c>
      <c r="L17">
        <f>E17*0.7</f>
        <v>0.48999999999999994</v>
      </c>
      <c r="M17">
        <f>(I17*D17)/0.000001</f>
        <v>10250000</v>
      </c>
      <c r="N17">
        <f>I17/(K17*L17)</f>
        <v>1.008976716448952</v>
      </c>
      <c r="O17">
        <f>M17/N17</f>
        <v>10158807.26769832</v>
      </c>
      <c r="P17" t="s">
        <v>49</v>
      </c>
    </row>
    <row r="18" spans="1:16" ht="13.9" customHeight="1" x14ac:dyDescent="0.2">
      <c r="A18" t="s">
        <v>51</v>
      </c>
      <c r="B18" t="s">
        <v>52</v>
      </c>
      <c r="C18" t="s">
        <v>15</v>
      </c>
      <c r="D18">
        <v>1.32</v>
      </c>
      <c r="E18">
        <v>0.92</v>
      </c>
      <c r="F18">
        <v>0.45</v>
      </c>
      <c r="G18">
        <v>30</v>
      </c>
      <c r="H18">
        <v>6.48</v>
      </c>
      <c r="I18">
        <v>6.48</v>
      </c>
      <c r="J18">
        <f>(133.23*I18^0.87)</f>
        <v>677.13035473305126</v>
      </c>
      <c r="K18">
        <f>J18/60</f>
        <v>11.285505912217522</v>
      </c>
      <c r="L18">
        <f>E18*0.7</f>
        <v>0.64400000000000002</v>
      </c>
      <c r="M18">
        <f>(I18*D18)/0.000001</f>
        <v>8553600.0000000019</v>
      </c>
      <c r="N18">
        <f>I18/(K18*L18)</f>
        <v>0.89159598865205891</v>
      </c>
      <c r="O18">
        <f>M18/N18</f>
        <v>9593582.8658578712</v>
      </c>
      <c r="P18" t="s">
        <v>53</v>
      </c>
    </row>
    <row r="19" spans="1:16" ht="13.9" customHeight="1" x14ac:dyDescent="0.2">
      <c r="A19" t="s">
        <v>54</v>
      </c>
      <c r="B19" t="s">
        <v>55</v>
      </c>
      <c r="C19" t="s">
        <v>15</v>
      </c>
      <c r="D19">
        <v>1.829</v>
      </c>
      <c r="E19">
        <v>1.0620000000000001</v>
      </c>
      <c r="F19">
        <v>0.32400000000000001</v>
      </c>
      <c r="G19">
        <v>109</v>
      </c>
      <c r="H19">
        <v>2</v>
      </c>
      <c r="I19">
        <v>2</v>
      </c>
      <c r="J19">
        <f>(133.23*I19^0.87)</f>
        <v>243.49952822812602</v>
      </c>
      <c r="K19">
        <f>J19/60</f>
        <v>4.058325470468767</v>
      </c>
      <c r="L19">
        <f>E19*0.7</f>
        <v>0.74339999999999995</v>
      </c>
      <c r="M19">
        <f>(I19*D19)/0.000001</f>
        <v>3658000</v>
      </c>
      <c r="N19">
        <f>I19/(K19*L19)</f>
        <v>0.66291915051400896</v>
      </c>
      <c r="O19">
        <f>M19/N19</f>
        <v>5518018.2940313146</v>
      </c>
      <c r="P19" t="s">
        <v>56</v>
      </c>
    </row>
    <row r="20" spans="1:16" ht="13.9" customHeight="1" x14ac:dyDescent="0.2">
      <c r="A20" t="s">
        <v>57</v>
      </c>
      <c r="B20" t="s">
        <v>64</v>
      </c>
      <c r="C20" t="s">
        <v>15</v>
      </c>
      <c r="D20">
        <v>1.33</v>
      </c>
      <c r="E20">
        <v>93</v>
      </c>
      <c r="F20">
        <v>38</v>
      </c>
      <c r="G20">
        <v>72.599999999999994</v>
      </c>
      <c r="H20">
        <v>1.5</v>
      </c>
      <c r="I20">
        <v>1.5</v>
      </c>
      <c r="J20">
        <f>(133.23*I20^0.87)</f>
        <v>189.58388699883918</v>
      </c>
      <c r="K20">
        <f>J20/60</f>
        <v>3.159731449980653</v>
      </c>
      <c r="L20">
        <f>E20*0.7</f>
        <v>65.099999999999994</v>
      </c>
      <c r="M20">
        <f>(I20*D20)/0.000001</f>
        <v>1995000.0000000002</v>
      </c>
      <c r="N20">
        <f>I20/(K20*L20)</f>
        <v>7.2922256271237751E-3</v>
      </c>
      <c r="O20">
        <f>M20/N20</f>
        <v>273579028.13367486</v>
      </c>
      <c r="P20" t="s">
        <v>65</v>
      </c>
    </row>
    <row r="21" spans="1:16" ht="13.9" customHeight="1" x14ac:dyDescent="0.2">
      <c r="A21" t="s">
        <v>57</v>
      </c>
      <c r="B21" t="s">
        <v>60</v>
      </c>
      <c r="C21" t="s">
        <v>15</v>
      </c>
      <c r="D21">
        <v>4.93</v>
      </c>
      <c r="E21">
        <v>0.53</v>
      </c>
      <c r="F21">
        <v>0.53</v>
      </c>
      <c r="G21">
        <v>750</v>
      </c>
      <c r="H21">
        <v>2.3149999999999999</v>
      </c>
      <c r="I21">
        <v>1.5432999999999999</v>
      </c>
      <c r="J21">
        <f>(133.23*I21^0.87)</f>
        <v>194.33625878992217</v>
      </c>
      <c r="K21">
        <f>J21/60</f>
        <v>3.238937646498703</v>
      </c>
      <c r="L21">
        <f>E21*0.7</f>
        <v>0.371</v>
      </c>
      <c r="M21">
        <f>(I21*D21)/0.000001</f>
        <v>7608469</v>
      </c>
      <c r="N21">
        <f>I21/(K21*L21)</f>
        <v>1.2843218144163431</v>
      </c>
      <c r="O21">
        <f>M21/N21</f>
        <v>5924114.1235755235</v>
      </c>
      <c r="P21" t="s">
        <v>61</v>
      </c>
    </row>
    <row r="22" spans="1:16" ht="13.9" customHeight="1" x14ac:dyDescent="0.2">
      <c r="A22" t="s">
        <v>57</v>
      </c>
      <c r="B22" t="s">
        <v>58</v>
      </c>
      <c r="C22" t="s">
        <v>15</v>
      </c>
      <c r="D22">
        <v>4.83</v>
      </c>
      <c r="E22">
        <v>0.32</v>
      </c>
      <c r="F22">
        <v>0.32</v>
      </c>
      <c r="G22">
        <v>250</v>
      </c>
      <c r="H22">
        <v>3.0866699999999998</v>
      </c>
      <c r="I22">
        <v>1.0288889999999999</v>
      </c>
      <c r="J22">
        <f>(133.23*I22^0.87)</f>
        <v>136.5723064524617</v>
      </c>
      <c r="K22">
        <f>J22/60</f>
        <v>2.2762051075410286</v>
      </c>
      <c r="L22">
        <f>E22*0.7</f>
        <v>0.22399999999999998</v>
      </c>
      <c r="M22">
        <f>(I22*D22)/0.000001</f>
        <v>4969533.8699999992</v>
      </c>
      <c r="N22">
        <f>I22/(K22*L22)</f>
        <v>2.0179440108750923</v>
      </c>
      <c r="O22">
        <f>M22/N22</f>
        <v>2462671.8299507895</v>
      </c>
      <c r="P22" t="s">
        <v>59</v>
      </c>
    </row>
    <row r="23" spans="1:16" ht="13.9" customHeight="1" x14ac:dyDescent="0.2">
      <c r="A23" t="s">
        <v>57</v>
      </c>
      <c r="B23" t="s">
        <v>62</v>
      </c>
      <c r="C23" t="s">
        <v>15</v>
      </c>
      <c r="D23">
        <v>2.4809999999999999</v>
      </c>
      <c r="E23">
        <v>0.23799999999999999</v>
      </c>
      <c r="F23">
        <v>0.26400000000000001</v>
      </c>
      <c r="G23">
        <v>70</v>
      </c>
      <c r="H23">
        <v>3.0866699999999998</v>
      </c>
      <c r="I23">
        <v>1.0288889999999999</v>
      </c>
      <c r="J23">
        <f>(133.23*I23^0.87)</f>
        <v>136.5723064524617</v>
      </c>
      <c r="K23">
        <f>J23/60</f>
        <v>2.2762051075410286</v>
      </c>
      <c r="L23">
        <f>E23*0.7</f>
        <v>0.16659999999999997</v>
      </c>
      <c r="M23">
        <f>(I23*D23)/0.000001</f>
        <v>2552673.6089999997</v>
      </c>
      <c r="N23">
        <f>I23/(K23*L23)</f>
        <v>2.713202031428696</v>
      </c>
      <c r="O23">
        <f>M23/N23</f>
        <v>940834.32764342776</v>
      </c>
      <c r="P23" t="s">
        <v>63</v>
      </c>
    </row>
    <row r="24" spans="1:16" ht="13.9" customHeight="1" x14ac:dyDescent="0.2">
      <c r="A24" t="s">
        <v>66</v>
      </c>
      <c r="B24" t="s">
        <v>67</v>
      </c>
      <c r="C24" t="s">
        <v>15</v>
      </c>
      <c r="D24">
        <v>2.1800000000000002</v>
      </c>
      <c r="E24">
        <v>0.15</v>
      </c>
      <c r="F24">
        <v>0.15</v>
      </c>
      <c r="G24">
        <v>31</v>
      </c>
      <c r="H24">
        <v>4</v>
      </c>
      <c r="I24">
        <v>4</v>
      </c>
      <c r="J24">
        <f>(133.23*I24^0.87)</f>
        <v>445.03505402176648</v>
      </c>
      <c r="K24">
        <f>J24/60</f>
        <v>7.4172509003627747</v>
      </c>
      <c r="L24">
        <f>E24*0.7</f>
        <v>0.105</v>
      </c>
      <c r="M24">
        <f>(I24*D24)/0.000001</f>
        <v>8720000.0000000019</v>
      </c>
      <c r="N24">
        <f>I24/(K24*L24)</f>
        <v>5.1360320160364097</v>
      </c>
      <c r="O24">
        <f>M24/N24</f>
        <v>1697808.7310930395</v>
      </c>
      <c r="P24" t="s">
        <v>68</v>
      </c>
    </row>
    <row r="25" spans="1:16" ht="13.9" customHeight="1" x14ac:dyDescent="0.2">
      <c r="A25" t="s">
        <v>69</v>
      </c>
      <c r="B25" t="s">
        <v>72</v>
      </c>
      <c r="C25" t="s">
        <v>15</v>
      </c>
      <c r="D25">
        <v>0.7</v>
      </c>
      <c r="E25">
        <v>0.7</v>
      </c>
      <c r="F25">
        <v>0.6</v>
      </c>
      <c r="G25">
        <v>41</v>
      </c>
      <c r="H25">
        <v>5</v>
      </c>
      <c r="I25">
        <v>5</v>
      </c>
      <c r="J25">
        <f>(133.23*I25^0.87)</f>
        <v>540.38829274111856</v>
      </c>
      <c r="K25">
        <f>J25/60</f>
        <v>9.0064715456853097</v>
      </c>
      <c r="L25">
        <f>E25*0.7</f>
        <v>0.48999999999999994</v>
      </c>
      <c r="M25">
        <f>(I25*D25)/0.000001</f>
        <v>3500000</v>
      </c>
      <c r="N25">
        <f>I25/(K25*L25)</f>
        <v>1.1329721723865864</v>
      </c>
      <c r="O25">
        <f>M25/N25</f>
        <v>3089219.7401700611</v>
      </c>
      <c r="P25" t="s">
        <v>73</v>
      </c>
    </row>
    <row r="26" spans="1:16" ht="13.9" customHeight="1" x14ac:dyDescent="0.2">
      <c r="A26" t="s">
        <v>69</v>
      </c>
      <c r="B26" t="s">
        <v>70</v>
      </c>
      <c r="C26" t="s">
        <v>15</v>
      </c>
      <c r="D26">
        <v>1.6</v>
      </c>
      <c r="E26">
        <v>0.28000000000000003</v>
      </c>
      <c r="F26">
        <v>0.28000000000000003</v>
      </c>
      <c r="G26">
        <v>45</v>
      </c>
      <c r="H26">
        <v>5</v>
      </c>
      <c r="I26">
        <v>5</v>
      </c>
      <c r="J26">
        <f>(133.23*I26^0.87)</f>
        <v>540.38829274111856</v>
      </c>
      <c r="K26">
        <f>J26/60</f>
        <v>9.0064715456853097</v>
      </c>
      <c r="L26">
        <f>E26*0.7</f>
        <v>0.19600000000000001</v>
      </c>
      <c r="M26">
        <f>(I26*D26)/0.000001</f>
        <v>8000000</v>
      </c>
      <c r="N26">
        <f>I26/(K26*L26)</f>
        <v>2.8324304309664656</v>
      </c>
      <c r="O26">
        <f>M26/N26</f>
        <v>2824429.4767269134</v>
      </c>
      <c r="P26" t="s">
        <v>71</v>
      </c>
    </row>
    <row r="27" spans="1:16" ht="13.9" customHeight="1" x14ac:dyDescent="0.2">
      <c r="A27" t="s">
        <v>11</v>
      </c>
      <c r="B27" t="s">
        <v>80</v>
      </c>
      <c r="C27" t="s">
        <v>15</v>
      </c>
      <c r="D27">
        <v>3.84</v>
      </c>
      <c r="E27">
        <v>0.71</v>
      </c>
      <c r="F27">
        <v>0.71</v>
      </c>
      <c r="G27">
        <v>862</v>
      </c>
      <c r="H27">
        <v>2.6</v>
      </c>
      <c r="I27">
        <v>1.5429999999999999</v>
      </c>
      <c r="J27">
        <f>(133.23*I27^0.87)</f>
        <v>194.30339259120908</v>
      </c>
      <c r="K27">
        <f>J27/60</f>
        <v>3.2383898765201513</v>
      </c>
      <c r="L27">
        <f>E27*0.7</f>
        <v>0.49699999999999994</v>
      </c>
      <c r="M27">
        <f>(I27*D27)/0.000001</f>
        <v>5925120</v>
      </c>
      <c r="N27">
        <f>I27/(K27*L27)</f>
        <v>0.95869487151921029</v>
      </c>
      <c r="O27">
        <f>M27/N27</f>
        <v>6180402.3115411783</v>
      </c>
    </row>
    <row r="28" spans="1:16" ht="13.9" customHeight="1" x14ac:dyDescent="0.2">
      <c r="A28" t="s">
        <v>11</v>
      </c>
      <c r="B28" t="s">
        <v>80</v>
      </c>
      <c r="C28" t="s">
        <v>15</v>
      </c>
      <c r="D28">
        <v>3.96</v>
      </c>
      <c r="E28">
        <v>0.71</v>
      </c>
      <c r="F28">
        <v>0.71</v>
      </c>
      <c r="G28">
        <v>862</v>
      </c>
      <c r="H28">
        <v>4.5</v>
      </c>
      <c r="I28">
        <v>4.5</v>
      </c>
      <c r="J28">
        <f>(133.23*I28^0.87)</f>
        <v>493.05675699536607</v>
      </c>
      <c r="K28">
        <f>J28/60</f>
        <v>8.2176126165894345</v>
      </c>
      <c r="L28">
        <f>E28*0.7</f>
        <v>0.49699999999999994</v>
      </c>
      <c r="M28">
        <f>(I28*D28)/0.000001</f>
        <v>17820000</v>
      </c>
      <c r="N28">
        <f>I28/(K28*L28)</f>
        <v>1.1018195159815449</v>
      </c>
      <c r="O28">
        <f>M28/N28</f>
        <v>16173247.742961995</v>
      </c>
      <c r="P28" t="s">
        <v>81</v>
      </c>
    </row>
    <row r="29" spans="1:16" ht="13.9" customHeight="1" x14ac:dyDescent="0.2">
      <c r="A29" t="s">
        <v>11</v>
      </c>
      <c r="B29" t="s">
        <v>78</v>
      </c>
      <c r="C29" t="s">
        <v>15</v>
      </c>
      <c r="D29">
        <v>3.25</v>
      </c>
      <c r="E29">
        <v>0.32</v>
      </c>
      <c r="F29">
        <v>0.32</v>
      </c>
      <c r="G29">
        <v>240</v>
      </c>
      <c r="H29">
        <v>2.6</v>
      </c>
      <c r="I29">
        <v>1.5</v>
      </c>
      <c r="J29">
        <f>(133.23*I29^0.87)</f>
        <v>189.58388699883918</v>
      </c>
      <c r="K29">
        <f>J29/60</f>
        <v>3.159731449980653</v>
      </c>
      <c r="L29">
        <f>E29*0.7</f>
        <v>0.22399999999999998</v>
      </c>
      <c r="M29">
        <f>(I29*D29)/0.000001</f>
        <v>4875000</v>
      </c>
      <c r="N29">
        <f>I29/(K29*L29)</f>
        <v>2.1193030728828468</v>
      </c>
      <c r="O29">
        <f>M29/N29</f>
        <v>2300284.4955859156</v>
      </c>
    </row>
    <row r="30" spans="1:16" ht="13.9" customHeight="1" x14ac:dyDescent="0.2">
      <c r="A30" t="s">
        <v>11</v>
      </c>
      <c r="B30" t="s">
        <v>78</v>
      </c>
      <c r="C30" t="s">
        <v>15</v>
      </c>
      <c r="D30">
        <v>5.5</v>
      </c>
      <c r="E30">
        <v>0.32400000000000001</v>
      </c>
      <c r="F30">
        <v>0.32400000000000001</v>
      </c>
      <c r="G30">
        <v>385</v>
      </c>
      <c r="H30">
        <v>4</v>
      </c>
      <c r="I30">
        <v>4</v>
      </c>
      <c r="J30">
        <f>(133.23*I30^0.87)</f>
        <v>445.03505402176648</v>
      </c>
      <c r="K30">
        <f>J30/60</f>
        <v>7.4172509003627747</v>
      </c>
      <c r="L30">
        <f>E30*0.7</f>
        <v>0.2268</v>
      </c>
      <c r="M30">
        <f>(I30*D30)/0.000001</f>
        <v>22000000</v>
      </c>
      <c r="N30">
        <f>I30/(K30*L30)</f>
        <v>2.3777926000168566</v>
      </c>
      <c r="O30">
        <f>M30/N30</f>
        <v>9252278.7731125243</v>
      </c>
      <c r="P30" t="s">
        <v>79</v>
      </c>
    </row>
    <row r="31" spans="1:16" ht="13.9" customHeight="1" x14ac:dyDescent="0.2">
      <c r="A31" t="s">
        <v>11</v>
      </c>
      <c r="B31" t="s">
        <v>74</v>
      </c>
      <c r="C31" t="s">
        <v>15</v>
      </c>
      <c r="D31">
        <v>1.6</v>
      </c>
      <c r="E31">
        <v>0.19</v>
      </c>
      <c r="F31">
        <v>0.19</v>
      </c>
      <c r="G31">
        <v>37</v>
      </c>
      <c r="H31">
        <v>2.6</v>
      </c>
      <c r="I31">
        <v>1.5</v>
      </c>
      <c r="J31">
        <f>(133.23*I31^0.87)</f>
        <v>189.58388699883918</v>
      </c>
      <c r="K31">
        <f>J31/60</f>
        <v>3.159731449980653</v>
      </c>
      <c r="L31">
        <f>E31*0.7</f>
        <v>0.13299999999999998</v>
      </c>
      <c r="M31">
        <f>(I31*D31)/0.000001</f>
        <v>2400000.0000000005</v>
      </c>
      <c r="N31">
        <f>I31/(K31*L31)</f>
        <v>3.5693525438026903</v>
      </c>
      <c r="O31">
        <f>M31/N31</f>
        <v>672390.852555883</v>
      </c>
    </row>
    <row r="32" spans="1:16" ht="13.9" customHeight="1" x14ac:dyDescent="0.2">
      <c r="A32" t="s">
        <v>11</v>
      </c>
      <c r="B32" t="s">
        <v>74</v>
      </c>
      <c r="C32" t="s">
        <v>15</v>
      </c>
      <c r="D32">
        <v>1.7</v>
      </c>
      <c r="E32">
        <v>0.19</v>
      </c>
      <c r="F32">
        <v>0.19</v>
      </c>
      <c r="G32">
        <v>36</v>
      </c>
      <c r="H32">
        <v>5</v>
      </c>
      <c r="I32">
        <v>5</v>
      </c>
      <c r="J32">
        <f>(133.23*I32^0.87)</f>
        <v>540.38829274111856</v>
      </c>
      <c r="K32">
        <f>J32/60</f>
        <v>9.0064715456853097</v>
      </c>
      <c r="L32">
        <f>E32*0.7</f>
        <v>0.13299999999999998</v>
      </c>
      <c r="M32">
        <f>(I32*D32)/0.000001</f>
        <v>8500000</v>
      </c>
      <c r="N32">
        <f>I32/(K32*L32)</f>
        <v>4.174108003529529</v>
      </c>
      <c r="O32">
        <f>M32/N32</f>
        <v>2036363.2164794484</v>
      </c>
      <c r="P32" t="s">
        <v>75</v>
      </c>
    </row>
    <row r="33" spans="1:16" ht="13.9" customHeight="1" x14ac:dyDescent="0.2">
      <c r="A33" t="s">
        <v>11</v>
      </c>
      <c r="B33" t="s">
        <v>76</v>
      </c>
      <c r="C33" t="s">
        <v>15</v>
      </c>
      <c r="D33">
        <v>2.5099999999999998</v>
      </c>
      <c r="E33">
        <v>0.19</v>
      </c>
      <c r="F33">
        <v>0.19</v>
      </c>
      <c r="G33">
        <f>ROUND(130/2.2,2)</f>
        <v>59.09</v>
      </c>
      <c r="H33">
        <v>5</v>
      </c>
      <c r="I33">
        <v>5</v>
      </c>
      <c r="J33">
        <f>(133.23*I33^0.87)</f>
        <v>540.38829274111856</v>
      </c>
      <c r="K33">
        <f>J33/60</f>
        <v>9.0064715456853097</v>
      </c>
      <c r="L33">
        <f>E33*0.7</f>
        <v>0.13299999999999998</v>
      </c>
      <c r="M33">
        <f>(I33*D33)/0.000001</f>
        <v>12550000</v>
      </c>
      <c r="N33">
        <f>I33/(K33*L33)</f>
        <v>4.174108003529529</v>
      </c>
      <c r="O33">
        <f>M33/N33</f>
        <v>3006630.3960961266</v>
      </c>
      <c r="P33" t="s">
        <v>77</v>
      </c>
    </row>
    <row r="34" spans="1:16" ht="13.9" customHeight="1" x14ac:dyDescent="0.2">
      <c r="A34" t="s">
        <v>11</v>
      </c>
      <c r="B34" t="s">
        <v>82</v>
      </c>
      <c r="C34" t="s">
        <v>15</v>
      </c>
      <c r="D34">
        <f>ROUND(36*0.0254,2)</f>
        <v>0.91</v>
      </c>
      <c r="E34">
        <f>ROUND(4.875*0.0254,2)</f>
        <v>0.12</v>
      </c>
      <c r="F34">
        <f>ROUND(4.875*0.0254,2)</f>
        <v>0.12</v>
      </c>
      <c r="H34">
        <v>10</v>
      </c>
      <c r="I34">
        <v>10</v>
      </c>
      <c r="J34">
        <f>(133.23*I34^0.87)</f>
        <v>987.64763448521251</v>
      </c>
      <c r="K34">
        <f>J34/60</f>
        <v>16.460793908086874</v>
      </c>
      <c r="L34">
        <f>E34*0.7</f>
        <v>8.3999999999999991E-2</v>
      </c>
      <c r="M34">
        <f>(I34*D34)/0.000001</f>
        <v>9100000</v>
      </c>
      <c r="N34">
        <f>I34/(K34*L34)</f>
        <v>7.2321918196869737</v>
      </c>
      <c r="O34">
        <f>M34/N34</f>
        <v>1258263.0863341605</v>
      </c>
      <c r="P34" t="s">
        <v>83</v>
      </c>
    </row>
    <row r="35" spans="1:16" ht="13.9" customHeight="1" x14ac:dyDescent="0.2">
      <c r="A35" t="s">
        <v>84</v>
      </c>
      <c r="B35" t="s">
        <v>87</v>
      </c>
      <c r="C35" t="s">
        <v>15</v>
      </c>
      <c r="D35">
        <v>10.7</v>
      </c>
      <c r="E35">
        <v>1.27</v>
      </c>
      <c r="F35">
        <v>1.27</v>
      </c>
      <c r="G35">
        <v>8600</v>
      </c>
      <c r="H35">
        <v>4</v>
      </c>
      <c r="I35">
        <v>4</v>
      </c>
      <c r="J35">
        <f>(133.23*I35^0.87)</f>
        <v>445.03505402176648</v>
      </c>
      <c r="K35">
        <f>J35/60</f>
        <v>7.4172509003627747</v>
      </c>
      <c r="L35">
        <f>E35*0.7</f>
        <v>0.8889999999999999</v>
      </c>
      <c r="M35">
        <f>(I35*D35)/0.000001</f>
        <v>42800000</v>
      </c>
      <c r="N35">
        <f>I35/(K35*L35)</f>
        <v>0.6066179546499697</v>
      </c>
      <c r="O35">
        <f>M35/N35</f>
        <v>70555115.739520818</v>
      </c>
      <c r="P35" t="s">
        <v>88</v>
      </c>
    </row>
    <row r="36" spans="1:16" ht="13.9" customHeight="1" x14ac:dyDescent="0.2">
      <c r="A36" t="s">
        <v>84</v>
      </c>
      <c r="B36" t="s">
        <v>85</v>
      </c>
      <c r="C36" t="s">
        <v>15</v>
      </c>
      <c r="D36">
        <v>5.5</v>
      </c>
      <c r="E36">
        <v>0.74</v>
      </c>
      <c r="F36">
        <v>0.74</v>
      </c>
      <c r="G36">
        <v>1250</v>
      </c>
      <c r="H36">
        <v>2.5</v>
      </c>
      <c r="I36">
        <v>1.5</v>
      </c>
      <c r="J36">
        <f>(133.23*I36^0.87)</f>
        <v>189.58388699883918</v>
      </c>
      <c r="K36">
        <f>J36/60</f>
        <v>3.159731449980653</v>
      </c>
      <c r="L36">
        <f>E36*0.7</f>
        <v>0.51800000000000002</v>
      </c>
      <c r="M36">
        <f>(I36*D36)/0.000001</f>
        <v>8250000</v>
      </c>
      <c r="N36">
        <f>I36/(K36*L36)</f>
        <v>0.91645538286825812</v>
      </c>
      <c r="O36">
        <f>M36/N36</f>
        <v>9002074.9009948801</v>
      </c>
    </row>
    <row r="37" spans="1:16" ht="13.9" customHeight="1" x14ac:dyDescent="0.2">
      <c r="A37" t="s">
        <v>84</v>
      </c>
      <c r="B37" t="s">
        <v>85</v>
      </c>
      <c r="C37" t="s">
        <v>15</v>
      </c>
      <c r="D37">
        <v>4.5</v>
      </c>
      <c r="E37">
        <v>0.69</v>
      </c>
      <c r="F37">
        <v>0.69</v>
      </c>
      <c r="G37">
        <v>630</v>
      </c>
      <c r="H37">
        <v>2.57</v>
      </c>
      <c r="I37">
        <v>1.54</v>
      </c>
      <c r="J37">
        <f>(133.23*I37^0.87)</f>
        <v>193.97468488444005</v>
      </c>
      <c r="K37">
        <f>J37/60</f>
        <v>3.2329114147406677</v>
      </c>
      <c r="L37">
        <f>E37*0.7</f>
        <v>0.48299999999999993</v>
      </c>
      <c r="M37">
        <f>(I37*D37)/0.000001</f>
        <v>6930000</v>
      </c>
      <c r="N37">
        <f>I37/(K37*L37)</f>
        <v>0.98623357960373059</v>
      </c>
      <c r="O37">
        <f>M37/N37</f>
        <v>7026732.9599388409</v>
      </c>
    </row>
    <row r="38" spans="1:16" ht="13.9" customHeight="1" x14ac:dyDescent="0.2">
      <c r="A38" t="s">
        <v>84</v>
      </c>
      <c r="B38" t="s">
        <v>85</v>
      </c>
      <c r="C38" t="s">
        <v>15</v>
      </c>
      <c r="D38">
        <v>7.5</v>
      </c>
      <c r="E38">
        <v>0.74</v>
      </c>
      <c r="F38">
        <v>0.74</v>
      </c>
      <c r="G38">
        <v>1700</v>
      </c>
      <c r="H38">
        <v>3.9</v>
      </c>
      <c r="I38">
        <v>3.9</v>
      </c>
      <c r="J38">
        <f>(133.23*I38^0.87)</f>
        <v>435.33966226919335</v>
      </c>
      <c r="K38">
        <f>J38/60</f>
        <v>7.2556610378198894</v>
      </c>
      <c r="L38">
        <f>E38*0.7</f>
        <v>0.51800000000000002</v>
      </c>
      <c r="M38">
        <f>(I38*D38)/0.000001</f>
        <v>29250000</v>
      </c>
      <c r="N38">
        <f>I38/(K38*L38)</f>
        <v>1.0376666563822496</v>
      </c>
      <c r="O38">
        <f>M38/N38</f>
        <v>28188243.131930273</v>
      </c>
      <c r="P38" t="s">
        <v>86</v>
      </c>
    </row>
    <row r="39" spans="1:16" ht="13.9" customHeight="1" x14ac:dyDescent="0.2">
      <c r="A39" t="s">
        <v>84</v>
      </c>
      <c r="B39" t="s">
        <v>87</v>
      </c>
      <c r="C39" t="s">
        <v>15</v>
      </c>
      <c r="D39">
        <v>10.7</v>
      </c>
      <c r="E39">
        <v>0.13</v>
      </c>
      <c r="F39">
        <v>0.13</v>
      </c>
      <c r="G39">
        <v>8600</v>
      </c>
      <c r="H39">
        <v>2.06</v>
      </c>
      <c r="I39">
        <v>2.06</v>
      </c>
      <c r="J39">
        <f>(133.23*I39^0.87)</f>
        <v>249.84261085028453</v>
      </c>
      <c r="K39">
        <f>J39/60</f>
        <v>4.1640435141714089</v>
      </c>
      <c r="L39">
        <f>E39*0.7</f>
        <v>9.0999999999999998E-2</v>
      </c>
      <c r="M39">
        <f>(I39*D39)/0.000001</f>
        <v>22042000</v>
      </c>
      <c r="N39">
        <f>I39/(K39*L39)</f>
        <v>5.4363895478808857</v>
      </c>
      <c r="O39">
        <f>M39/N39</f>
        <v>4054529.1697487002</v>
      </c>
    </row>
    <row r="40" spans="1:16" ht="13.9" customHeight="1" x14ac:dyDescent="0.2">
      <c r="A40" t="s">
        <v>89</v>
      </c>
      <c r="B40" t="s">
        <v>90</v>
      </c>
      <c r="C40" t="s">
        <v>15</v>
      </c>
      <c r="D40">
        <v>10</v>
      </c>
      <c r="E40">
        <v>1.3</v>
      </c>
      <c r="F40">
        <v>1.5</v>
      </c>
      <c r="G40">
        <v>7257.48</v>
      </c>
      <c r="H40">
        <v>3</v>
      </c>
      <c r="I40">
        <v>3</v>
      </c>
      <c r="J40">
        <f>(133.23*I40^0.87)</f>
        <v>346.49543679255208</v>
      </c>
      <c r="K40">
        <f>J40/60</f>
        <v>5.7749239465425344</v>
      </c>
      <c r="L40">
        <f>E40*0.7</f>
        <v>0.90999999999999992</v>
      </c>
      <c r="M40">
        <f>(I40*D40)/0.000001</f>
        <v>30000000</v>
      </c>
      <c r="N40">
        <f>I40/(K40*L40)</f>
        <v>0.57086523168448722</v>
      </c>
      <c r="O40">
        <f>M40/N40</f>
        <v>52551807.913537055</v>
      </c>
      <c r="P40" t="s">
        <v>91</v>
      </c>
    </row>
    <row r="41" spans="1:16" ht="13.9" customHeight="1" x14ac:dyDescent="0.2">
      <c r="A41" t="s">
        <v>92</v>
      </c>
      <c r="B41" t="s">
        <v>95</v>
      </c>
      <c r="C41" t="s">
        <v>15</v>
      </c>
      <c r="D41">
        <v>5.5</v>
      </c>
      <c r="E41">
        <v>1</v>
      </c>
      <c r="F41">
        <v>1</v>
      </c>
      <c r="G41">
        <v>1400</v>
      </c>
      <c r="H41">
        <v>4</v>
      </c>
      <c r="I41">
        <v>4</v>
      </c>
      <c r="J41">
        <f>(133.23*I41^0.87)</f>
        <v>445.03505402176648</v>
      </c>
      <c r="K41">
        <f>J41/60</f>
        <v>7.4172509003627747</v>
      </c>
      <c r="L41">
        <f>E41*0.7</f>
        <v>0.7</v>
      </c>
      <c r="M41">
        <f>(I41*D41)/0.000001</f>
        <v>22000000</v>
      </c>
      <c r="N41">
        <f>I41/(K41*L41)</f>
        <v>0.77040480240546139</v>
      </c>
      <c r="O41">
        <f>M41/N41</f>
        <v>28556415.966396686</v>
      </c>
      <c r="P41" t="s">
        <v>94</v>
      </c>
    </row>
    <row r="42" spans="1:16" ht="13.9" customHeight="1" x14ac:dyDescent="0.2">
      <c r="A42" t="s">
        <v>92</v>
      </c>
      <c r="B42" t="s">
        <v>96</v>
      </c>
      <c r="C42" t="s">
        <v>15</v>
      </c>
      <c r="D42">
        <v>6</v>
      </c>
      <c r="E42">
        <v>1</v>
      </c>
      <c r="F42">
        <v>1</v>
      </c>
      <c r="G42">
        <v>1900</v>
      </c>
      <c r="H42">
        <v>4</v>
      </c>
      <c r="I42">
        <v>4</v>
      </c>
      <c r="J42">
        <f>(133.23*I42^0.87)</f>
        <v>445.03505402176648</v>
      </c>
      <c r="K42">
        <f>J42/60</f>
        <v>7.4172509003627747</v>
      </c>
      <c r="L42">
        <f>E42*0.7</f>
        <v>0.7</v>
      </c>
      <c r="M42">
        <f>(I42*D42)/0.000001</f>
        <v>24000000</v>
      </c>
      <c r="N42">
        <f>I42/(K42*L42)</f>
        <v>0.77040480240546139</v>
      </c>
      <c r="O42">
        <f>M42/N42</f>
        <v>31152453.781523656</v>
      </c>
      <c r="P42" t="s">
        <v>94</v>
      </c>
    </row>
    <row r="43" spans="1:16" ht="13.9" customHeight="1" x14ac:dyDescent="0.2">
      <c r="A43" t="s">
        <v>92</v>
      </c>
      <c r="B43" t="s">
        <v>97</v>
      </c>
      <c r="C43" t="s">
        <v>15</v>
      </c>
      <c r="D43">
        <v>6.6</v>
      </c>
      <c r="E43">
        <v>0.875</v>
      </c>
      <c r="F43">
        <v>0.875</v>
      </c>
      <c r="G43">
        <v>2200</v>
      </c>
      <c r="H43">
        <v>5.2</v>
      </c>
      <c r="I43">
        <v>5.2</v>
      </c>
      <c r="J43">
        <f>(133.23*I43^0.87)</f>
        <v>559.14563236162257</v>
      </c>
      <c r="K43">
        <f>J43/60</f>
        <v>9.3190938726937098</v>
      </c>
      <c r="L43">
        <f>E43*0.7</f>
        <v>0.61249999999999993</v>
      </c>
      <c r="M43">
        <f>(I43*D43)/0.000001</f>
        <v>34320000</v>
      </c>
      <c r="N43">
        <f>I43/(K43*L43)</f>
        <v>0.91101088092305582</v>
      </c>
      <c r="O43">
        <f>M43/N43</f>
        <v>37672436.980364315</v>
      </c>
      <c r="P43" t="s">
        <v>98</v>
      </c>
    </row>
    <row r="44" spans="1:16" ht="13.9" customHeight="1" x14ac:dyDescent="0.2">
      <c r="A44" t="s">
        <v>92</v>
      </c>
      <c r="B44" t="s">
        <v>93</v>
      </c>
      <c r="C44" t="s">
        <v>15</v>
      </c>
      <c r="D44">
        <v>4.5</v>
      </c>
      <c r="E44">
        <v>0.75</v>
      </c>
      <c r="F44">
        <v>0.75</v>
      </c>
      <c r="G44">
        <v>850</v>
      </c>
      <c r="H44">
        <v>6</v>
      </c>
      <c r="I44">
        <v>6</v>
      </c>
      <c r="J44">
        <f>(133.23*I44^0.87)</f>
        <v>633.27685500401492</v>
      </c>
      <c r="K44">
        <f>J44/60</f>
        <v>10.554614250066916</v>
      </c>
      <c r="L44">
        <f>E44*0.7</f>
        <v>0.52499999999999991</v>
      </c>
      <c r="M44">
        <f>(I44*D44)/0.000001</f>
        <v>27000000</v>
      </c>
      <c r="N44">
        <f>I44/(K44*L44)</f>
        <v>1.0828033273218842</v>
      </c>
      <c r="O44">
        <f>M44/N44</f>
        <v>24935276.165783085</v>
      </c>
      <c r="P44" t="s">
        <v>94</v>
      </c>
    </row>
    <row r="45" spans="1:16" ht="13.9" customHeight="1" x14ac:dyDescent="0.2">
      <c r="A45" t="s">
        <v>99</v>
      </c>
      <c r="B45" t="s">
        <v>102</v>
      </c>
      <c r="C45" t="s">
        <v>15</v>
      </c>
      <c r="D45">
        <v>5.5</v>
      </c>
      <c r="E45">
        <v>1</v>
      </c>
      <c r="F45">
        <v>1</v>
      </c>
      <c r="G45">
        <v>1400</v>
      </c>
      <c r="H45">
        <v>2.0499999999999998</v>
      </c>
      <c r="I45">
        <v>2.0499999999999998</v>
      </c>
      <c r="J45">
        <f>(133.23*I45^0.87)</f>
        <v>248.78711675995882</v>
      </c>
      <c r="K45">
        <f>J45/60</f>
        <v>4.1464519459993134</v>
      </c>
      <c r="L45">
        <f>E45*0.7</f>
        <v>0.7</v>
      </c>
      <c r="M45">
        <f>(I45*D45)/0.000001</f>
        <v>11275000</v>
      </c>
      <c r="N45">
        <f>I45/(K45*L45)</f>
        <v>0.70628370151426656</v>
      </c>
      <c r="O45">
        <f>M45/N45</f>
        <v>15963839.992097355</v>
      </c>
      <c r="P45" t="s">
        <v>103</v>
      </c>
    </row>
    <row r="46" spans="1:16" ht="13.9" customHeight="1" x14ac:dyDescent="0.2">
      <c r="A46" t="s">
        <v>99</v>
      </c>
      <c r="B46" t="s">
        <v>104</v>
      </c>
      <c r="C46" t="s">
        <v>15</v>
      </c>
      <c r="D46">
        <v>6</v>
      </c>
      <c r="E46">
        <v>1</v>
      </c>
      <c r="F46">
        <v>1</v>
      </c>
      <c r="G46">
        <v>1900</v>
      </c>
      <c r="H46">
        <v>2.0499999999999998</v>
      </c>
      <c r="I46">
        <v>2.0499999999999998</v>
      </c>
      <c r="J46">
        <f>(133.23*I46^0.87)</f>
        <v>248.78711675995882</v>
      </c>
      <c r="K46">
        <f>J46/60</f>
        <v>4.1464519459993134</v>
      </c>
      <c r="L46">
        <f>E46*0.7</f>
        <v>0.7</v>
      </c>
      <c r="M46">
        <f>(I46*D46)/0.000001</f>
        <v>12300000</v>
      </c>
      <c r="N46">
        <f>I46/(K46*L46)</f>
        <v>0.70628370151426656</v>
      </c>
      <c r="O46">
        <f>M46/N46</f>
        <v>17415098.173197117</v>
      </c>
      <c r="P46" t="s">
        <v>105</v>
      </c>
    </row>
    <row r="47" spans="1:16" ht="13.9" customHeight="1" x14ac:dyDescent="0.2">
      <c r="A47" t="s">
        <v>99</v>
      </c>
      <c r="B47" t="s">
        <v>100</v>
      </c>
      <c r="C47" t="s">
        <v>15</v>
      </c>
      <c r="D47">
        <v>4.5</v>
      </c>
      <c r="E47">
        <v>0.75</v>
      </c>
      <c r="F47">
        <v>0.75</v>
      </c>
      <c r="G47">
        <v>850</v>
      </c>
      <c r="H47">
        <v>3.08</v>
      </c>
      <c r="I47">
        <v>2.0499999999999998</v>
      </c>
      <c r="J47">
        <f>(133.23*I47^0.87)</f>
        <v>248.78711675995882</v>
      </c>
      <c r="K47">
        <f>J47/60</f>
        <v>4.1464519459993134</v>
      </c>
      <c r="L47">
        <f>E47*0.7</f>
        <v>0.52499999999999991</v>
      </c>
      <c r="M47">
        <f>(I47*D47)/0.000001</f>
        <v>9225000</v>
      </c>
      <c r="N47">
        <f>I47/(K47*L47)</f>
        <v>0.94171160201902215</v>
      </c>
      <c r="O47">
        <f>M47/N47</f>
        <v>9795992.7224233765</v>
      </c>
      <c r="P47" t="s">
        <v>101</v>
      </c>
    </row>
    <row r="48" spans="1:16" ht="13.9" customHeight="1" x14ac:dyDescent="0.2">
      <c r="A48" t="s">
        <v>106</v>
      </c>
      <c r="B48" t="s">
        <v>109</v>
      </c>
      <c r="C48" t="s">
        <v>15</v>
      </c>
      <c r="D48">
        <v>2.5</v>
      </c>
      <c r="E48">
        <v>0.23</v>
      </c>
      <c r="F48">
        <v>0.23</v>
      </c>
      <c r="G48">
        <f>ROUND(200/2.2,2)</f>
        <v>90.91</v>
      </c>
      <c r="H48">
        <v>5</v>
      </c>
      <c r="I48">
        <v>5</v>
      </c>
      <c r="J48">
        <f>(133.23*I48^0.87)</f>
        <v>540.38829274111856</v>
      </c>
      <c r="K48">
        <f>J48/60</f>
        <v>9.0064715456853097</v>
      </c>
      <c r="L48">
        <f>E48*0.7</f>
        <v>0.161</v>
      </c>
      <c r="M48">
        <f>(I48*D48)/0.000001</f>
        <v>12500000</v>
      </c>
      <c r="N48">
        <f>I48/(K48*L48)</f>
        <v>3.4481761768287411</v>
      </c>
      <c r="O48">
        <f>M48/N48</f>
        <v>3625104.797138337</v>
      </c>
      <c r="P48" t="s">
        <v>110</v>
      </c>
    </row>
    <row r="49" spans="1:16" ht="13.9" customHeight="1" x14ac:dyDescent="0.2">
      <c r="A49" t="s">
        <v>106</v>
      </c>
      <c r="B49" t="s">
        <v>107</v>
      </c>
      <c r="C49" t="s">
        <v>15</v>
      </c>
      <c r="D49">
        <f>ROUND(85*0.0254,2)</f>
        <v>2.16</v>
      </c>
      <c r="E49">
        <f>ROUND(5.8*0.0254,2)</f>
        <v>0.15</v>
      </c>
      <c r="F49">
        <f>ROUND(5.8*0.0254,2)</f>
        <v>0.15</v>
      </c>
      <c r="G49">
        <f>ROUND(85/2.2,2)</f>
        <v>38.64</v>
      </c>
      <c r="H49">
        <v>4</v>
      </c>
      <c r="I49">
        <v>4</v>
      </c>
      <c r="J49">
        <f>(133.23*I49^0.87)</f>
        <v>445.03505402176648</v>
      </c>
      <c r="K49">
        <f>J49/60</f>
        <v>7.4172509003627747</v>
      </c>
      <c r="L49">
        <f>E49*0.7</f>
        <v>0.105</v>
      </c>
      <c r="M49">
        <f>(I49*D49)/0.000001</f>
        <v>8640000.0000000019</v>
      </c>
      <c r="N49">
        <f>I49/(K49*L49)</f>
        <v>5.1360320160364097</v>
      </c>
      <c r="O49">
        <f>M49/N49</f>
        <v>1682232.5042022776</v>
      </c>
      <c r="P49" t="s">
        <v>108</v>
      </c>
    </row>
    <row r="50" spans="1:16" ht="13.9" customHeight="1" x14ac:dyDescent="0.2">
      <c r="A50" t="s">
        <v>111</v>
      </c>
      <c r="B50" t="s">
        <v>114</v>
      </c>
      <c r="C50" t="s">
        <v>15</v>
      </c>
      <c r="D50">
        <v>3</v>
      </c>
      <c r="E50">
        <v>1.5</v>
      </c>
      <c r="F50">
        <v>1.3</v>
      </c>
      <c r="G50">
        <v>954</v>
      </c>
      <c r="H50">
        <v>6</v>
      </c>
      <c r="I50">
        <v>6</v>
      </c>
      <c r="J50">
        <f>(133.23*I50^0.87)</f>
        <v>633.27685500401492</v>
      </c>
      <c r="K50">
        <f>J50/60</f>
        <v>10.554614250066916</v>
      </c>
      <c r="L50">
        <f>E50*0.7</f>
        <v>1.0499999999999998</v>
      </c>
      <c r="M50">
        <f>(I50*D50)/0.000001</f>
        <v>18000000</v>
      </c>
      <c r="N50">
        <f>I50/(K50*L50)</f>
        <v>0.54140166366094211</v>
      </c>
      <c r="O50">
        <f>M50/N50</f>
        <v>33247034.88771078</v>
      </c>
      <c r="P50" t="s">
        <v>113</v>
      </c>
    </row>
    <row r="51" spans="1:16" ht="13.9" customHeight="1" x14ac:dyDescent="0.2">
      <c r="A51" t="s">
        <v>111</v>
      </c>
      <c r="B51" t="s">
        <v>115</v>
      </c>
      <c r="C51" t="s">
        <v>15</v>
      </c>
      <c r="D51">
        <v>4.9000000000000004</v>
      </c>
      <c r="E51">
        <v>1.5</v>
      </c>
      <c r="F51">
        <v>1.3</v>
      </c>
      <c r="G51">
        <v>1590</v>
      </c>
      <c r="H51">
        <v>6</v>
      </c>
      <c r="I51">
        <v>6</v>
      </c>
      <c r="J51">
        <f>(133.23*I51^0.87)</f>
        <v>633.27685500401492</v>
      </c>
      <c r="K51">
        <f>J51/60</f>
        <v>10.554614250066916</v>
      </c>
      <c r="L51">
        <f>E51*0.7</f>
        <v>1.0499999999999998</v>
      </c>
      <c r="M51">
        <f>(I51*D51)/0.000001</f>
        <v>29400000.000000004</v>
      </c>
      <c r="N51">
        <f>I51/(K51*L51)</f>
        <v>0.54140166366094211</v>
      </c>
      <c r="O51">
        <f>M51/N51</f>
        <v>54303490.31659428</v>
      </c>
      <c r="P51" t="s">
        <v>113</v>
      </c>
    </row>
    <row r="52" spans="1:16" ht="13.9" customHeight="1" x14ac:dyDescent="0.2">
      <c r="A52" t="s">
        <v>111</v>
      </c>
      <c r="B52" t="s">
        <v>112</v>
      </c>
      <c r="C52" t="s">
        <v>15</v>
      </c>
      <c r="D52">
        <v>1.5</v>
      </c>
      <c r="E52">
        <v>0.8</v>
      </c>
      <c r="F52">
        <v>0.8</v>
      </c>
      <c r="G52">
        <v>454</v>
      </c>
      <c r="H52">
        <v>8</v>
      </c>
      <c r="I52">
        <v>8</v>
      </c>
      <c r="J52">
        <f>(133.23*I52^0.87)</f>
        <v>813.37405763926097</v>
      </c>
      <c r="K52">
        <f>J52/60</f>
        <v>13.556234293987682</v>
      </c>
      <c r="L52">
        <f>E52*0.7</f>
        <v>0.55999999999999994</v>
      </c>
      <c r="M52">
        <f>(I52*D52)/0.000001</f>
        <v>12000000</v>
      </c>
      <c r="N52">
        <f>I52/(K52*L52)</f>
        <v>1.0538114033666515</v>
      </c>
      <c r="O52">
        <f>M52/N52</f>
        <v>11387236.806949653</v>
      </c>
      <c r="P52" t="s">
        <v>113</v>
      </c>
    </row>
    <row r="53" spans="1:16" ht="13.9" customHeight="1" x14ac:dyDescent="0.2">
      <c r="A53" t="s">
        <v>116</v>
      </c>
      <c r="B53" t="s">
        <v>117</v>
      </c>
      <c r="C53" t="s">
        <v>15</v>
      </c>
      <c r="D53">
        <v>6.1</v>
      </c>
      <c r="E53">
        <v>1.8</v>
      </c>
      <c r="F53">
        <v>2.1</v>
      </c>
      <c r="G53">
        <v>6500</v>
      </c>
      <c r="H53">
        <v>3</v>
      </c>
      <c r="I53">
        <v>3</v>
      </c>
      <c r="J53">
        <f>(133.23*I53^0.87)</f>
        <v>346.49543679255208</v>
      </c>
      <c r="K53">
        <f>J53/60</f>
        <v>5.7749239465425344</v>
      </c>
      <c r="L53">
        <f>E53*0.7</f>
        <v>1.26</v>
      </c>
      <c r="M53">
        <f>(I53*D53)/0.000001</f>
        <v>18299999.999999996</v>
      </c>
      <c r="N53">
        <f>I53/(K53*L53)</f>
        <v>0.41229155621657404</v>
      </c>
      <c r="O53">
        <f>M53/N53</f>
        <v>44386065.453125909</v>
      </c>
      <c r="P53" t="s">
        <v>118</v>
      </c>
    </row>
    <row r="54" spans="1:16" ht="13.9" customHeight="1" x14ac:dyDescent="0.2">
      <c r="A54" t="s">
        <v>119</v>
      </c>
      <c r="B54" t="s">
        <v>120</v>
      </c>
      <c r="C54" t="s">
        <v>15</v>
      </c>
      <c r="D54">
        <v>1.5</v>
      </c>
      <c r="E54">
        <v>0.2</v>
      </c>
      <c r="F54">
        <v>0.2</v>
      </c>
      <c r="G54">
        <v>20</v>
      </c>
      <c r="H54">
        <v>2</v>
      </c>
      <c r="I54">
        <v>0.7</v>
      </c>
      <c r="J54">
        <f>(133.23*I54^0.87)</f>
        <v>97.687123763543696</v>
      </c>
      <c r="K54">
        <f>J54/60</f>
        <v>1.6281187293923949</v>
      </c>
      <c r="L54">
        <f>E54*0.7</f>
        <v>0.13999999999999999</v>
      </c>
      <c r="M54">
        <f>(I54*D54)/0.000001</f>
        <v>1049999.9999999998</v>
      </c>
      <c r="N54">
        <f>I54/(K54*L54)</f>
        <v>3.0710291023222691</v>
      </c>
      <c r="O54">
        <f>M54/N54</f>
        <v>341904.93317240285</v>
      </c>
      <c r="P54" t="s">
        <v>121</v>
      </c>
    </row>
    <row r="55" spans="1:16" ht="13.9" customHeight="1" x14ac:dyDescent="0.2">
      <c r="A55" t="s">
        <v>122</v>
      </c>
      <c r="B55" t="s">
        <v>123</v>
      </c>
      <c r="C55" t="s">
        <v>15</v>
      </c>
      <c r="D55">
        <v>5.3</v>
      </c>
      <c r="E55">
        <v>0.69</v>
      </c>
      <c r="F55">
        <v>0.69</v>
      </c>
      <c r="G55">
        <v>830</v>
      </c>
      <c r="H55">
        <v>2.5</v>
      </c>
      <c r="I55">
        <v>1.5</v>
      </c>
      <c r="J55">
        <f>(133.23*I55^0.87)</f>
        <v>189.58388699883918</v>
      </c>
      <c r="K55">
        <f>J55/60</f>
        <v>3.159731449980653</v>
      </c>
      <c r="L55">
        <f>E55*0.7</f>
        <v>0.48299999999999993</v>
      </c>
      <c r="M55">
        <f>(I55*D55)/0.000001</f>
        <v>7950000</v>
      </c>
      <c r="N55">
        <f>I55/(K55*L55)</f>
        <v>0.98286519322103061</v>
      </c>
      <c r="O55">
        <f>M55/N55</f>
        <v>8088596.5388054727</v>
      </c>
    </row>
    <row r="56" spans="1:16" ht="13.9" customHeight="1" x14ac:dyDescent="0.2">
      <c r="A56" t="s">
        <v>124</v>
      </c>
      <c r="B56" t="s">
        <v>125</v>
      </c>
      <c r="C56" t="s">
        <v>15</v>
      </c>
      <c r="D56">
        <v>2.6</v>
      </c>
      <c r="E56">
        <v>1.5</v>
      </c>
      <c r="F56">
        <v>1.3</v>
      </c>
      <c r="G56">
        <v>25</v>
      </c>
      <c r="H56">
        <v>3.9</v>
      </c>
      <c r="I56">
        <v>3.9</v>
      </c>
      <c r="J56">
        <f>(133.23*I56^0.87)</f>
        <v>435.33966226919335</v>
      </c>
      <c r="K56">
        <f>J56/60</f>
        <v>7.2556610378198894</v>
      </c>
      <c r="L56">
        <f>E56*0.7</f>
        <v>1.0499999999999998</v>
      </c>
      <c r="M56">
        <f>(I56*D56)/0.000001</f>
        <v>10140000.000000002</v>
      </c>
      <c r="N56">
        <f>I56/(K56*L56)</f>
        <v>0.51191555048190995</v>
      </c>
      <c r="O56">
        <f>M56/N56</f>
        <v>19807954.633248299</v>
      </c>
      <c r="P56" t="s">
        <v>126</v>
      </c>
    </row>
    <row r="57" spans="1:16" ht="13.9" customHeight="1" x14ac:dyDescent="0.2">
      <c r="A57" t="s">
        <v>127</v>
      </c>
      <c r="B57" t="s">
        <v>125</v>
      </c>
      <c r="C57" t="s">
        <v>15</v>
      </c>
      <c r="D57">
        <v>2.6</v>
      </c>
      <c r="E57">
        <v>0.7</v>
      </c>
      <c r="F57">
        <v>1.4</v>
      </c>
      <c r="G57">
        <v>650</v>
      </c>
      <c r="H57">
        <v>2.06</v>
      </c>
      <c r="I57">
        <v>1.54</v>
      </c>
      <c r="J57">
        <f>(133.23*I57^0.87)</f>
        <v>193.97468488444005</v>
      </c>
      <c r="K57">
        <f>J57/60</f>
        <v>3.2329114147406677</v>
      </c>
      <c r="L57">
        <f>E57*0.7</f>
        <v>0.48999999999999994</v>
      </c>
      <c r="M57">
        <f>(I57*D57)/0.000001</f>
        <v>4004000.0000000005</v>
      </c>
      <c r="N57">
        <f>I57/(K57*L57)</f>
        <v>0.97214452846653454</v>
      </c>
      <c r="O57">
        <f>M57/N57</f>
        <v>4118729.1423796103</v>
      </c>
    </row>
    <row r="58" spans="1:16" ht="13.9" customHeight="1" x14ac:dyDescent="0.2">
      <c r="A58" t="s">
        <v>128</v>
      </c>
      <c r="B58" t="s">
        <v>129</v>
      </c>
      <c r="C58" t="s">
        <v>15</v>
      </c>
      <c r="D58">
        <v>2.5</v>
      </c>
      <c r="E58">
        <v>1.5</v>
      </c>
      <c r="F58">
        <v>1.2</v>
      </c>
      <c r="G58">
        <v>1400</v>
      </c>
      <c r="H58">
        <v>0.39</v>
      </c>
      <c r="I58">
        <v>0.39</v>
      </c>
      <c r="J58">
        <f>(133.23*I58^0.87)</f>
        <v>58.725704572112818</v>
      </c>
      <c r="K58">
        <f>J58/60</f>
        <v>0.978761742868547</v>
      </c>
      <c r="L58">
        <f>E58*0.7</f>
        <v>1.0499999999999998</v>
      </c>
      <c r="M58">
        <f>(I58*D58)/0.000001</f>
        <v>975000.00000000012</v>
      </c>
      <c r="N58">
        <f>I58/(K58*L58)</f>
        <v>0.37948824025343658</v>
      </c>
      <c r="O58">
        <f>M58/N58</f>
        <v>2569249.5750299357</v>
      </c>
      <c r="P58" t="s">
        <v>130</v>
      </c>
    </row>
    <row r="59" spans="1:16" ht="13.9" customHeight="1" x14ac:dyDescent="0.2">
      <c r="A59" t="s">
        <v>128</v>
      </c>
      <c r="B59" t="s">
        <v>131</v>
      </c>
      <c r="C59" t="s">
        <v>15</v>
      </c>
      <c r="D59">
        <v>5.24</v>
      </c>
      <c r="E59">
        <v>0.53</v>
      </c>
      <c r="F59">
        <v>0.53</v>
      </c>
      <c r="G59">
        <v>1018</v>
      </c>
      <c r="H59">
        <v>2.06</v>
      </c>
      <c r="I59">
        <v>1.54</v>
      </c>
      <c r="J59">
        <f>(133.23*I59^0.87)</f>
        <v>193.97468488444005</v>
      </c>
      <c r="K59">
        <f>J59/60</f>
        <v>3.2329114147406677</v>
      </c>
      <c r="L59">
        <f>E59*0.7</f>
        <v>0.371</v>
      </c>
      <c r="M59">
        <f>(I59*D59)/0.000001</f>
        <v>8069600.0000000019</v>
      </c>
      <c r="N59">
        <f>I59/(K59*L59)</f>
        <v>1.2839644715595737</v>
      </c>
      <c r="O59">
        <f>M59/N59</f>
        <v>6284909.1067124484</v>
      </c>
    </row>
    <row r="60" spans="1:16" ht="13.9" customHeight="1" x14ac:dyDescent="0.2">
      <c r="A60" t="s">
        <v>128</v>
      </c>
      <c r="B60" t="s">
        <v>132</v>
      </c>
      <c r="C60" t="s">
        <v>15</v>
      </c>
      <c r="D60">
        <v>2.2999999999999998</v>
      </c>
      <c r="E60">
        <v>0.30499999999999999</v>
      </c>
      <c r="F60">
        <v>0.30499999999999999</v>
      </c>
      <c r="G60">
        <v>120</v>
      </c>
      <c r="H60">
        <v>1.95</v>
      </c>
      <c r="I60">
        <v>1.95</v>
      </c>
      <c r="J60">
        <f>(133.23*I60^0.87)</f>
        <v>238.19472516507804</v>
      </c>
      <c r="K60">
        <f>J60/60</f>
        <v>3.969912086084634</v>
      </c>
      <c r="L60">
        <f>E60*0.7</f>
        <v>0.2135</v>
      </c>
      <c r="M60">
        <f>(I60*D60)/0.000001</f>
        <v>4485000</v>
      </c>
      <c r="N60">
        <f>I60/(K60*L60)</f>
        <v>2.3006780158616333</v>
      </c>
      <c r="O60">
        <f>M60/N60</f>
        <v>1949425.3298718596</v>
      </c>
      <c r="P60" t="s">
        <v>133</v>
      </c>
    </row>
    <row r="61" spans="1:16" ht="13.9" customHeight="1" x14ac:dyDescent="0.2">
      <c r="A61" t="s">
        <v>134</v>
      </c>
      <c r="B61" t="s">
        <v>135</v>
      </c>
      <c r="C61" t="s">
        <v>15</v>
      </c>
      <c r="D61">
        <v>2.9</v>
      </c>
      <c r="E61">
        <v>2.2000000000000002</v>
      </c>
      <c r="F61">
        <v>1.8</v>
      </c>
      <c r="G61">
        <v>1250</v>
      </c>
      <c r="H61">
        <v>2</v>
      </c>
      <c r="I61">
        <v>2</v>
      </c>
      <c r="J61">
        <f>(133.23*I61^0.87)</f>
        <v>243.49952822812602</v>
      </c>
      <c r="K61">
        <f>J61/60</f>
        <v>4.058325470468767</v>
      </c>
      <c r="L61">
        <f>E61*0.7</f>
        <v>1.54</v>
      </c>
      <c r="M61">
        <f>(I61*D61)/0.000001</f>
        <v>5800000</v>
      </c>
      <c r="N61">
        <f>I61/(K61*L61)</f>
        <v>0.32000915356630794</v>
      </c>
      <c r="O61">
        <f>M61/N61</f>
        <v>18124481.551113516</v>
      </c>
      <c r="P61" t="s">
        <v>136</v>
      </c>
    </row>
    <row r="62" spans="1:16" ht="13.9" customHeight="1" x14ac:dyDescent="0.2">
      <c r="A62" t="s">
        <v>137</v>
      </c>
      <c r="B62" t="s">
        <v>140</v>
      </c>
      <c r="C62" t="s">
        <v>15</v>
      </c>
      <c r="D62">
        <v>3.7</v>
      </c>
      <c r="E62">
        <v>0.9</v>
      </c>
      <c r="F62">
        <v>0.9</v>
      </c>
      <c r="G62">
        <v>1300</v>
      </c>
      <c r="H62">
        <v>2</v>
      </c>
      <c r="I62">
        <v>1</v>
      </c>
      <c r="J62">
        <f>(133.23*I62^0.87)</f>
        <v>133.22999999999999</v>
      </c>
      <c r="K62">
        <f>J62/60</f>
        <v>2.2204999999999999</v>
      </c>
      <c r="L62">
        <f>E62*0.7</f>
        <v>0.63</v>
      </c>
      <c r="M62">
        <f>(I62*D62)/0.000001</f>
        <v>3700000.0000000005</v>
      </c>
      <c r="N62">
        <f>I62/(K62*L62)</f>
        <v>0.71483971506488964</v>
      </c>
      <c r="O62">
        <f>M62/N62</f>
        <v>5175985.5</v>
      </c>
      <c r="P62" t="s">
        <v>141</v>
      </c>
    </row>
    <row r="63" spans="1:16" ht="13.9" customHeight="1" x14ac:dyDescent="0.2">
      <c r="A63" t="s">
        <v>137</v>
      </c>
      <c r="B63" t="s">
        <v>138</v>
      </c>
      <c r="C63" t="s">
        <v>15</v>
      </c>
      <c r="D63">
        <v>3.7</v>
      </c>
      <c r="E63">
        <v>0.8</v>
      </c>
      <c r="F63">
        <v>0.8</v>
      </c>
      <c r="G63">
        <v>1300</v>
      </c>
      <c r="H63">
        <v>3.9</v>
      </c>
      <c r="I63">
        <v>3.9</v>
      </c>
      <c r="J63">
        <f>(133.23*I63^0.87)</f>
        <v>435.33966226919335</v>
      </c>
      <c r="K63">
        <f>J63/60</f>
        <v>7.2556610378198894</v>
      </c>
      <c r="L63">
        <f>E63*0.7</f>
        <v>0.55999999999999994</v>
      </c>
      <c r="M63">
        <f>(I63*D63)/0.000001</f>
        <v>14430000</v>
      </c>
      <c r="N63">
        <f>I63/(K63*L63)</f>
        <v>0.95984165715358105</v>
      </c>
      <c r="O63">
        <f>M63/N63</f>
        <v>15033729.670362812</v>
      </c>
      <c r="P63" t="s">
        <v>139</v>
      </c>
    </row>
    <row r="64" spans="1:16" ht="13.9" customHeight="1" x14ac:dyDescent="0.2">
      <c r="A64" t="s">
        <v>142</v>
      </c>
      <c r="B64" t="s">
        <v>143</v>
      </c>
      <c r="C64" t="s">
        <v>15</v>
      </c>
      <c r="D64">
        <v>1.6</v>
      </c>
      <c r="E64">
        <v>0.2</v>
      </c>
      <c r="F64">
        <v>0.2</v>
      </c>
      <c r="G64">
        <v>45</v>
      </c>
      <c r="H64">
        <v>4.4800000000000004</v>
      </c>
      <c r="I64">
        <v>4.4800000000000004</v>
      </c>
      <c r="J64">
        <f>(133.23*I64^0.87)</f>
        <v>491.14971918145267</v>
      </c>
      <c r="K64">
        <f>J64/60</f>
        <v>8.1858286530242115</v>
      </c>
      <c r="L64">
        <f>E64*0.7</f>
        <v>0.13999999999999999</v>
      </c>
      <c r="M64">
        <f>(I64*D64)/0.000001</f>
        <v>7168000.0000000009</v>
      </c>
      <c r="N64">
        <f>I64/(K64*L64)</f>
        <v>3.9091949460947699</v>
      </c>
      <c r="O64">
        <f>M64/N64</f>
        <v>1833625.6182774233</v>
      </c>
      <c r="P64" t="s">
        <v>144</v>
      </c>
    </row>
    <row r="65" spans="1:16" ht="13.9" customHeight="1" x14ac:dyDescent="0.2">
      <c r="A65" t="s">
        <v>145</v>
      </c>
      <c r="B65" t="s">
        <v>146</v>
      </c>
      <c r="C65" t="s">
        <v>15</v>
      </c>
      <c r="D65">
        <v>3</v>
      </c>
      <c r="E65">
        <v>0.4</v>
      </c>
      <c r="F65">
        <v>0.25</v>
      </c>
      <c r="G65">
        <v>220</v>
      </c>
      <c r="H65">
        <v>3.5</v>
      </c>
      <c r="I65">
        <v>3.5</v>
      </c>
      <c r="J65">
        <f>(133.23*I65^0.87)</f>
        <v>396.22440916739265</v>
      </c>
      <c r="K65">
        <f>J65/60</f>
        <v>6.6037401527898778</v>
      </c>
      <c r="L65">
        <f>E65*0.7</f>
        <v>0.27999999999999997</v>
      </c>
      <c r="M65">
        <f>(I65*D65)/0.000001</f>
        <v>10500000</v>
      </c>
      <c r="N65">
        <f>I65/(K65*L65)</f>
        <v>1.8928667256417009</v>
      </c>
      <c r="O65">
        <f>M65/N65</f>
        <v>5547141.728343497</v>
      </c>
      <c r="P65" t="s">
        <v>147</v>
      </c>
    </row>
    <row r="66" spans="1:16" ht="13.9" customHeight="1" x14ac:dyDescent="0.2">
      <c r="A66" t="s">
        <v>148</v>
      </c>
      <c r="B66" t="s">
        <v>149</v>
      </c>
      <c r="C66" t="s">
        <v>15</v>
      </c>
      <c r="D66">
        <v>1.96</v>
      </c>
      <c r="E66">
        <v>0.254</v>
      </c>
      <c r="F66">
        <v>0.254</v>
      </c>
      <c r="G66">
        <v>50</v>
      </c>
      <c r="H66">
        <v>1</v>
      </c>
      <c r="I66">
        <v>1</v>
      </c>
      <c r="J66">
        <f>(133.23*I66^0.87)</f>
        <v>133.22999999999999</v>
      </c>
      <c r="K66">
        <f>J66/60</f>
        <v>2.2204999999999999</v>
      </c>
      <c r="L66">
        <f>E66*0.7</f>
        <v>0.17779999999999999</v>
      </c>
      <c r="M66">
        <f>(I66*D66)/0.000001</f>
        <v>1960000</v>
      </c>
      <c r="N66">
        <f>I66/(K66*L66)</f>
        <v>2.5328966281826797</v>
      </c>
      <c r="O66">
        <f>M66/N66</f>
        <v>773817.60399999993</v>
      </c>
      <c r="P66" t="s">
        <v>150</v>
      </c>
    </row>
    <row r="67" spans="1:16" ht="13.9" customHeight="1" x14ac:dyDescent="0.2">
      <c r="A67" t="s">
        <v>151</v>
      </c>
      <c r="B67" t="s">
        <v>152</v>
      </c>
      <c r="C67" t="s">
        <v>15</v>
      </c>
      <c r="D67">
        <v>2.4300000000000002</v>
      </c>
      <c r="E67">
        <v>0.48</v>
      </c>
      <c r="F67">
        <v>2.13</v>
      </c>
      <c r="G67">
        <v>56.7</v>
      </c>
      <c r="H67">
        <v>5.83</v>
      </c>
      <c r="I67">
        <v>5.83</v>
      </c>
      <c r="J67">
        <f>(133.23*I67^0.87)</f>
        <v>617.63752007831113</v>
      </c>
      <c r="K67">
        <f>J67/60</f>
        <v>10.293958667971852</v>
      </c>
      <c r="L67">
        <f>E67*0.7</f>
        <v>0.33599999999999997</v>
      </c>
      <c r="M67">
        <f>(I67*D67)/0.000001</f>
        <v>14166900.000000002</v>
      </c>
      <c r="N67">
        <f>I67/(K67*L67)</f>
        <v>1.6855702490992286</v>
      </c>
      <c r="O67">
        <f>M67/N67</f>
        <v>8404811.3732256573</v>
      </c>
      <c r="P67" t="s">
        <v>153</v>
      </c>
    </row>
    <row r="68" spans="1:16" ht="13.9" customHeight="1" x14ac:dyDescent="0.2">
      <c r="A68" t="s">
        <v>154</v>
      </c>
      <c r="B68" t="s">
        <v>155</v>
      </c>
      <c r="C68" t="s">
        <v>15</v>
      </c>
      <c r="D68">
        <v>0.13</v>
      </c>
      <c r="E68">
        <v>0.01</v>
      </c>
      <c r="F68">
        <v>0.01</v>
      </c>
      <c r="G68">
        <v>19</v>
      </c>
      <c r="H68">
        <v>2.06</v>
      </c>
      <c r="I68">
        <v>1.29</v>
      </c>
      <c r="J68">
        <f>(133.23*I68^0.87)</f>
        <v>166.27045140784179</v>
      </c>
      <c r="K68">
        <f>J68/60</f>
        <v>2.7711741901306963</v>
      </c>
      <c r="L68">
        <f>E68*0.7</f>
        <v>6.9999999999999993E-3</v>
      </c>
      <c r="M68">
        <f>(I68*D68)/0.000001</f>
        <v>167700.00000000003</v>
      </c>
      <c r="N68">
        <f>I68/(K68*L68)</f>
        <v>66.500949287862298</v>
      </c>
      <c r="O68">
        <f>M68/N68</f>
        <v>2521.7685130189338</v>
      </c>
    </row>
    <row r="69" spans="1:16" ht="13.9" customHeight="1" x14ac:dyDescent="0.2">
      <c r="A69" t="s">
        <v>156</v>
      </c>
      <c r="B69" t="s">
        <v>157</v>
      </c>
      <c r="C69" t="s">
        <v>15</v>
      </c>
      <c r="D69">
        <v>2.1</v>
      </c>
      <c r="E69">
        <v>0.6</v>
      </c>
      <c r="F69">
        <v>0.6</v>
      </c>
      <c r="G69">
        <v>150</v>
      </c>
      <c r="H69">
        <v>3.89</v>
      </c>
      <c r="I69">
        <v>0.42</v>
      </c>
      <c r="J69">
        <f>(133.23*I69^0.87)</f>
        <v>62.636705998500695</v>
      </c>
      <c r="K69">
        <f>J69/60</f>
        <v>1.0439450999750115</v>
      </c>
      <c r="L69">
        <f>E69*0.7</f>
        <v>0.42</v>
      </c>
      <c r="M69">
        <f>(I69*D69)/0.000001</f>
        <v>882000</v>
      </c>
      <c r="N69">
        <f>I69/(K69*L69)</f>
        <v>0.95790477873207758</v>
      </c>
      <c r="O69">
        <f>M69/N69</f>
        <v>920759.57817796012</v>
      </c>
      <c r="P69" t="s">
        <v>158</v>
      </c>
    </row>
    <row r="70" spans="1:16" ht="13.9" customHeight="1" x14ac:dyDescent="0.2">
      <c r="A70" t="s">
        <v>159</v>
      </c>
      <c r="B70" t="s">
        <v>160</v>
      </c>
      <c r="C70" t="s">
        <v>15</v>
      </c>
      <c r="D70">
        <f>ROUND(48*0.0254,2)</f>
        <v>1.22</v>
      </c>
      <c r="E70">
        <v>0.12</v>
      </c>
      <c r="F70">
        <v>0.12</v>
      </c>
      <c r="H70">
        <v>15</v>
      </c>
      <c r="I70">
        <v>15</v>
      </c>
      <c r="J70">
        <f>(133.23*I70^0.87)</f>
        <v>1405.4047701787536</v>
      </c>
      <c r="K70">
        <f>J70/60</f>
        <v>23.423412836312558</v>
      </c>
      <c r="L70">
        <f>E70*0.7</f>
        <v>8.3999999999999991E-2</v>
      </c>
      <c r="M70">
        <f>(I70*D70)/0.000001</f>
        <v>18300000</v>
      </c>
      <c r="N70">
        <f>I69/(K70*L70)</f>
        <v>0.21346163494367748</v>
      </c>
      <c r="O70">
        <f>M70/N70</f>
        <v>85729690.980903953</v>
      </c>
      <c r="P70" t="s">
        <v>161</v>
      </c>
    </row>
    <row r="71" spans="1:16" ht="13.9" customHeight="1" x14ac:dyDescent="0.2">
      <c r="A71" t="s">
        <v>162</v>
      </c>
      <c r="B71" t="s">
        <v>163</v>
      </c>
      <c r="C71" t="s">
        <v>15</v>
      </c>
      <c r="D71">
        <v>4.0940000000000003</v>
      </c>
      <c r="E71">
        <v>1.35</v>
      </c>
      <c r="F71">
        <v>0.67</v>
      </c>
      <c r="G71">
        <v>1500</v>
      </c>
      <c r="H71">
        <v>4</v>
      </c>
      <c r="I71">
        <v>4</v>
      </c>
      <c r="J71">
        <f t="shared" ref="J71:J99" si="0">(133.23*I71^0.87)</f>
        <v>445.03505402176648</v>
      </c>
      <c r="K71">
        <f t="shared" ref="K71:K99" si="1">J71/60</f>
        <v>7.4172509003627747</v>
      </c>
      <c r="L71">
        <f t="shared" ref="L71:L99" si="2">E71*0.7</f>
        <v>0.94499999999999995</v>
      </c>
      <c r="M71">
        <f t="shared" ref="M71:M99" si="3">(I71*D71)/0.000001</f>
        <v>16376000.000000002</v>
      </c>
      <c r="N71">
        <f t="shared" ref="N71:N99" si="4">I70/(K71*L71)</f>
        <v>2.1400133400151709</v>
      </c>
      <c r="O71">
        <f t="shared" ref="O71:O99" si="5">M71/N71</f>
        <v>7652288.7468934702</v>
      </c>
      <c r="P71" t="s">
        <v>164</v>
      </c>
    </row>
    <row r="72" spans="1:16" ht="13.9" customHeight="1" x14ac:dyDescent="0.2">
      <c r="A72" t="s">
        <v>162</v>
      </c>
      <c r="B72" t="s">
        <v>165</v>
      </c>
      <c r="C72" t="s">
        <v>15</v>
      </c>
      <c r="D72">
        <v>3.6</v>
      </c>
      <c r="E72">
        <v>0.66</v>
      </c>
      <c r="F72">
        <v>0.45</v>
      </c>
      <c r="G72">
        <v>650</v>
      </c>
      <c r="H72">
        <v>5</v>
      </c>
      <c r="I72">
        <v>5</v>
      </c>
      <c r="J72">
        <f t="shared" si="0"/>
        <v>540.38829274111856</v>
      </c>
      <c r="K72">
        <f t="shared" si="1"/>
        <v>9.0064715456853097</v>
      </c>
      <c r="L72">
        <f t="shared" si="2"/>
        <v>0.46199999999999997</v>
      </c>
      <c r="M72">
        <f t="shared" si="3"/>
        <v>18000000</v>
      </c>
      <c r="N72">
        <f t="shared" si="4"/>
        <v>0.96130972202498244</v>
      </c>
      <c r="O72">
        <f t="shared" si="5"/>
        <v>18724454.343479756</v>
      </c>
      <c r="P72" t="s">
        <v>166</v>
      </c>
    </row>
    <row r="73" spans="1:16" ht="13.9" customHeight="1" x14ac:dyDescent="0.2">
      <c r="A73" t="s">
        <v>167</v>
      </c>
      <c r="B73" t="s">
        <v>168</v>
      </c>
      <c r="C73" t="s">
        <v>15</v>
      </c>
      <c r="D73">
        <v>1.8</v>
      </c>
      <c r="E73">
        <v>0.3</v>
      </c>
      <c r="F73">
        <v>0.3</v>
      </c>
      <c r="G73">
        <v>51.8</v>
      </c>
      <c r="H73">
        <v>0.35</v>
      </c>
      <c r="I73">
        <v>0.25</v>
      </c>
      <c r="J73">
        <f t="shared" si="0"/>
        <v>39.885021954094967</v>
      </c>
      <c r="K73">
        <f t="shared" si="1"/>
        <v>0.66475036590158276</v>
      </c>
      <c r="L73">
        <f t="shared" si="2"/>
        <v>0.21</v>
      </c>
      <c r="M73">
        <f t="shared" si="3"/>
        <v>450000.00000000006</v>
      </c>
      <c r="N73">
        <f t="shared" si="4"/>
        <v>35.817240622698421</v>
      </c>
      <c r="O73">
        <f t="shared" si="5"/>
        <v>12563.781915539916</v>
      </c>
    </row>
    <row r="74" spans="1:16" ht="13.9" customHeight="1" x14ac:dyDescent="0.2">
      <c r="A74" t="s">
        <v>169</v>
      </c>
      <c r="B74" t="s">
        <v>170</v>
      </c>
      <c r="C74" t="s">
        <v>15</v>
      </c>
      <c r="D74">
        <v>4.26</v>
      </c>
      <c r="E74">
        <v>3.04</v>
      </c>
      <c r="F74">
        <v>3.04</v>
      </c>
      <c r="G74">
        <v>1350</v>
      </c>
      <c r="H74">
        <v>0.39</v>
      </c>
      <c r="I74">
        <v>0.39</v>
      </c>
      <c r="J74">
        <f t="shared" si="0"/>
        <v>58.725704572112818</v>
      </c>
      <c r="K74">
        <f t="shared" si="1"/>
        <v>0.978761742868547</v>
      </c>
      <c r="L74">
        <f t="shared" si="2"/>
        <v>2.1279999999999997</v>
      </c>
      <c r="M74">
        <f t="shared" si="3"/>
        <v>1661400</v>
      </c>
      <c r="N74">
        <f t="shared" si="4"/>
        <v>0.12003044036356167</v>
      </c>
      <c r="O74">
        <f t="shared" si="5"/>
        <v>13841488.833730554</v>
      </c>
      <c r="P74" t="s">
        <v>171</v>
      </c>
    </row>
    <row r="75" spans="1:16" ht="13.9" customHeight="1" x14ac:dyDescent="0.2">
      <c r="A75" t="s">
        <v>172</v>
      </c>
      <c r="B75" t="s">
        <v>173</v>
      </c>
      <c r="C75" t="s">
        <v>15</v>
      </c>
      <c r="D75">
        <v>1.0349999999999999</v>
      </c>
      <c r="E75">
        <v>0.35</v>
      </c>
      <c r="F75">
        <v>0.875</v>
      </c>
      <c r="G75">
        <v>30</v>
      </c>
      <c r="H75">
        <v>2.91</v>
      </c>
      <c r="I75">
        <v>2.91</v>
      </c>
      <c r="J75">
        <f t="shared" si="0"/>
        <v>337.43406848835542</v>
      </c>
      <c r="K75">
        <f t="shared" si="1"/>
        <v>5.6239011414725901</v>
      </c>
      <c r="L75">
        <f t="shared" si="2"/>
        <v>0.24499999999999997</v>
      </c>
      <c r="M75">
        <f t="shared" si="3"/>
        <v>3011850</v>
      </c>
      <c r="N75">
        <f t="shared" si="4"/>
        <v>0.28304849154533029</v>
      </c>
      <c r="O75">
        <f t="shared" si="5"/>
        <v>10640756.230695726</v>
      </c>
      <c r="P75" t="s">
        <v>174</v>
      </c>
    </row>
    <row r="76" spans="1:16" ht="13.9" customHeight="1" x14ac:dyDescent="0.2">
      <c r="A76" t="s">
        <v>12</v>
      </c>
      <c r="B76" t="s">
        <v>175</v>
      </c>
      <c r="C76" t="s">
        <v>15</v>
      </c>
      <c r="D76">
        <v>4.5</v>
      </c>
      <c r="E76">
        <v>0.2</v>
      </c>
      <c r="F76">
        <v>0.2</v>
      </c>
      <c r="G76">
        <v>130</v>
      </c>
      <c r="H76">
        <v>5.5</v>
      </c>
      <c r="I76">
        <v>5.5</v>
      </c>
      <c r="J76">
        <f t="shared" si="0"/>
        <v>587.10741814308324</v>
      </c>
      <c r="K76">
        <f t="shared" si="1"/>
        <v>9.7851236357180547</v>
      </c>
      <c r="L76">
        <f t="shared" si="2"/>
        <v>0.13999999999999999</v>
      </c>
      <c r="M76">
        <f t="shared" si="3"/>
        <v>24750000</v>
      </c>
      <c r="N76">
        <f t="shared" si="4"/>
        <v>2.1242158054949285</v>
      </c>
      <c r="O76">
        <f t="shared" si="5"/>
        <v>11651358.555932321</v>
      </c>
      <c r="P76" t="s">
        <v>176</v>
      </c>
    </row>
    <row r="77" spans="1:16" ht="13.9" customHeight="1" x14ac:dyDescent="0.2">
      <c r="A77" t="s">
        <v>12</v>
      </c>
      <c r="B77" t="s">
        <v>177</v>
      </c>
      <c r="C77" t="s">
        <v>15</v>
      </c>
      <c r="D77">
        <v>5.5</v>
      </c>
      <c r="E77">
        <v>0.63</v>
      </c>
      <c r="F77">
        <v>0.63</v>
      </c>
      <c r="G77">
        <v>1200</v>
      </c>
      <c r="H77">
        <v>3</v>
      </c>
      <c r="I77">
        <v>3</v>
      </c>
      <c r="J77">
        <f t="shared" si="0"/>
        <v>346.49543679255208</v>
      </c>
      <c r="K77">
        <f t="shared" si="1"/>
        <v>5.7749239465425344</v>
      </c>
      <c r="L77">
        <f t="shared" si="2"/>
        <v>0.44099999999999995</v>
      </c>
      <c r="M77">
        <f t="shared" si="3"/>
        <v>16500000</v>
      </c>
      <c r="N77">
        <f t="shared" si="4"/>
        <v>2.159622437324912</v>
      </c>
      <c r="O77">
        <f t="shared" si="5"/>
        <v>7640224.3812757721</v>
      </c>
      <c r="P77" t="s">
        <v>178</v>
      </c>
    </row>
    <row r="78" spans="1:16" ht="13.9" customHeight="1" x14ac:dyDescent="0.2">
      <c r="A78" t="s">
        <v>179</v>
      </c>
      <c r="B78" t="s">
        <v>180</v>
      </c>
      <c r="C78" t="s">
        <v>15</v>
      </c>
      <c r="D78">
        <v>2.11</v>
      </c>
      <c r="E78">
        <v>0.34</v>
      </c>
      <c r="F78">
        <v>0.34</v>
      </c>
      <c r="G78">
        <v>97</v>
      </c>
      <c r="H78">
        <v>5.83</v>
      </c>
      <c r="I78">
        <v>5.83</v>
      </c>
      <c r="J78">
        <f t="shared" si="0"/>
        <v>617.63752007831113</v>
      </c>
      <c r="K78">
        <f t="shared" si="1"/>
        <v>10.293958667971852</v>
      </c>
      <c r="L78">
        <f t="shared" si="2"/>
        <v>0.23799999999999999</v>
      </c>
      <c r="M78">
        <f t="shared" si="3"/>
        <v>12301300</v>
      </c>
      <c r="N78">
        <f t="shared" si="4"/>
        <v>1.2245087068423413</v>
      </c>
      <c r="O78">
        <f t="shared" si="5"/>
        <v>10045906.518477557</v>
      </c>
      <c r="P78" t="s">
        <v>181</v>
      </c>
    </row>
    <row r="79" spans="1:16" ht="13.9" customHeight="1" x14ac:dyDescent="0.2">
      <c r="A79" t="s">
        <v>182</v>
      </c>
      <c r="B79" t="s">
        <v>183</v>
      </c>
      <c r="C79" t="s">
        <v>15</v>
      </c>
      <c r="D79">
        <v>1.5</v>
      </c>
      <c r="E79">
        <v>0.2</v>
      </c>
      <c r="F79">
        <v>0.2</v>
      </c>
      <c r="G79">
        <v>32</v>
      </c>
      <c r="H79">
        <v>3.9</v>
      </c>
      <c r="I79">
        <v>3.9</v>
      </c>
      <c r="J79">
        <f t="shared" si="0"/>
        <v>435.33966226919335</v>
      </c>
      <c r="K79">
        <f t="shared" si="1"/>
        <v>7.2556610378198894</v>
      </c>
      <c r="L79">
        <f t="shared" si="2"/>
        <v>0.13999999999999999</v>
      </c>
      <c r="M79">
        <f t="shared" si="3"/>
        <v>5850000</v>
      </c>
      <c r="N79">
        <f t="shared" si="4"/>
        <v>5.7393608832875671</v>
      </c>
      <c r="O79">
        <f t="shared" si="5"/>
        <v>1019277.2538549724</v>
      </c>
      <c r="P79" t="s">
        <v>184</v>
      </c>
    </row>
    <row r="80" spans="1:16" ht="13.9" customHeight="1" x14ac:dyDescent="0.2">
      <c r="A80" t="s">
        <v>182</v>
      </c>
      <c r="B80" t="s">
        <v>185</v>
      </c>
      <c r="C80" t="s">
        <v>15</v>
      </c>
      <c r="D80">
        <v>1.3</v>
      </c>
      <c r="E80">
        <v>0.8</v>
      </c>
      <c r="F80">
        <v>0.5</v>
      </c>
      <c r="G80">
        <v>70</v>
      </c>
      <c r="H80">
        <v>3.9</v>
      </c>
      <c r="I80">
        <v>3.9</v>
      </c>
      <c r="J80">
        <f t="shared" si="0"/>
        <v>435.33966226919335</v>
      </c>
      <c r="K80">
        <f t="shared" si="1"/>
        <v>7.2556610378198894</v>
      </c>
      <c r="L80">
        <f t="shared" si="2"/>
        <v>0.55999999999999994</v>
      </c>
      <c r="M80">
        <f t="shared" si="3"/>
        <v>5070000.0000000009</v>
      </c>
      <c r="N80">
        <f t="shared" si="4"/>
        <v>0.95984165715358105</v>
      </c>
      <c r="O80">
        <f t="shared" si="5"/>
        <v>5282121.2355328808</v>
      </c>
      <c r="P80" t="s">
        <v>186</v>
      </c>
    </row>
    <row r="81" spans="1:16" ht="13.9" customHeight="1" x14ac:dyDescent="0.2">
      <c r="A81" t="s">
        <v>187</v>
      </c>
      <c r="B81" t="s">
        <v>188</v>
      </c>
      <c r="C81" t="s">
        <v>15</v>
      </c>
      <c r="D81">
        <v>1.4</v>
      </c>
      <c r="E81">
        <v>1.2</v>
      </c>
      <c r="F81">
        <v>0.23599999999999999</v>
      </c>
      <c r="G81">
        <v>45</v>
      </c>
      <c r="H81">
        <v>2</v>
      </c>
      <c r="I81">
        <v>2</v>
      </c>
      <c r="J81">
        <f t="shared" si="0"/>
        <v>243.49952822812602</v>
      </c>
      <c r="K81">
        <f t="shared" si="1"/>
        <v>4.058325470468767</v>
      </c>
      <c r="L81">
        <f t="shared" si="2"/>
        <v>0.84</v>
      </c>
      <c r="M81">
        <f t="shared" si="3"/>
        <v>2800000</v>
      </c>
      <c r="N81">
        <f t="shared" si="4"/>
        <v>1.1440327239995511</v>
      </c>
      <c r="O81">
        <f t="shared" si="5"/>
        <v>2447482.4375750101</v>
      </c>
      <c r="P81" t="s">
        <v>189</v>
      </c>
    </row>
    <row r="82" spans="1:16" ht="13.9" customHeight="1" x14ac:dyDescent="0.2">
      <c r="A82" t="s">
        <v>187</v>
      </c>
      <c r="B82" t="s">
        <v>190</v>
      </c>
      <c r="C82" t="s">
        <v>15</v>
      </c>
      <c r="D82">
        <v>0.45</v>
      </c>
      <c r="E82">
        <v>0.63</v>
      </c>
      <c r="F82">
        <v>0.13500000000000001</v>
      </c>
      <c r="G82">
        <v>14</v>
      </c>
      <c r="H82">
        <v>1.95</v>
      </c>
      <c r="I82">
        <v>1.95</v>
      </c>
      <c r="J82">
        <f t="shared" si="0"/>
        <v>238.19472516507804</v>
      </c>
      <c r="K82">
        <f t="shared" si="1"/>
        <v>3.969912086084634</v>
      </c>
      <c r="L82">
        <f t="shared" si="2"/>
        <v>0.44099999999999995</v>
      </c>
      <c r="M82">
        <f t="shared" si="3"/>
        <v>877500</v>
      </c>
      <c r="N82">
        <f t="shared" si="4"/>
        <v>1.14237980437574</v>
      </c>
      <c r="O82">
        <f t="shared" si="5"/>
        <v>768133.32714640803</v>
      </c>
      <c r="P82" t="s">
        <v>191</v>
      </c>
    </row>
    <row r="83" spans="1:16" ht="13.9" customHeight="1" x14ac:dyDescent="0.2">
      <c r="A83" t="s">
        <v>187</v>
      </c>
      <c r="B83" t="s">
        <v>192</v>
      </c>
      <c r="C83" t="s">
        <v>15</v>
      </c>
      <c r="D83">
        <v>1.5</v>
      </c>
      <c r="E83">
        <v>0.75</v>
      </c>
      <c r="F83">
        <v>0.45</v>
      </c>
      <c r="G83">
        <v>220</v>
      </c>
      <c r="H83">
        <v>2</v>
      </c>
      <c r="I83">
        <v>2</v>
      </c>
      <c r="J83">
        <f t="shared" si="0"/>
        <v>243.49952822812602</v>
      </c>
      <c r="K83">
        <f t="shared" si="1"/>
        <v>4.058325470468767</v>
      </c>
      <c r="L83">
        <f t="shared" si="2"/>
        <v>0.52499999999999991</v>
      </c>
      <c r="M83">
        <f t="shared" si="3"/>
        <v>3000000</v>
      </c>
      <c r="N83">
        <f t="shared" si="4"/>
        <v>0.91522617919964089</v>
      </c>
      <c r="O83">
        <f t="shared" si="5"/>
        <v>3277878.2646093885</v>
      </c>
      <c r="P83" t="s">
        <v>193</v>
      </c>
    </row>
    <row r="84" spans="1:16" ht="13.9" customHeight="1" x14ac:dyDescent="0.2">
      <c r="A84" t="s">
        <v>187</v>
      </c>
      <c r="B84" t="s">
        <v>194</v>
      </c>
      <c r="C84" t="s">
        <v>15</v>
      </c>
      <c r="D84">
        <v>8.27</v>
      </c>
      <c r="E84">
        <v>1.1499999999999999</v>
      </c>
      <c r="F84">
        <v>1.1499999999999999</v>
      </c>
      <c r="G84">
        <v>4740</v>
      </c>
      <c r="H84">
        <v>3</v>
      </c>
      <c r="I84">
        <v>3</v>
      </c>
      <c r="J84">
        <f t="shared" si="0"/>
        <v>346.49543679255208</v>
      </c>
      <c r="K84">
        <f t="shared" si="1"/>
        <v>5.7749239465425344</v>
      </c>
      <c r="L84">
        <f t="shared" si="2"/>
        <v>0.80499999999999994</v>
      </c>
      <c r="M84">
        <f t="shared" si="3"/>
        <v>24810000</v>
      </c>
      <c r="N84">
        <f t="shared" si="4"/>
        <v>0.43021727605207732</v>
      </c>
      <c r="O84">
        <f t="shared" si="5"/>
        <v>57668534.903272405</v>
      </c>
      <c r="P84" t="s">
        <v>195</v>
      </c>
    </row>
    <row r="85" spans="1:16" ht="13.9" customHeight="1" x14ac:dyDescent="0.2">
      <c r="A85" t="s">
        <v>187</v>
      </c>
      <c r="B85" t="s">
        <v>196</v>
      </c>
      <c r="C85" t="s">
        <v>15</v>
      </c>
      <c r="D85">
        <v>4.4000000000000004</v>
      </c>
      <c r="E85">
        <v>1.08</v>
      </c>
      <c r="F85">
        <v>0.81</v>
      </c>
      <c r="G85">
        <v>1630</v>
      </c>
      <c r="H85">
        <v>3</v>
      </c>
      <c r="I85">
        <v>3</v>
      </c>
      <c r="J85">
        <f t="shared" si="0"/>
        <v>346.49543679255208</v>
      </c>
      <c r="K85">
        <f t="shared" si="1"/>
        <v>5.7749239465425344</v>
      </c>
      <c r="L85">
        <f t="shared" si="2"/>
        <v>0.75600000000000001</v>
      </c>
      <c r="M85">
        <f t="shared" si="3"/>
        <v>13200000.000000002</v>
      </c>
      <c r="N85">
        <f t="shared" si="4"/>
        <v>0.68715259369429016</v>
      </c>
      <c r="O85">
        <f t="shared" si="5"/>
        <v>19209707.015779085</v>
      </c>
      <c r="P85" t="s">
        <v>195</v>
      </c>
    </row>
    <row r="86" spans="1:16" ht="13.9" customHeight="1" x14ac:dyDescent="0.2">
      <c r="A86" t="s">
        <v>187</v>
      </c>
      <c r="B86" t="s">
        <v>197</v>
      </c>
      <c r="C86" t="s">
        <v>15</v>
      </c>
      <c r="D86">
        <v>2</v>
      </c>
      <c r="E86">
        <v>0.9</v>
      </c>
      <c r="F86">
        <v>0.6</v>
      </c>
      <c r="G86">
        <v>200</v>
      </c>
      <c r="H86">
        <v>1.37</v>
      </c>
      <c r="I86">
        <v>1.37</v>
      </c>
      <c r="J86">
        <f t="shared" si="0"/>
        <v>175.20597847449295</v>
      </c>
      <c r="K86">
        <f t="shared" si="1"/>
        <v>2.9200996412415492</v>
      </c>
      <c r="L86">
        <f t="shared" si="2"/>
        <v>0.63</v>
      </c>
      <c r="M86">
        <f t="shared" si="3"/>
        <v>2740000.0000000005</v>
      </c>
      <c r="N86">
        <f t="shared" si="4"/>
        <v>1.6307336553351741</v>
      </c>
      <c r="O86">
        <f t="shared" si="5"/>
        <v>1680225.3335703877</v>
      </c>
      <c r="P86" t="s">
        <v>198</v>
      </c>
    </row>
    <row r="87" spans="1:16" ht="13.9" customHeight="1" x14ac:dyDescent="0.2">
      <c r="A87" t="s">
        <v>187</v>
      </c>
      <c r="B87" t="s">
        <v>199</v>
      </c>
      <c r="C87" t="s">
        <v>15</v>
      </c>
      <c r="D87">
        <v>1.1000000000000001</v>
      </c>
      <c r="E87">
        <v>0.7</v>
      </c>
      <c r="F87">
        <v>0.71</v>
      </c>
      <c r="G87">
        <v>240</v>
      </c>
      <c r="H87">
        <v>2.5</v>
      </c>
      <c r="I87">
        <v>2.5</v>
      </c>
      <c r="J87">
        <f t="shared" si="0"/>
        <v>295.67175249082527</v>
      </c>
      <c r="K87">
        <f t="shared" si="1"/>
        <v>4.9278625415137549</v>
      </c>
      <c r="L87">
        <f t="shared" si="2"/>
        <v>0.48999999999999994</v>
      </c>
      <c r="M87">
        <f t="shared" si="3"/>
        <v>2750000</v>
      </c>
      <c r="N87">
        <f t="shared" si="4"/>
        <v>0.56736939064215075</v>
      </c>
      <c r="O87">
        <f t="shared" si="5"/>
        <v>4846930.4924742943</v>
      </c>
      <c r="P87" t="s">
        <v>195</v>
      </c>
    </row>
    <row r="88" spans="1:16" ht="13.9" customHeight="1" x14ac:dyDescent="0.2">
      <c r="A88" t="s">
        <v>187</v>
      </c>
      <c r="B88" t="s">
        <v>200</v>
      </c>
      <c r="C88" t="s">
        <v>15</v>
      </c>
      <c r="D88">
        <v>1.54</v>
      </c>
      <c r="E88">
        <v>0.86</v>
      </c>
      <c r="F88">
        <v>0.54</v>
      </c>
      <c r="G88">
        <v>120</v>
      </c>
      <c r="H88">
        <v>1</v>
      </c>
      <c r="I88">
        <v>1</v>
      </c>
      <c r="J88">
        <f t="shared" si="0"/>
        <v>133.22999999999999</v>
      </c>
      <c r="K88">
        <f t="shared" si="1"/>
        <v>2.2204999999999999</v>
      </c>
      <c r="L88">
        <f t="shared" si="2"/>
        <v>0.60199999999999998</v>
      </c>
      <c r="M88">
        <f t="shared" si="3"/>
        <v>1540000</v>
      </c>
      <c r="N88">
        <f t="shared" si="4"/>
        <v>1.8702201847627926</v>
      </c>
      <c r="O88">
        <f t="shared" si="5"/>
        <v>823432.45599999989</v>
      </c>
      <c r="P88" t="s">
        <v>201</v>
      </c>
    </row>
    <row r="89" spans="1:16" ht="13.9" customHeight="1" x14ac:dyDescent="0.2">
      <c r="A89" t="s">
        <v>202</v>
      </c>
      <c r="B89" t="s">
        <v>203</v>
      </c>
      <c r="C89" t="s">
        <v>15</v>
      </c>
      <c r="D89">
        <v>1.52</v>
      </c>
      <c r="E89">
        <v>0.17</v>
      </c>
      <c r="F89">
        <v>0.44</v>
      </c>
      <c r="G89">
        <v>70</v>
      </c>
      <c r="H89">
        <v>2.91</v>
      </c>
      <c r="I89">
        <v>2.91</v>
      </c>
      <c r="J89">
        <f t="shared" si="0"/>
        <v>337.43406848835542</v>
      </c>
      <c r="K89">
        <f t="shared" si="1"/>
        <v>5.6239011414725901</v>
      </c>
      <c r="L89">
        <f t="shared" si="2"/>
        <v>0.11899999999999999</v>
      </c>
      <c r="M89">
        <f t="shared" si="3"/>
        <v>4423200.0000000009</v>
      </c>
      <c r="N89">
        <f t="shared" si="4"/>
        <v>1.4942228060462381</v>
      </c>
      <c r="O89">
        <f t="shared" si="5"/>
        <v>2960201.1039464264</v>
      </c>
      <c r="P89" t="s">
        <v>204</v>
      </c>
    </row>
    <row r="90" spans="1:16" ht="13.9" customHeight="1" x14ac:dyDescent="0.2">
      <c r="A90" t="s">
        <v>205</v>
      </c>
      <c r="B90" t="s">
        <v>206</v>
      </c>
      <c r="C90" t="s">
        <v>15</v>
      </c>
      <c r="D90">
        <v>1.9</v>
      </c>
      <c r="E90">
        <v>0.28999999999999998</v>
      </c>
      <c r="F90">
        <v>0.28999999999999998</v>
      </c>
      <c r="G90">
        <v>99</v>
      </c>
      <c r="H90">
        <v>5.84</v>
      </c>
      <c r="I90">
        <v>5.84</v>
      </c>
      <c r="J90">
        <f t="shared" si="0"/>
        <v>618.55910630705807</v>
      </c>
      <c r="K90">
        <f t="shared" si="1"/>
        <v>10.309318438450967</v>
      </c>
      <c r="L90">
        <f t="shared" si="2"/>
        <v>0.20299999999999999</v>
      </c>
      <c r="M90">
        <f t="shared" si="3"/>
        <v>11096000</v>
      </c>
      <c r="N90">
        <f t="shared" si="4"/>
        <v>1.3904872038865879</v>
      </c>
      <c r="O90">
        <f t="shared" si="5"/>
        <v>7979936.7940857522</v>
      </c>
      <c r="P90" t="s">
        <v>207</v>
      </c>
    </row>
    <row r="91" spans="1:16" ht="13.9" customHeight="1" x14ac:dyDescent="0.2">
      <c r="A91" t="s">
        <v>208</v>
      </c>
      <c r="B91" t="s">
        <v>209</v>
      </c>
      <c r="C91" t="s">
        <v>15</v>
      </c>
      <c r="D91">
        <f>ROUND(34*0.0254,2)</f>
        <v>0.86</v>
      </c>
      <c r="E91">
        <f>ROUND(4.75*0.0254,2)</f>
        <v>0.12</v>
      </c>
      <c r="F91">
        <v>0.12</v>
      </c>
      <c r="G91">
        <f>ROUND(18.3/2.2,2)</f>
        <v>8.32</v>
      </c>
      <c r="H91">
        <v>3</v>
      </c>
      <c r="I91">
        <v>3</v>
      </c>
      <c r="J91">
        <f t="shared" si="0"/>
        <v>346.49543679255208</v>
      </c>
      <c r="K91">
        <f t="shared" si="1"/>
        <v>5.7749239465425344</v>
      </c>
      <c r="L91">
        <f t="shared" si="2"/>
        <v>8.3999999999999991E-2</v>
      </c>
      <c r="M91">
        <f t="shared" si="3"/>
        <v>2580000</v>
      </c>
      <c r="N91">
        <f t="shared" si="4"/>
        <v>12.038913441523963</v>
      </c>
      <c r="O91">
        <f t="shared" si="5"/>
        <v>214305.05439977706</v>
      </c>
      <c r="P91" t="s">
        <v>210</v>
      </c>
    </row>
    <row r="92" spans="1:16" ht="13.9" customHeight="1" x14ac:dyDescent="0.2">
      <c r="A92" t="s">
        <v>208</v>
      </c>
      <c r="B92" t="s">
        <v>211</v>
      </c>
      <c r="C92" t="s">
        <v>15</v>
      </c>
      <c r="D92">
        <f>ROUND(81*0.0254,2)</f>
        <v>2.06</v>
      </c>
      <c r="E92">
        <f>ROUND(6.9*0.0254,2)</f>
        <v>0.18</v>
      </c>
      <c r="F92">
        <v>0.18</v>
      </c>
      <c r="G92">
        <f>ROUND(91/2.2,2)</f>
        <v>41.36</v>
      </c>
      <c r="H92">
        <v>4</v>
      </c>
      <c r="I92">
        <v>4</v>
      </c>
      <c r="J92">
        <f t="shared" si="0"/>
        <v>445.03505402176648</v>
      </c>
      <c r="K92">
        <f t="shared" si="1"/>
        <v>7.4172509003627747</v>
      </c>
      <c r="L92">
        <f t="shared" si="2"/>
        <v>0.126</v>
      </c>
      <c r="M92">
        <f t="shared" si="3"/>
        <v>8240000.0000000009</v>
      </c>
      <c r="N92">
        <f t="shared" si="4"/>
        <v>3.2100200100227556</v>
      </c>
      <c r="O92">
        <f t="shared" si="5"/>
        <v>2566962.1915975497</v>
      </c>
      <c r="P92" t="s">
        <v>212</v>
      </c>
    </row>
    <row r="93" spans="1:16" ht="13.9" customHeight="1" x14ac:dyDescent="0.2">
      <c r="A93" t="s">
        <v>208</v>
      </c>
      <c r="B93" t="s">
        <v>213</v>
      </c>
      <c r="C93" t="s">
        <v>15</v>
      </c>
      <c r="D93">
        <f>ROUND(89*0.0254,2)</f>
        <v>2.2599999999999998</v>
      </c>
      <c r="E93">
        <v>0.18</v>
      </c>
      <c r="F93">
        <v>0.18</v>
      </c>
      <c r="G93">
        <v>34</v>
      </c>
      <c r="H93">
        <v>4</v>
      </c>
      <c r="I93">
        <v>4</v>
      </c>
      <c r="J93">
        <f t="shared" si="0"/>
        <v>445.03505402176648</v>
      </c>
      <c r="K93">
        <f t="shared" si="1"/>
        <v>7.4172509003627747</v>
      </c>
      <c r="L93">
        <f t="shared" si="2"/>
        <v>0.126</v>
      </c>
      <c r="M93">
        <f t="shared" si="3"/>
        <v>9040000</v>
      </c>
      <c r="N93">
        <f t="shared" si="4"/>
        <v>4.2800266800303408</v>
      </c>
      <c r="O93">
        <f t="shared" si="5"/>
        <v>2112136.3663873039</v>
      </c>
      <c r="P93" t="s">
        <v>214</v>
      </c>
    </row>
    <row r="94" spans="1:16" ht="13.9" customHeight="1" x14ac:dyDescent="0.2">
      <c r="A94" t="s">
        <v>215</v>
      </c>
      <c r="B94" t="s">
        <v>216</v>
      </c>
      <c r="C94" t="s">
        <v>15</v>
      </c>
      <c r="D94">
        <v>3</v>
      </c>
      <c r="E94">
        <v>2</v>
      </c>
      <c r="F94">
        <v>2.5</v>
      </c>
      <c r="G94">
        <v>550</v>
      </c>
      <c r="H94">
        <v>0.34</v>
      </c>
      <c r="I94">
        <v>0.17</v>
      </c>
      <c r="J94">
        <f t="shared" si="0"/>
        <v>28.516261556681506</v>
      </c>
      <c r="K94">
        <f t="shared" si="1"/>
        <v>0.47527102594469178</v>
      </c>
      <c r="L94">
        <f t="shared" si="2"/>
        <v>1.4</v>
      </c>
      <c r="M94">
        <f t="shared" si="3"/>
        <v>510000.00000000006</v>
      </c>
      <c r="N94">
        <f t="shared" si="4"/>
        <v>6.0116074853579411</v>
      </c>
      <c r="O94">
        <f t="shared" si="5"/>
        <v>84835.87813112748</v>
      </c>
    </row>
    <row r="95" spans="1:16" ht="13.9" customHeight="1" x14ac:dyDescent="0.2">
      <c r="A95" t="s">
        <v>215</v>
      </c>
      <c r="B95" t="s">
        <v>216</v>
      </c>
      <c r="C95" t="s">
        <v>15</v>
      </c>
      <c r="D95">
        <v>3</v>
      </c>
      <c r="E95">
        <v>2</v>
      </c>
      <c r="F95">
        <v>2.5</v>
      </c>
      <c r="G95">
        <v>550</v>
      </c>
      <c r="H95">
        <v>0.34</v>
      </c>
      <c r="I95">
        <v>0.17</v>
      </c>
      <c r="J95">
        <f t="shared" si="0"/>
        <v>28.516261556681506</v>
      </c>
      <c r="K95">
        <f t="shared" si="1"/>
        <v>0.47527102594469178</v>
      </c>
      <c r="L95">
        <f t="shared" si="2"/>
        <v>1.4</v>
      </c>
      <c r="M95">
        <f t="shared" si="3"/>
        <v>510000.00000000006</v>
      </c>
      <c r="N95">
        <f t="shared" si="4"/>
        <v>0.25549331812771253</v>
      </c>
      <c r="O95">
        <f t="shared" si="5"/>
        <v>1996138.3089677054</v>
      </c>
    </row>
    <row r="96" spans="1:16" ht="13.9" customHeight="1" x14ac:dyDescent="0.2">
      <c r="A96" t="s">
        <v>215</v>
      </c>
      <c r="B96" t="s">
        <v>217</v>
      </c>
      <c r="C96" t="s">
        <v>15</v>
      </c>
      <c r="D96">
        <v>5</v>
      </c>
      <c r="E96">
        <v>2</v>
      </c>
      <c r="F96">
        <v>1.5</v>
      </c>
      <c r="G96">
        <v>2800</v>
      </c>
      <c r="H96">
        <v>1.54</v>
      </c>
      <c r="I96">
        <v>1.5</v>
      </c>
      <c r="J96">
        <f t="shared" si="0"/>
        <v>189.58388699883918</v>
      </c>
      <c r="K96">
        <f t="shared" si="1"/>
        <v>3.159731449980653</v>
      </c>
      <c r="L96">
        <f t="shared" si="2"/>
        <v>1.4</v>
      </c>
      <c r="M96">
        <f t="shared" si="3"/>
        <v>7500000</v>
      </c>
      <c r="N96">
        <f t="shared" si="4"/>
        <v>3.8430029054942291E-2</v>
      </c>
      <c r="O96">
        <f t="shared" si="5"/>
        <v>195159883.67527562</v>
      </c>
      <c r="P96" t="s">
        <v>218</v>
      </c>
    </row>
    <row r="97" spans="1:16" ht="13.9" customHeight="1" x14ac:dyDescent="0.2">
      <c r="A97" t="s">
        <v>215</v>
      </c>
      <c r="B97" t="s">
        <v>219</v>
      </c>
      <c r="C97" t="s">
        <v>15</v>
      </c>
      <c r="D97">
        <v>1.9</v>
      </c>
      <c r="E97">
        <v>0.34</v>
      </c>
      <c r="F97">
        <v>1.5</v>
      </c>
      <c r="G97">
        <v>250</v>
      </c>
      <c r="H97">
        <v>1.54</v>
      </c>
      <c r="I97">
        <v>1</v>
      </c>
      <c r="J97">
        <f t="shared" si="0"/>
        <v>133.22999999999999</v>
      </c>
      <c r="K97">
        <f t="shared" si="1"/>
        <v>2.2204999999999999</v>
      </c>
      <c r="L97">
        <f t="shared" si="2"/>
        <v>0.23799999999999999</v>
      </c>
      <c r="M97">
        <f t="shared" si="3"/>
        <v>1900000</v>
      </c>
      <c r="N97">
        <f t="shared" si="4"/>
        <v>2.8383341627576502</v>
      </c>
      <c r="O97">
        <f t="shared" si="5"/>
        <v>669406.73333333328</v>
      </c>
    </row>
    <row r="98" spans="1:16" ht="13.9" customHeight="1" x14ac:dyDescent="0.2">
      <c r="A98" t="s">
        <v>215</v>
      </c>
      <c r="B98" t="s">
        <v>220</v>
      </c>
      <c r="C98" t="s">
        <v>15</v>
      </c>
      <c r="D98">
        <v>2</v>
      </c>
      <c r="E98">
        <v>1.5</v>
      </c>
      <c r="F98">
        <v>1.5</v>
      </c>
      <c r="G98">
        <v>250</v>
      </c>
      <c r="H98">
        <v>1.1599999999999999</v>
      </c>
      <c r="I98">
        <v>1.1599999999999999</v>
      </c>
      <c r="J98">
        <f t="shared" si="0"/>
        <v>151.5934645461341</v>
      </c>
      <c r="K98">
        <f t="shared" si="1"/>
        <v>2.5265577424355685</v>
      </c>
      <c r="L98">
        <f t="shared" si="2"/>
        <v>1.0499999999999998</v>
      </c>
      <c r="M98">
        <f t="shared" si="3"/>
        <v>2320000</v>
      </c>
      <c r="N98">
        <f t="shared" si="4"/>
        <v>0.37694802552300655</v>
      </c>
      <c r="O98">
        <f t="shared" si="5"/>
        <v>6154694.6605730439</v>
      </c>
      <c r="P98" t="s">
        <v>221</v>
      </c>
    </row>
    <row r="99" spans="1:16" ht="13.9" customHeight="1" x14ac:dyDescent="0.2">
      <c r="A99" t="s">
        <v>222</v>
      </c>
      <c r="B99" t="s">
        <v>223</v>
      </c>
      <c r="C99" t="s">
        <v>15</v>
      </c>
      <c r="D99">
        <v>1.5269999999999999</v>
      </c>
      <c r="E99">
        <v>0.14699999999999999</v>
      </c>
      <c r="F99">
        <v>0.14699999999999999</v>
      </c>
      <c r="G99">
        <v>20.41</v>
      </c>
      <c r="H99">
        <v>4</v>
      </c>
      <c r="I99">
        <v>4</v>
      </c>
      <c r="J99">
        <f t="shared" si="0"/>
        <v>445.03505402176648</v>
      </c>
      <c r="K99">
        <f t="shared" si="1"/>
        <v>7.4172509003627747</v>
      </c>
      <c r="L99">
        <f t="shared" si="2"/>
        <v>0.10289999999999999</v>
      </c>
      <c r="M99">
        <f t="shared" si="3"/>
        <v>6108000</v>
      </c>
      <c r="N99">
        <f t="shared" si="4"/>
        <v>1.5198462088271008</v>
      </c>
      <c r="O99">
        <f t="shared" si="5"/>
        <v>4018827.6711981799</v>
      </c>
      <c r="P99" t="s">
        <v>224</v>
      </c>
    </row>
  </sheetData>
  <phoneticPr fontId="12" type="noConversion"/>
  <pageMargins left="0" right="0" top="0.39374999999999999" bottom="0.39374999999999999" header="0" footer="0"/>
  <pageSetup paperSize="9" orientation="portrait" horizontalDpi="300" verticalDpi="300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T43"/>
  <sheetViews>
    <sheetView zoomScaleNormal="100" workbookViewId="0">
      <pane xSplit="1" topLeftCell="B1" activePane="topRight" state="frozen"/>
      <selection pane="topRight" activeCell="A5" sqref="A5"/>
    </sheetView>
  </sheetViews>
  <sheetFormatPr defaultColWidth="8.625" defaultRowHeight="14.25" x14ac:dyDescent="0.2"/>
  <cols>
    <col min="1" max="1" width="34.25" style="1" customWidth="1"/>
    <col min="2" max="2" width="16.25" style="1" customWidth="1"/>
    <col min="3" max="3" width="37.125" style="1" customWidth="1"/>
    <col min="4" max="4" width="12.625" style="1" customWidth="1"/>
    <col min="5" max="8" width="10.625" style="1" customWidth="1"/>
    <col min="9" max="9" width="14.375" style="1" customWidth="1"/>
    <col min="10" max="10" width="15" style="1" customWidth="1"/>
    <col min="11" max="11" width="8.625" style="1"/>
    <col min="12" max="12" width="7.125" style="1" customWidth="1"/>
    <col min="13" max="14" width="18.625" style="1" customWidth="1"/>
    <col min="15" max="15" width="45.625" style="1" customWidth="1"/>
    <col min="16" max="56" width="10.625" style="1" customWidth="1"/>
    <col min="57" max="57" width="9" style="1" customWidth="1"/>
    <col min="58" max="1008" width="8.625" style="1"/>
  </cols>
  <sheetData>
    <row r="1" spans="1:15" s="2" customFormat="1" ht="12.75" x14ac:dyDescent="0.2">
      <c r="A1" s="2" t="s">
        <v>1</v>
      </c>
      <c r="B1" s="2" t="s">
        <v>225</v>
      </c>
      <c r="C1" s="2" t="s">
        <v>226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227</v>
      </c>
      <c r="L1" s="2" t="s">
        <v>228</v>
      </c>
      <c r="M1" s="2" t="s">
        <v>9</v>
      </c>
      <c r="N1" s="2" t="s">
        <v>229</v>
      </c>
      <c r="O1" s="2" t="s">
        <v>10</v>
      </c>
    </row>
    <row r="2" spans="1:15" s="2" customFormat="1" ht="12.75" x14ac:dyDescent="0.2">
      <c r="A2" s="1" t="s">
        <v>335</v>
      </c>
      <c r="B2" s="1" t="s">
        <v>336</v>
      </c>
      <c r="C2" s="1" t="s">
        <v>337</v>
      </c>
      <c r="D2" s="1" t="s">
        <v>323</v>
      </c>
      <c r="E2" s="1">
        <v>0.25</v>
      </c>
      <c r="F2" s="1"/>
      <c r="G2" s="1"/>
      <c r="H2" s="1">
        <v>0.44</v>
      </c>
      <c r="I2" s="1">
        <v>0.37</v>
      </c>
      <c r="J2" s="1">
        <f>I2</f>
        <v>0.37</v>
      </c>
      <c r="K2" s="1">
        <v>8</v>
      </c>
      <c r="L2" s="1">
        <v>0.20977000000000001</v>
      </c>
      <c r="M2" s="1">
        <f t="shared" ref="M2:M43" si="0">J2*E2/0.000001</f>
        <v>92500</v>
      </c>
      <c r="N2" s="1">
        <f t="shared" ref="N2:N43" si="1">(4*PI()*K2*L2*E2^2)/0.000001</f>
        <v>1318023.7818870619</v>
      </c>
      <c r="O2" s="1" t="s">
        <v>338</v>
      </c>
    </row>
    <row r="3" spans="1:15" x14ac:dyDescent="0.2">
      <c r="A3" s="1" t="s">
        <v>239</v>
      </c>
      <c r="B3" s="1" t="s">
        <v>240</v>
      </c>
      <c r="C3" s="1" t="s">
        <v>241</v>
      </c>
      <c r="D3" s="1" t="s">
        <v>232</v>
      </c>
      <c r="E3" s="1">
        <v>0.7</v>
      </c>
      <c r="F3" s="1">
        <v>0.32</v>
      </c>
      <c r="G3" s="1">
        <v>0.15</v>
      </c>
      <c r="H3" s="1">
        <v>4.9950000000000001</v>
      </c>
      <c r="I3" s="1">
        <v>0.45</v>
      </c>
      <c r="J3" s="1">
        <f>I3</f>
        <v>0.45</v>
      </c>
      <c r="K3" s="1">
        <v>1.65</v>
      </c>
      <c r="L3" s="1">
        <v>8.2000000000000003E-2</v>
      </c>
      <c r="M3" s="1">
        <f t="shared" si="0"/>
        <v>315000</v>
      </c>
      <c r="N3" s="1">
        <f t="shared" si="1"/>
        <v>833112.67262017005</v>
      </c>
      <c r="O3" s="1" t="s">
        <v>242</v>
      </c>
    </row>
    <row r="4" spans="1:15" x14ac:dyDescent="0.2">
      <c r="A4" s="1" t="s">
        <v>348</v>
      </c>
      <c r="B4" s="1" t="s">
        <v>244</v>
      </c>
      <c r="C4" s="1" t="s">
        <v>349</v>
      </c>
      <c r="D4" s="1" t="s">
        <v>323</v>
      </c>
      <c r="E4" s="1">
        <v>0.29499999999999998</v>
      </c>
      <c r="F4" s="1">
        <v>0.12</v>
      </c>
      <c r="G4" s="1">
        <v>0.17</v>
      </c>
      <c r="H4" s="1">
        <v>1.6040000000000001</v>
      </c>
      <c r="I4" s="1">
        <v>2.0000000000000001E-4</v>
      </c>
      <c r="J4" s="1">
        <f>I4</f>
        <v>2.0000000000000001E-4</v>
      </c>
      <c r="K4" s="1">
        <v>1</v>
      </c>
      <c r="L4" s="1">
        <v>7.3999999999999996E-2</v>
      </c>
      <c r="M4" s="1">
        <f t="shared" si="0"/>
        <v>59</v>
      </c>
      <c r="N4" s="1">
        <f t="shared" si="1"/>
        <v>80925.541800880907</v>
      </c>
      <c r="O4" s="1" t="s">
        <v>350</v>
      </c>
    </row>
    <row r="5" spans="1:15" x14ac:dyDescent="0.2">
      <c r="A5" s="1" t="s">
        <v>364</v>
      </c>
      <c r="B5" s="1" t="s">
        <v>365</v>
      </c>
      <c r="C5" s="1" t="s">
        <v>366</v>
      </c>
      <c r="D5" s="1" t="s">
        <v>354</v>
      </c>
      <c r="E5" s="1">
        <v>0.50600000000000001</v>
      </c>
      <c r="F5" s="1">
        <v>0.248</v>
      </c>
      <c r="G5" s="1">
        <v>0.128</v>
      </c>
      <c r="H5" s="1">
        <v>1.08</v>
      </c>
      <c r="I5" s="1">
        <v>0.42503999999999997</v>
      </c>
      <c r="J5" s="1">
        <v>4.3478000000000003E-2</v>
      </c>
      <c r="K5" s="1">
        <v>2</v>
      </c>
      <c r="L5" s="1">
        <f>ROUND(TAN(RADIANS(22.7/2))*(E5/2),2)</f>
        <v>0.05</v>
      </c>
      <c r="M5" s="1">
        <f t="shared" si="0"/>
        <v>21999.868000000002</v>
      </c>
      <c r="N5" s="1">
        <f t="shared" si="1"/>
        <v>321744.3266618065</v>
      </c>
      <c r="O5" s="1" t="s">
        <v>367</v>
      </c>
    </row>
    <row r="6" spans="1:15" x14ac:dyDescent="0.2">
      <c r="A6" s="1" t="s">
        <v>364</v>
      </c>
      <c r="B6" s="1" t="s">
        <v>368</v>
      </c>
      <c r="C6" s="1" t="s">
        <v>366</v>
      </c>
      <c r="D6" s="1" t="s">
        <v>354</v>
      </c>
      <c r="E6" s="1">
        <v>0.31</v>
      </c>
      <c r="H6" s="1">
        <v>0.5</v>
      </c>
      <c r="I6" s="1">
        <v>0.67</v>
      </c>
      <c r="J6" s="1">
        <v>0.67</v>
      </c>
      <c r="K6" s="1">
        <v>3</v>
      </c>
      <c r="L6" s="1">
        <v>0.16</v>
      </c>
      <c r="M6" s="1">
        <f t="shared" si="0"/>
        <v>207700.00000000003</v>
      </c>
      <c r="N6" s="1">
        <f t="shared" si="1"/>
        <v>579661.54369915999</v>
      </c>
      <c r="O6" s="1" t="s">
        <v>369</v>
      </c>
    </row>
    <row r="7" spans="1:15" x14ac:dyDescent="0.2">
      <c r="A7" s="1" t="s">
        <v>339</v>
      </c>
      <c r="B7" s="1" t="s">
        <v>297</v>
      </c>
      <c r="C7" s="1" t="s">
        <v>340</v>
      </c>
      <c r="D7" s="1" t="s">
        <v>323</v>
      </c>
      <c r="E7" s="1">
        <v>5.3999999999999999E-2</v>
      </c>
      <c r="F7" s="1">
        <v>8.0000000000000002E-3</v>
      </c>
      <c r="G7" s="1">
        <v>8.0000000000000002E-3</v>
      </c>
      <c r="H7" s="1">
        <v>0.72</v>
      </c>
      <c r="I7" s="1">
        <v>4.6699999999999997E-3</v>
      </c>
      <c r="J7" s="1">
        <f>I7</f>
        <v>4.6699999999999997E-3</v>
      </c>
      <c r="K7" s="1">
        <v>4.7</v>
      </c>
      <c r="L7" s="1">
        <v>1.2960000000000001E-3</v>
      </c>
      <c r="M7" s="1">
        <f t="shared" si="0"/>
        <v>252.17999999999998</v>
      </c>
      <c r="N7" s="1">
        <f t="shared" si="1"/>
        <v>223.20311081691423</v>
      </c>
      <c r="O7" s="1" t="s">
        <v>341</v>
      </c>
    </row>
    <row r="8" spans="1:15" x14ac:dyDescent="0.2">
      <c r="A8" s="1" t="s">
        <v>237</v>
      </c>
      <c r="B8" s="1" t="s">
        <v>230</v>
      </c>
      <c r="C8" s="1" t="s">
        <v>231</v>
      </c>
      <c r="D8" s="1" t="s">
        <v>232</v>
      </c>
      <c r="E8" s="1">
        <v>0.77</v>
      </c>
      <c r="I8" s="1">
        <v>0.249</v>
      </c>
      <c r="J8" s="1">
        <v>0.222</v>
      </c>
      <c r="K8" s="1">
        <v>1</v>
      </c>
      <c r="L8" s="1">
        <v>0.66100000000000003</v>
      </c>
      <c r="M8" s="1">
        <f t="shared" si="0"/>
        <v>170940.00000000003</v>
      </c>
      <c r="N8" s="1">
        <f t="shared" si="1"/>
        <v>4924847.3517245986</v>
      </c>
      <c r="O8" s="1" t="s">
        <v>238</v>
      </c>
    </row>
    <row r="9" spans="1:15" x14ac:dyDescent="0.2">
      <c r="A9" s="1" t="s">
        <v>270</v>
      </c>
      <c r="B9" s="1" t="s">
        <v>271</v>
      </c>
      <c r="C9" s="1" t="s">
        <v>272</v>
      </c>
      <c r="D9" s="1" t="s">
        <v>245</v>
      </c>
      <c r="E9" s="1">
        <v>0.5</v>
      </c>
      <c r="F9" s="1">
        <v>7.5999999999999998E-2</v>
      </c>
      <c r="G9" s="1">
        <v>0.215</v>
      </c>
      <c r="H9" s="1">
        <v>3.1</v>
      </c>
      <c r="I9" s="1">
        <v>0.68</v>
      </c>
      <c r="J9" s="1">
        <f>I9</f>
        <v>0.68</v>
      </c>
      <c r="K9" s="1">
        <v>2.5</v>
      </c>
      <c r="L9" s="1">
        <v>0.18198</v>
      </c>
      <c r="M9" s="1">
        <f t="shared" si="0"/>
        <v>340000.00000000006</v>
      </c>
      <c r="N9" s="1">
        <f t="shared" si="1"/>
        <v>1429267.5777506765</v>
      </c>
      <c r="O9" s="1" t="s">
        <v>273</v>
      </c>
    </row>
    <row r="10" spans="1:15" x14ac:dyDescent="0.2">
      <c r="A10" s="1" t="s">
        <v>293</v>
      </c>
      <c r="B10" s="1" t="s">
        <v>294</v>
      </c>
      <c r="C10" s="1" t="s">
        <v>295</v>
      </c>
      <c r="D10" s="1" t="s">
        <v>245</v>
      </c>
      <c r="E10" s="1">
        <v>9.6000000000000002E-2</v>
      </c>
      <c r="F10" s="1">
        <v>2.4E-2</v>
      </c>
      <c r="G10" s="1">
        <v>2.5000000000000001E-2</v>
      </c>
      <c r="H10" s="1">
        <v>1.6199999999999999E-2</v>
      </c>
      <c r="I10" s="1">
        <v>2.3599999999999999E-2</v>
      </c>
      <c r="J10" s="1">
        <v>2.3599999999999999E-2</v>
      </c>
      <c r="K10" s="1">
        <v>4</v>
      </c>
      <c r="L10" s="1">
        <v>1.2999999999999999E-2</v>
      </c>
      <c r="M10" s="1">
        <f t="shared" si="0"/>
        <v>2265.6</v>
      </c>
      <c r="N10" s="1">
        <f t="shared" si="1"/>
        <v>6022.2069222605751</v>
      </c>
      <c r="O10" s="1" t="s">
        <v>296</v>
      </c>
    </row>
    <row r="11" spans="1:15" x14ac:dyDescent="0.2">
      <c r="A11" s="1" t="s">
        <v>381</v>
      </c>
      <c r="B11" s="1" t="s">
        <v>382</v>
      </c>
      <c r="C11" s="1" t="s">
        <v>276</v>
      </c>
      <c r="D11" s="1" t="s">
        <v>373</v>
      </c>
      <c r="E11" s="1">
        <v>0.32</v>
      </c>
      <c r="F11" s="1">
        <v>6.4000000000000001E-2</v>
      </c>
      <c r="G11" s="1">
        <v>0.1</v>
      </c>
      <c r="I11" s="1">
        <v>0.17299999999999999</v>
      </c>
      <c r="J11" s="1">
        <v>0.17299999999999999</v>
      </c>
      <c r="K11" s="1">
        <v>2.4</v>
      </c>
      <c r="L11" s="1">
        <v>0.14099999999999999</v>
      </c>
      <c r="M11" s="1">
        <f t="shared" si="0"/>
        <v>55360</v>
      </c>
      <c r="N11" s="1">
        <f t="shared" si="1"/>
        <v>435451.88514807238</v>
      </c>
      <c r="O11" s="1" t="s">
        <v>383</v>
      </c>
    </row>
    <row r="12" spans="1:15" x14ac:dyDescent="0.2">
      <c r="A12" s="1" t="s">
        <v>308</v>
      </c>
      <c r="B12" s="1" t="s">
        <v>309</v>
      </c>
      <c r="C12" s="1" t="s">
        <v>276</v>
      </c>
      <c r="D12" s="1" t="s">
        <v>245</v>
      </c>
      <c r="E12" s="1">
        <v>0.14599999999999999</v>
      </c>
      <c r="F12" s="1">
        <v>1.7000000000000001E-2</v>
      </c>
      <c r="G12" s="1">
        <v>3.4000000000000002E-2</v>
      </c>
      <c r="H12" s="1">
        <v>0.03</v>
      </c>
      <c r="I12" s="1">
        <v>0.112</v>
      </c>
      <c r="J12" s="1">
        <f>I12</f>
        <v>0.112</v>
      </c>
      <c r="K12" s="1">
        <v>2.5</v>
      </c>
      <c r="L12" s="1">
        <v>1.299E-2</v>
      </c>
      <c r="M12" s="1">
        <f t="shared" si="0"/>
        <v>16352</v>
      </c>
      <c r="N12" s="1">
        <f t="shared" si="1"/>
        <v>8698.9079516092133</v>
      </c>
      <c r="O12" s="1" t="s">
        <v>310</v>
      </c>
    </row>
    <row r="13" spans="1:15" x14ac:dyDescent="0.2">
      <c r="A13" s="1" t="s">
        <v>274</v>
      </c>
      <c r="B13" s="1" t="s">
        <v>275</v>
      </c>
      <c r="C13" s="1" t="s">
        <v>276</v>
      </c>
      <c r="D13" s="1" t="s">
        <v>245</v>
      </c>
      <c r="E13" s="1">
        <v>0.42</v>
      </c>
      <c r="I13" s="1">
        <v>0.29820000000000002</v>
      </c>
      <c r="J13" s="1">
        <v>0.29820000000000002</v>
      </c>
      <c r="K13" s="1">
        <v>1.5</v>
      </c>
      <c r="L13" s="1">
        <v>0.22</v>
      </c>
      <c r="M13" s="1">
        <f t="shared" si="0"/>
        <v>125244</v>
      </c>
      <c r="N13" s="1">
        <f t="shared" si="1"/>
        <v>731513.56620307593</v>
      </c>
      <c r="O13" s="1" t="s">
        <v>277</v>
      </c>
    </row>
    <row r="14" spans="1:15" x14ac:dyDescent="0.2">
      <c r="A14" s="1" t="s">
        <v>311</v>
      </c>
      <c r="B14" s="1" t="s">
        <v>312</v>
      </c>
      <c r="C14" s="1" t="s">
        <v>313</v>
      </c>
      <c r="D14" s="1" t="s">
        <v>245</v>
      </c>
      <c r="E14" s="1">
        <v>0.58799999999999997</v>
      </c>
      <c r="F14" s="1">
        <v>0.08</v>
      </c>
      <c r="G14" s="1">
        <v>0.95</v>
      </c>
      <c r="H14" s="1">
        <v>2.79</v>
      </c>
      <c r="I14" s="1">
        <v>0.35499999999999998</v>
      </c>
      <c r="J14" s="1">
        <f>I14</f>
        <v>0.35499999999999998</v>
      </c>
      <c r="K14" s="1">
        <v>1.5</v>
      </c>
      <c r="L14" s="1">
        <v>0.1</v>
      </c>
      <c r="M14" s="1">
        <f t="shared" si="0"/>
        <v>208740</v>
      </c>
      <c r="N14" s="1">
        <f t="shared" si="1"/>
        <v>651712.08625364956</v>
      </c>
      <c r="O14" s="1" t="s">
        <v>314</v>
      </c>
    </row>
    <row r="15" spans="1:15" x14ac:dyDescent="0.2">
      <c r="A15" s="1" t="s">
        <v>320</v>
      </c>
      <c r="B15" s="1" t="s">
        <v>321</v>
      </c>
      <c r="C15" s="1" t="s">
        <v>322</v>
      </c>
      <c r="D15" s="1" t="s">
        <v>323</v>
      </c>
      <c r="E15" s="1">
        <v>0.12</v>
      </c>
      <c r="H15" s="1">
        <v>0.13800000000000001</v>
      </c>
      <c r="I15" s="1">
        <v>0.122</v>
      </c>
      <c r="J15" s="1">
        <v>0.69</v>
      </c>
      <c r="K15" s="1">
        <v>1.75</v>
      </c>
      <c r="L15" s="1">
        <v>0.1</v>
      </c>
      <c r="M15" s="1">
        <f t="shared" si="0"/>
        <v>82799.999999999985</v>
      </c>
      <c r="N15" s="1">
        <f t="shared" si="1"/>
        <v>31667.253948185116</v>
      </c>
      <c r="O15" s="1" t="s">
        <v>324</v>
      </c>
    </row>
    <row r="16" spans="1:15" x14ac:dyDescent="0.2">
      <c r="A16" s="1" t="s">
        <v>282</v>
      </c>
      <c r="B16" s="1" t="s">
        <v>283</v>
      </c>
      <c r="C16" s="1" t="s">
        <v>284</v>
      </c>
      <c r="D16" s="1" t="s">
        <v>245</v>
      </c>
      <c r="E16" s="1">
        <v>0.17</v>
      </c>
      <c r="G16" s="1">
        <v>0.06</v>
      </c>
      <c r="I16" s="1">
        <v>0.104</v>
      </c>
      <c r="J16" s="1">
        <f>I16</f>
        <v>0.104</v>
      </c>
      <c r="K16" s="1">
        <v>1.6</v>
      </c>
      <c r="L16" s="1">
        <v>0.25</v>
      </c>
      <c r="M16" s="1">
        <f t="shared" si="0"/>
        <v>17680.000000000004</v>
      </c>
      <c r="N16" s="1">
        <f t="shared" si="1"/>
        <v>145267.24430199206</v>
      </c>
      <c r="O16" s="1" t="s">
        <v>285</v>
      </c>
    </row>
    <row r="17" spans="1:15" x14ac:dyDescent="0.2">
      <c r="A17" s="1" t="s">
        <v>286</v>
      </c>
      <c r="B17" s="1" t="s">
        <v>287</v>
      </c>
      <c r="C17" s="1" t="s">
        <v>288</v>
      </c>
      <c r="D17" s="1" t="s">
        <v>245</v>
      </c>
      <c r="E17" s="1">
        <v>5.7000000000000002E-2</v>
      </c>
      <c r="F17" s="1">
        <v>0.01</v>
      </c>
      <c r="G17" s="1">
        <v>7.0000000000000001E-3</v>
      </c>
      <c r="H17" s="1">
        <v>1.4499999999999999E-3</v>
      </c>
      <c r="I17" s="1">
        <v>7.0000000000000001E-3</v>
      </c>
      <c r="J17" s="1">
        <v>4.4999999999999997E-3</v>
      </c>
      <c r="K17" s="1">
        <v>9</v>
      </c>
      <c r="L17" s="1">
        <v>8.77E-3</v>
      </c>
      <c r="M17" s="1">
        <f t="shared" si="0"/>
        <v>256.5</v>
      </c>
      <c r="N17" s="1">
        <f t="shared" si="1"/>
        <v>3222.5649422893598</v>
      </c>
      <c r="O17" s="1" t="s">
        <v>289</v>
      </c>
    </row>
    <row r="18" spans="1:15" x14ac:dyDescent="0.2">
      <c r="A18" s="1" t="s">
        <v>345</v>
      </c>
      <c r="B18" s="1" t="s">
        <v>346</v>
      </c>
      <c r="C18" s="1" t="s">
        <v>345</v>
      </c>
      <c r="D18" s="1" t="s">
        <v>323</v>
      </c>
      <c r="E18" s="1">
        <v>0.26</v>
      </c>
      <c r="F18" s="1">
        <v>6.5000000000000002E-2</v>
      </c>
      <c r="G18" s="1">
        <v>0.115</v>
      </c>
      <c r="H18" s="1">
        <v>0.53</v>
      </c>
      <c r="I18" s="1">
        <v>3.2000000000000001E-2</v>
      </c>
      <c r="J18" s="1">
        <f>I18</f>
        <v>3.2000000000000001E-2</v>
      </c>
      <c r="K18" s="1">
        <v>0.32</v>
      </c>
      <c r="L18" s="1">
        <v>0.34599999999999997</v>
      </c>
      <c r="M18" s="1">
        <f t="shared" si="0"/>
        <v>8320.0000000000018</v>
      </c>
      <c r="N18" s="1">
        <f t="shared" si="1"/>
        <v>94055.162278916905</v>
      </c>
      <c r="O18" s="1" t="s">
        <v>347</v>
      </c>
    </row>
    <row r="19" spans="1:15" x14ac:dyDescent="0.2">
      <c r="A19" s="1" t="s">
        <v>326</v>
      </c>
      <c r="B19" s="1" t="s">
        <v>327</v>
      </c>
      <c r="C19" s="1" t="s">
        <v>305</v>
      </c>
      <c r="D19" s="1" t="s">
        <v>323</v>
      </c>
      <c r="E19" s="1">
        <v>0.30399999999999999</v>
      </c>
      <c r="F19" s="1">
        <v>7.4200000000000002E-2</v>
      </c>
      <c r="G19" s="1">
        <v>8.7999999999999995E-2</v>
      </c>
      <c r="H19" s="1">
        <v>1.196</v>
      </c>
      <c r="I19" s="1">
        <v>0.19</v>
      </c>
      <c r="J19" s="1">
        <f>I19</f>
        <v>0.19</v>
      </c>
      <c r="K19" s="1">
        <v>4.5</v>
      </c>
      <c r="L19" s="1">
        <v>7.8399999999999997E-2</v>
      </c>
      <c r="M19" s="1">
        <f t="shared" si="0"/>
        <v>57760</v>
      </c>
      <c r="N19" s="1">
        <f t="shared" si="1"/>
        <v>409718.53172256658</v>
      </c>
      <c r="O19" s="1" t="s">
        <v>328</v>
      </c>
    </row>
    <row r="20" spans="1:15" x14ac:dyDescent="0.2">
      <c r="A20" s="1" t="s">
        <v>304</v>
      </c>
      <c r="B20" s="1" t="s">
        <v>243</v>
      </c>
      <c r="C20" s="1" t="s">
        <v>305</v>
      </c>
      <c r="D20" s="1" t="s">
        <v>245</v>
      </c>
      <c r="E20" s="1">
        <v>0.4</v>
      </c>
      <c r="F20" s="1">
        <v>0.15</v>
      </c>
      <c r="G20" s="1">
        <v>0.04</v>
      </c>
      <c r="I20" s="1">
        <v>3.2000000000000001E-2</v>
      </c>
      <c r="J20" s="1">
        <v>3.2000000000000001E-2</v>
      </c>
      <c r="K20" s="1">
        <v>1.4</v>
      </c>
      <c r="L20" s="1">
        <v>1E-3</v>
      </c>
      <c r="M20" s="1">
        <f t="shared" si="0"/>
        <v>12800.000000000002</v>
      </c>
      <c r="N20" s="1">
        <f t="shared" si="1"/>
        <v>2814.8670176164551</v>
      </c>
      <c r="O20" s="1" t="s">
        <v>306</v>
      </c>
    </row>
    <row r="21" spans="1:15" x14ac:dyDescent="0.2">
      <c r="A21" s="1" t="s">
        <v>260</v>
      </c>
      <c r="B21" s="1" t="s">
        <v>261</v>
      </c>
      <c r="C21" s="1" t="s">
        <v>262</v>
      </c>
      <c r="D21" s="1" t="s">
        <v>245</v>
      </c>
      <c r="E21" s="1">
        <v>0.34499999999999997</v>
      </c>
      <c r="H21" s="1">
        <v>0.59699999999999998</v>
      </c>
      <c r="I21" s="1">
        <v>0.57999999999999996</v>
      </c>
      <c r="J21" s="1">
        <v>0.57999999999999996</v>
      </c>
      <c r="K21" s="1">
        <v>16</v>
      </c>
      <c r="L21" s="1">
        <v>3.04E-2</v>
      </c>
      <c r="M21" s="1">
        <f t="shared" si="0"/>
        <v>200099.99999999997</v>
      </c>
      <c r="N21" s="1">
        <f t="shared" si="1"/>
        <v>727514.44441876234</v>
      </c>
      <c r="O21" s="1" t="s">
        <v>263</v>
      </c>
    </row>
    <row r="22" spans="1:15" x14ac:dyDescent="0.2">
      <c r="A22" s="1" t="s">
        <v>360</v>
      </c>
      <c r="B22" s="1" t="s">
        <v>361</v>
      </c>
      <c r="C22" s="1" t="s">
        <v>362</v>
      </c>
      <c r="D22" s="1" t="s">
        <v>354</v>
      </c>
      <c r="E22" s="1">
        <v>0.3</v>
      </c>
      <c r="G22" s="1">
        <v>0.1</v>
      </c>
      <c r="I22" s="1">
        <v>5.1999999999999998E-2</v>
      </c>
      <c r="J22" s="1">
        <f>I22</f>
        <v>5.1999999999999998E-2</v>
      </c>
      <c r="K22" s="1">
        <v>1.57</v>
      </c>
      <c r="L22" s="1">
        <v>4.3E-3</v>
      </c>
      <c r="M22" s="1">
        <f t="shared" si="0"/>
        <v>15600</v>
      </c>
      <c r="N22" s="1">
        <f t="shared" si="1"/>
        <v>7635.2011215784905</v>
      </c>
      <c r="O22" s="1" t="s">
        <v>363</v>
      </c>
    </row>
    <row r="23" spans="1:15" x14ac:dyDescent="0.2">
      <c r="A23" s="1" t="s">
        <v>376</v>
      </c>
      <c r="B23" s="1" t="s">
        <v>275</v>
      </c>
      <c r="C23" s="1" t="s">
        <v>307</v>
      </c>
      <c r="D23" s="1" t="s">
        <v>373</v>
      </c>
      <c r="E23" s="1">
        <v>0.223</v>
      </c>
      <c r="F23" s="1">
        <v>5.7000000000000002E-3</v>
      </c>
      <c r="H23" s="1">
        <v>0.28999999999999998</v>
      </c>
      <c r="I23" s="1">
        <v>0.02</v>
      </c>
      <c r="J23" s="1">
        <f>I23</f>
        <v>0.02</v>
      </c>
      <c r="K23" s="1">
        <v>1</v>
      </c>
      <c r="L23" s="1">
        <v>8.9686000000000002E-2</v>
      </c>
      <c r="M23" s="1">
        <f t="shared" si="0"/>
        <v>4460.0000000000009</v>
      </c>
      <c r="N23" s="1">
        <f t="shared" si="1"/>
        <v>56045.951289427678</v>
      </c>
      <c r="O23" s="1" t="s">
        <v>377</v>
      </c>
    </row>
    <row r="24" spans="1:15" x14ac:dyDescent="0.2">
      <c r="A24" s="1" t="s">
        <v>264</v>
      </c>
      <c r="B24" s="1" t="s">
        <v>265</v>
      </c>
      <c r="C24" s="1" t="s">
        <v>266</v>
      </c>
      <c r="D24" s="1" t="s">
        <v>245</v>
      </c>
      <c r="E24" s="1">
        <v>0.82</v>
      </c>
      <c r="H24" s="1">
        <v>3.63</v>
      </c>
      <c r="I24" s="1">
        <v>0.09</v>
      </c>
      <c r="J24" s="1">
        <v>0.09</v>
      </c>
      <c r="K24" s="1">
        <v>1</v>
      </c>
      <c r="L24" s="1">
        <v>0.36580000000000001</v>
      </c>
      <c r="M24" s="1">
        <f t="shared" si="0"/>
        <v>73800</v>
      </c>
      <c r="N24" s="1">
        <f t="shared" si="1"/>
        <v>3090873.77648059</v>
      </c>
      <c r="O24" s="1" t="s">
        <v>267</v>
      </c>
    </row>
    <row r="25" spans="1:15" x14ac:dyDescent="0.2">
      <c r="A25" s="1" t="s">
        <v>268</v>
      </c>
      <c r="B25" s="1" t="s">
        <v>258</v>
      </c>
      <c r="C25" s="1" t="s">
        <v>259</v>
      </c>
      <c r="D25" s="1" t="s">
        <v>245</v>
      </c>
      <c r="E25" s="1">
        <v>0.5</v>
      </c>
      <c r="F25" s="1">
        <v>6.5000000000000002E-2</v>
      </c>
      <c r="G25" s="1">
        <v>0.15</v>
      </c>
      <c r="H25" s="1">
        <v>2.5</v>
      </c>
      <c r="I25" s="1">
        <v>0.05</v>
      </c>
      <c r="J25" s="1">
        <v>0.05</v>
      </c>
      <c r="K25" s="1">
        <v>2.6</v>
      </c>
      <c r="L25" s="1">
        <f>ROUND(TAN(RADIANS(30))*(E25/3),2)</f>
        <v>0.1</v>
      </c>
      <c r="M25" s="1">
        <f t="shared" si="0"/>
        <v>25000.000000000004</v>
      </c>
      <c r="N25" s="1">
        <f t="shared" si="1"/>
        <v>816814.08993334626</v>
      </c>
      <c r="O25" s="1" t="s">
        <v>269</v>
      </c>
    </row>
    <row r="26" spans="1:15" x14ac:dyDescent="0.2">
      <c r="A26" s="1" t="s">
        <v>342</v>
      </c>
      <c r="B26" s="1" t="s">
        <v>343</v>
      </c>
      <c r="C26" s="1" t="s">
        <v>342</v>
      </c>
      <c r="D26" s="1" t="s">
        <v>323</v>
      </c>
      <c r="E26" s="1">
        <v>0.33700000000000002</v>
      </c>
      <c r="I26" s="1">
        <v>0.157</v>
      </c>
      <c r="J26" s="1">
        <f>I26</f>
        <v>0.157</v>
      </c>
      <c r="K26" s="1">
        <v>3.125</v>
      </c>
      <c r="L26" s="1">
        <v>0.10654</v>
      </c>
      <c r="M26" s="1">
        <f t="shared" si="0"/>
        <v>52909.000000000007</v>
      </c>
      <c r="N26" s="1">
        <f t="shared" si="1"/>
        <v>475151.80116859946</v>
      </c>
      <c r="O26" s="1" t="s">
        <v>344</v>
      </c>
    </row>
    <row r="27" spans="1:15" x14ac:dyDescent="0.2">
      <c r="A27" s="1" t="s">
        <v>233</v>
      </c>
      <c r="B27" s="1" t="s">
        <v>234</v>
      </c>
      <c r="C27" s="1" t="s">
        <v>235</v>
      </c>
      <c r="D27" s="1" t="s">
        <v>232</v>
      </c>
      <c r="E27" s="1">
        <v>1.6</v>
      </c>
      <c r="H27" s="1">
        <v>14.4</v>
      </c>
      <c r="I27" s="1">
        <v>0.1</v>
      </c>
      <c r="J27" s="1">
        <v>7.4999999999999997E-2</v>
      </c>
      <c r="K27" s="1">
        <v>2.093</v>
      </c>
      <c r="L27" s="1">
        <v>0.125</v>
      </c>
      <c r="M27" s="1">
        <f t="shared" si="0"/>
        <v>120000</v>
      </c>
      <c r="N27" s="1">
        <f t="shared" si="1"/>
        <v>8416452.3826732021</v>
      </c>
      <c r="O27" s="1" t="s">
        <v>236</v>
      </c>
    </row>
    <row r="28" spans="1:15" x14ac:dyDescent="0.2">
      <c r="A28" s="1" t="s">
        <v>290</v>
      </c>
      <c r="B28" s="1" t="s">
        <v>287</v>
      </c>
      <c r="C28" s="1" t="s">
        <v>291</v>
      </c>
      <c r="D28" s="1" t="s">
        <v>245</v>
      </c>
      <c r="E28" s="1">
        <v>2.4</v>
      </c>
      <c r="F28" s="1">
        <v>0.4</v>
      </c>
      <c r="G28" s="1">
        <v>0.7</v>
      </c>
      <c r="H28" s="1">
        <v>200</v>
      </c>
      <c r="I28" s="1">
        <v>0.9</v>
      </c>
      <c r="J28" s="1">
        <f>I28</f>
        <v>0.9</v>
      </c>
      <c r="K28" s="1">
        <v>0.8</v>
      </c>
      <c r="L28" s="1">
        <v>0.11083</v>
      </c>
      <c r="M28" s="1">
        <f t="shared" si="0"/>
        <v>2160000.0000000005</v>
      </c>
      <c r="N28" s="1">
        <f t="shared" si="1"/>
        <v>6417703.7807128802</v>
      </c>
      <c r="O28" s="1" t="s">
        <v>292</v>
      </c>
    </row>
    <row r="29" spans="1:15" x14ac:dyDescent="0.2">
      <c r="A29" s="1" t="s">
        <v>254</v>
      </c>
      <c r="B29" s="1" t="s">
        <v>255</v>
      </c>
      <c r="C29" s="1" t="s">
        <v>256</v>
      </c>
      <c r="D29" s="1" t="s">
        <v>245</v>
      </c>
      <c r="E29" s="1">
        <v>0.69</v>
      </c>
      <c r="F29" s="1">
        <v>0.22</v>
      </c>
      <c r="G29" s="1">
        <v>0.23</v>
      </c>
      <c r="H29" s="1">
        <v>3.4</v>
      </c>
      <c r="I29" s="1">
        <v>0.66</v>
      </c>
      <c r="J29" s="1">
        <v>0.66</v>
      </c>
      <c r="K29" s="1">
        <v>1.4</v>
      </c>
      <c r="L29" s="1">
        <f>ROUND(TAN(RADIANS(20))*(E29/3),2)</f>
        <v>0.08</v>
      </c>
      <c r="M29" s="1">
        <f t="shared" si="0"/>
        <v>455400</v>
      </c>
      <c r="N29" s="1">
        <f t="shared" si="1"/>
        <v>670079.09354359691</v>
      </c>
      <c r="O29" s="1" t="s">
        <v>257</v>
      </c>
    </row>
    <row r="30" spans="1:15" x14ac:dyDescent="0.2">
      <c r="A30" s="1" t="s">
        <v>332</v>
      </c>
      <c r="B30" s="1" t="s">
        <v>333</v>
      </c>
      <c r="C30" s="1" t="s">
        <v>325</v>
      </c>
      <c r="D30" s="1" t="s">
        <v>323</v>
      </c>
      <c r="E30" s="1">
        <v>0.16700000000000001</v>
      </c>
      <c r="F30" s="1">
        <v>2.5999999999999999E-2</v>
      </c>
      <c r="G30" s="1">
        <v>4.8000000000000001E-2</v>
      </c>
      <c r="H30" s="1">
        <v>7.0000000000000007E-2</v>
      </c>
      <c r="I30" s="1">
        <v>0.08</v>
      </c>
      <c r="J30" s="1">
        <v>0.08</v>
      </c>
      <c r="K30" s="1">
        <v>2</v>
      </c>
      <c r="L30" s="1">
        <v>0.1497</v>
      </c>
      <c r="M30" s="1">
        <f t="shared" si="0"/>
        <v>13360.000000000002</v>
      </c>
      <c r="N30" s="1">
        <f t="shared" si="1"/>
        <v>104928.77491312061</v>
      </c>
      <c r="O30" s="1" t="s">
        <v>334</v>
      </c>
    </row>
    <row r="31" spans="1:15" x14ac:dyDescent="0.2">
      <c r="A31" s="1" t="s">
        <v>329</v>
      </c>
      <c r="B31" s="1" t="s">
        <v>294</v>
      </c>
      <c r="C31" s="1" t="s">
        <v>330</v>
      </c>
      <c r="D31" s="1" t="s">
        <v>323</v>
      </c>
      <c r="E31" s="1">
        <v>0.04</v>
      </c>
      <c r="F31" s="1">
        <v>1.2E-2</v>
      </c>
      <c r="G31" s="1">
        <v>1.0999999999999999E-2</v>
      </c>
      <c r="H31" s="1">
        <v>2.15E-3</v>
      </c>
      <c r="I31" s="1">
        <v>6.5000000000000002E-2</v>
      </c>
      <c r="J31" s="1">
        <f>I31</f>
        <v>6.5000000000000002E-2</v>
      </c>
      <c r="K31" s="1">
        <v>5</v>
      </c>
      <c r="L31" s="1">
        <v>0.15579999999999999</v>
      </c>
      <c r="M31" s="1">
        <f t="shared" si="0"/>
        <v>2600.0000000000005</v>
      </c>
      <c r="N31" s="1">
        <f t="shared" si="1"/>
        <v>15662.724333737275</v>
      </c>
      <c r="O31" s="1" t="s">
        <v>331</v>
      </c>
    </row>
    <row r="32" spans="1:15" x14ac:dyDescent="0.2">
      <c r="A32" s="1" t="s">
        <v>378</v>
      </c>
      <c r="B32" s="1" t="s">
        <v>275</v>
      </c>
      <c r="C32" s="1" t="s">
        <v>379</v>
      </c>
      <c r="D32" s="1" t="s">
        <v>373</v>
      </c>
      <c r="E32" s="1">
        <v>0.3</v>
      </c>
      <c r="F32" s="1">
        <v>4.5999999999999999E-2</v>
      </c>
      <c r="G32" s="1">
        <v>8.5999999999999993E-2</v>
      </c>
      <c r="H32" s="1">
        <v>0.45</v>
      </c>
      <c r="I32" s="1">
        <v>0.17399999999999999</v>
      </c>
      <c r="J32" s="1">
        <f>I32</f>
        <v>0.17399999999999999</v>
      </c>
      <c r="K32" s="1">
        <v>30</v>
      </c>
      <c r="L32" s="1">
        <v>4.7100000000000003E-2</v>
      </c>
      <c r="M32" s="1">
        <f t="shared" si="0"/>
        <v>52200</v>
      </c>
      <c r="N32" s="1">
        <f t="shared" si="1"/>
        <v>1598065.3510280561</v>
      </c>
      <c r="O32" s="1" t="s">
        <v>380</v>
      </c>
    </row>
    <row r="33" spans="1:15" x14ac:dyDescent="0.2">
      <c r="A33" s="1" t="s">
        <v>356</v>
      </c>
      <c r="B33" s="1" t="s">
        <v>357</v>
      </c>
      <c r="C33" s="1" t="s">
        <v>358</v>
      </c>
      <c r="D33" s="1" t="s">
        <v>354</v>
      </c>
      <c r="E33" s="1">
        <v>0.22</v>
      </c>
      <c r="F33" s="1">
        <v>0.08</v>
      </c>
      <c r="G33" s="1">
        <v>0.15</v>
      </c>
      <c r="I33" s="1">
        <v>0.161</v>
      </c>
      <c r="J33" s="1">
        <f>I33</f>
        <v>0.161</v>
      </c>
      <c r="K33" s="1">
        <v>1</v>
      </c>
      <c r="L33" s="1">
        <v>0.105</v>
      </c>
      <c r="M33" s="1">
        <f t="shared" si="0"/>
        <v>35420</v>
      </c>
      <c r="N33" s="1">
        <f t="shared" si="1"/>
        <v>63862.295462173315</v>
      </c>
      <c r="O33" s="1" t="s">
        <v>359</v>
      </c>
    </row>
    <row r="34" spans="1:15" x14ac:dyDescent="0.2">
      <c r="A34" s="1" t="s">
        <v>384</v>
      </c>
      <c r="B34" s="1" t="s">
        <v>385</v>
      </c>
      <c r="C34" s="1" t="s">
        <v>386</v>
      </c>
      <c r="D34" s="1" t="s">
        <v>373</v>
      </c>
      <c r="E34" s="1">
        <v>0.7</v>
      </c>
      <c r="H34" s="1">
        <v>7.4260000000000002</v>
      </c>
      <c r="I34" s="1">
        <v>0.28999999999999998</v>
      </c>
      <c r="J34" s="1">
        <f>I34</f>
        <v>0.28999999999999998</v>
      </c>
      <c r="K34" s="1">
        <v>1.5</v>
      </c>
      <c r="L34" s="1">
        <v>8.3599999999999994E-2</v>
      </c>
      <c r="M34" s="1">
        <f t="shared" si="0"/>
        <v>203000</v>
      </c>
      <c r="N34" s="1">
        <f t="shared" si="1"/>
        <v>772153.20876991353</v>
      </c>
      <c r="O34" s="1" t="s">
        <v>387</v>
      </c>
    </row>
    <row r="35" spans="1:15" x14ac:dyDescent="0.2">
      <c r="A35" s="1" t="s">
        <v>250</v>
      </c>
      <c r="B35" s="1" t="s">
        <v>251</v>
      </c>
      <c r="C35" s="1" t="s">
        <v>252</v>
      </c>
      <c r="D35" s="1" t="s">
        <v>245</v>
      </c>
      <c r="E35" s="1">
        <v>0.22</v>
      </c>
      <c r="H35" s="1">
        <v>2.5100000000000001E-2</v>
      </c>
      <c r="I35" s="1">
        <v>1.9E-3</v>
      </c>
      <c r="J35" s="1">
        <v>1.9E-3</v>
      </c>
      <c r="K35" s="1">
        <v>0.33</v>
      </c>
      <c r="L35" s="1">
        <v>0.05</v>
      </c>
      <c r="M35" s="1">
        <f t="shared" si="0"/>
        <v>418.00000000000006</v>
      </c>
      <c r="N35" s="1">
        <f t="shared" si="1"/>
        <v>10035.503572627236</v>
      </c>
      <c r="O35" s="1" t="s">
        <v>253</v>
      </c>
    </row>
    <row r="36" spans="1:15" x14ac:dyDescent="0.2">
      <c r="A36" s="1" t="s">
        <v>278</v>
      </c>
      <c r="B36" s="1" t="s">
        <v>247</v>
      </c>
      <c r="C36" s="1" t="s">
        <v>248</v>
      </c>
      <c r="D36" s="1" t="s">
        <v>245</v>
      </c>
      <c r="E36" s="1">
        <v>0.25</v>
      </c>
      <c r="F36" s="1">
        <v>0.05</v>
      </c>
      <c r="G36" s="1">
        <v>6.2E-2</v>
      </c>
      <c r="H36" s="1">
        <v>0.36699999999999999</v>
      </c>
      <c r="I36" s="1">
        <v>0.7</v>
      </c>
      <c r="J36" s="1">
        <f>I36</f>
        <v>0.7</v>
      </c>
      <c r="K36" s="1">
        <v>6.6</v>
      </c>
      <c r="L36" s="1">
        <v>0.17599999999999999</v>
      </c>
      <c r="M36" s="1">
        <f t="shared" si="0"/>
        <v>175000</v>
      </c>
      <c r="N36" s="1">
        <f t="shared" si="1"/>
        <v>912318.50660247589</v>
      </c>
      <c r="O36" s="1" t="s">
        <v>279</v>
      </c>
    </row>
    <row r="37" spans="1:15" x14ac:dyDescent="0.2">
      <c r="A37" s="1" t="s">
        <v>388</v>
      </c>
      <c r="B37" s="1" t="s">
        <v>298</v>
      </c>
      <c r="C37" s="1" t="s">
        <v>299</v>
      </c>
      <c r="D37" s="1" t="s">
        <v>373</v>
      </c>
      <c r="E37" s="1">
        <v>0.11</v>
      </c>
      <c r="F37" s="1">
        <v>0.02</v>
      </c>
      <c r="G37" s="1">
        <v>4.4999999999999998E-2</v>
      </c>
      <c r="H37" s="1">
        <v>1.498E-2</v>
      </c>
      <c r="I37" s="1">
        <v>0.32500000000000001</v>
      </c>
      <c r="J37" s="1">
        <v>0.22500000000000001</v>
      </c>
      <c r="K37" s="1">
        <v>23</v>
      </c>
      <c r="L37" s="1">
        <v>0.1454</v>
      </c>
      <c r="M37" s="1">
        <f t="shared" si="0"/>
        <v>24750.000000000004</v>
      </c>
      <c r="N37" s="1">
        <f t="shared" si="1"/>
        <v>508495.92496333329</v>
      </c>
      <c r="O37" s="1" t="s">
        <v>389</v>
      </c>
    </row>
    <row r="38" spans="1:15" x14ac:dyDescent="0.2">
      <c r="A38" s="1" t="s">
        <v>246</v>
      </c>
      <c r="B38" s="1" t="s">
        <v>247</v>
      </c>
      <c r="C38" s="1" t="s">
        <v>248</v>
      </c>
      <c r="D38" s="1" t="s">
        <v>245</v>
      </c>
      <c r="E38" s="1">
        <v>0.05</v>
      </c>
      <c r="F38" s="1">
        <v>6.4999999999999997E-3</v>
      </c>
      <c r="G38" s="1">
        <v>4.5999999999999999E-2</v>
      </c>
      <c r="H38" s="1">
        <v>4.6800000000000001E-3</v>
      </c>
      <c r="I38" s="1">
        <v>0.52</v>
      </c>
      <c r="J38" s="1">
        <v>0.52</v>
      </c>
      <c r="K38" s="1">
        <v>19</v>
      </c>
      <c r="L38" s="1">
        <v>0.12</v>
      </c>
      <c r="M38" s="1">
        <f t="shared" si="0"/>
        <v>26000.000000000004</v>
      </c>
      <c r="N38" s="1">
        <f t="shared" si="1"/>
        <v>71628.312501847293</v>
      </c>
      <c r="O38" s="1" t="s">
        <v>249</v>
      </c>
    </row>
    <row r="39" spans="1:15" x14ac:dyDescent="0.2">
      <c r="A39" s="1" t="s">
        <v>280</v>
      </c>
      <c r="B39" s="1" t="s">
        <v>247</v>
      </c>
      <c r="C39" s="1" t="s">
        <v>248</v>
      </c>
      <c r="D39" s="1" t="s">
        <v>245</v>
      </c>
      <c r="E39" s="1">
        <v>0.32</v>
      </c>
      <c r="F39" s="1">
        <v>4.8000000000000001E-2</v>
      </c>
      <c r="G39" s="1">
        <v>0.112</v>
      </c>
      <c r="H39" s="1">
        <v>0.83499999999999996</v>
      </c>
      <c r="I39" s="1">
        <v>3.7</v>
      </c>
      <c r="J39" s="1">
        <f>I39</f>
        <v>3.7</v>
      </c>
      <c r="K39" s="1">
        <v>20</v>
      </c>
      <c r="L39" s="1">
        <v>0.19687499999999999</v>
      </c>
      <c r="M39" s="1">
        <f t="shared" si="0"/>
        <v>1184000.0000000002</v>
      </c>
      <c r="N39" s="1">
        <f t="shared" si="1"/>
        <v>5066760.6317096185</v>
      </c>
      <c r="O39" s="1" t="s">
        <v>281</v>
      </c>
    </row>
    <row r="40" spans="1:15" x14ac:dyDescent="0.2">
      <c r="A40" s="1" t="s">
        <v>351</v>
      </c>
      <c r="B40" s="1" t="s">
        <v>352</v>
      </c>
      <c r="C40" s="1" t="s">
        <v>353</v>
      </c>
      <c r="D40" s="1" t="s">
        <v>354</v>
      </c>
      <c r="E40" s="1">
        <v>0.9</v>
      </c>
      <c r="F40" s="1">
        <v>0.25</v>
      </c>
      <c r="G40" s="1">
        <v>0.16</v>
      </c>
      <c r="H40" s="1">
        <v>4.3</v>
      </c>
      <c r="I40" s="1">
        <v>0.14599999999999999</v>
      </c>
      <c r="J40" s="1">
        <v>2.4E-2</v>
      </c>
      <c r="K40" s="1">
        <v>1</v>
      </c>
      <c r="L40" s="1">
        <v>0.15</v>
      </c>
      <c r="M40" s="1">
        <f t="shared" si="0"/>
        <v>21600.000000000004</v>
      </c>
      <c r="N40" s="1">
        <f t="shared" si="1"/>
        <v>1526814.0296446397</v>
      </c>
      <c r="O40" s="1" t="s">
        <v>355</v>
      </c>
    </row>
    <row r="41" spans="1:15" x14ac:dyDescent="0.2">
      <c r="A41" s="1" t="s">
        <v>300</v>
      </c>
      <c r="B41" s="1" t="s">
        <v>301</v>
      </c>
      <c r="C41" s="1" t="s">
        <v>302</v>
      </c>
      <c r="D41" s="1" t="s">
        <v>245</v>
      </c>
      <c r="E41" s="1">
        <v>0.54279999999999995</v>
      </c>
      <c r="F41" s="1">
        <v>0.1143</v>
      </c>
      <c r="G41" s="1">
        <v>0.127</v>
      </c>
      <c r="H41" s="1">
        <v>3</v>
      </c>
      <c r="I41" s="1">
        <v>0.59699999999999998</v>
      </c>
      <c r="J41" s="1">
        <f>I41</f>
        <v>0.59699999999999998</v>
      </c>
      <c r="K41" s="1">
        <v>1.9</v>
      </c>
      <c r="L41" s="1">
        <v>0.11647</v>
      </c>
      <c r="M41" s="1">
        <f t="shared" si="0"/>
        <v>324051.59999999998</v>
      </c>
      <c r="N41" s="1">
        <f t="shared" si="1"/>
        <v>819326.90876555222</v>
      </c>
      <c r="O41" s="1" t="s">
        <v>303</v>
      </c>
    </row>
    <row r="42" spans="1:15" x14ac:dyDescent="0.2">
      <c r="A42" s="1" t="s">
        <v>316</v>
      </c>
      <c r="B42" s="1" t="s">
        <v>317</v>
      </c>
      <c r="C42" s="1" t="s">
        <v>318</v>
      </c>
      <c r="D42" s="1" t="s">
        <v>245</v>
      </c>
      <c r="E42" s="1">
        <v>0.60499999999999998</v>
      </c>
      <c r="F42" s="1">
        <v>0.08</v>
      </c>
      <c r="G42" s="1">
        <v>0.2</v>
      </c>
      <c r="H42" s="1">
        <v>3.8</v>
      </c>
      <c r="I42" s="1">
        <v>0.28000000000000003</v>
      </c>
      <c r="J42" s="1">
        <v>0.28000000000000003</v>
      </c>
      <c r="K42" s="1">
        <v>1.67</v>
      </c>
      <c r="L42" s="1">
        <v>9.9000000000000005E-2</v>
      </c>
      <c r="M42" s="1">
        <f t="shared" si="0"/>
        <v>169400.00000000003</v>
      </c>
      <c r="N42" s="1">
        <f t="shared" si="1"/>
        <v>760452.82759529457</v>
      </c>
      <c r="O42" s="1" t="s">
        <v>319</v>
      </c>
    </row>
    <row r="43" spans="1:15" x14ac:dyDescent="0.2">
      <c r="A43" s="1" t="s">
        <v>370</v>
      </c>
      <c r="B43" s="1" t="s">
        <v>371</v>
      </c>
      <c r="C43" s="1" t="s">
        <v>372</v>
      </c>
      <c r="D43" s="1" t="s">
        <v>373</v>
      </c>
      <c r="E43" s="1">
        <v>0.255</v>
      </c>
      <c r="F43" s="1">
        <v>4.9200000000000001E-2</v>
      </c>
      <c r="G43" s="1">
        <v>6.7799999999999999E-2</v>
      </c>
      <c r="H43" s="1">
        <v>0.30599999999999999</v>
      </c>
      <c r="I43" s="1">
        <v>1.02</v>
      </c>
      <c r="J43" s="1">
        <v>0.40799999999999997</v>
      </c>
      <c r="K43" s="1">
        <v>5.8</v>
      </c>
      <c r="L43" s="1">
        <v>0.17</v>
      </c>
      <c r="M43" s="1">
        <f t="shared" si="0"/>
        <v>104040</v>
      </c>
      <c r="N43" s="1">
        <f t="shared" si="1"/>
        <v>805688.45370992343</v>
      </c>
      <c r="O43" s="1" t="s">
        <v>374</v>
      </c>
    </row>
  </sheetData>
  <sortState xmlns:xlrd2="http://schemas.microsoft.com/office/spreadsheetml/2017/richdata2" ref="A2:O108">
    <sortCondition ref="A1:A108"/>
  </sortState>
  <hyperlinks>
    <hyperlink ref="O35" r:id="rId1" xr:uid="{00000000-0004-0000-0100-000000000000}"/>
  </hyperlink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U19"/>
  <sheetViews>
    <sheetView zoomScaleNormal="100" workbookViewId="0">
      <pane xSplit="1" ySplit="1" topLeftCell="B2" activePane="bottomRight" state="frozen"/>
      <selection pane="topRight" activeCell="P1" sqref="P1"/>
      <selection pane="bottomLeft" activeCell="A2" sqref="A2"/>
      <selection pane="bottomRight" activeCell="F24" sqref="F24"/>
    </sheetView>
  </sheetViews>
  <sheetFormatPr defaultColWidth="8.625" defaultRowHeight="14.25" x14ac:dyDescent="0.2"/>
  <cols>
    <col min="1" max="1" width="24.5" style="3" customWidth="1"/>
    <col min="2" max="2" width="16.25" style="3" customWidth="1"/>
    <col min="3" max="3" width="29.75" style="3" customWidth="1"/>
    <col min="4" max="4" width="12.625" style="3" customWidth="1"/>
    <col min="5" max="8" width="10.625" style="3" customWidth="1"/>
    <col min="9" max="9" width="14.375" style="3" customWidth="1"/>
    <col min="10" max="10" width="15" style="3" customWidth="1"/>
    <col min="11" max="11" width="19.75" style="3" customWidth="1"/>
    <col min="12" max="12" width="23.125" style="3" customWidth="1"/>
    <col min="13" max="14" width="18.625" style="3" customWidth="1"/>
    <col min="15" max="54" width="10.625" style="3" customWidth="1"/>
    <col min="55" max="55" width="9" style="1" customWidth="1"/>
    <col min="56" max="1009" width="8.625" style="1"/>
  </cols>
  <sheetData>
    <row r="1" spans="1:15" s="4" customFormat="1" x14ac:dyDescent="0.2">
      <c r="A1" s="4" t="s">
        <v>1</v>
      </c>
      <c r="B1" s="4" t="s">
        <v>225</v>
      </c>
      <c r="C1" s="4" t="s">
        <v>226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227</v>
      </c>
      <c r="L1" s="4" t="s">
        <v>228</v>
      </c>
      <c r="M1" s="4" t="s">
        <v>9</v>
      </c>
      <c r="N1" s="4" t="s">
        <v>229</v>
      </c>
      <c r="O1" s="4" t="s">
        <v>10</v>
      </c>
    </row>
    <row r="2" spans="1:15" x14ac:dyDescent="0.2">
      <c r="A2" s="3" t="s">
        <v>429</v>
      </c>
      <c r="B2" s="3" t="s">
        <v>430</v>
      </c>
      <c r="C2" s="3" t="s">
        <v>426</v>
      </c>
      <c r="D2" s="3" t="s">
        <v>420</v>
      </c>
      <c r="E2" s="3">
        <v>0.5</v>
      </c>
      <c r="F2" s="3">
        <v>0.6</v>
      </c>
      <c r="G2" s="3">
        <v>0.14000000000000001</v>
      </c>
      <c r="H2" s="3">
        <v>3.4</v>
      </c>
      <c r="I2" s="3">
        <v>0.7</v>
      </c>
      <c r="J2" s="3">
        <f t="shared" ref="J2:J11" si="0">I2</f>
        <v>0.7</v>
      </c>
      <c r="K2" s="3">
        <v>0.8</v>
      </c>
      <c r="L2" s="3">
        <v>0.45</v>
      </c>
      <c r="M2" s="3">
        <f t="shared" ref="M2:M19" si="1">(E2*J2)/0.000001</f>
        <v>350000</v>
      </c>
      <c r="N2" s="3">
        <f t="shared" ref="N2:N19" si="2">(4*PI()*K2*L2*E2^2)/0.000001</f>
        <v>1130973.3552923256</v>
      </c>
      <c r="O2" s="3" t="s">
        <v>392</v>
      </c>
    </row>
    <row r="3" spans="1:15" x14ac:dyDescent="0.2">
      <c r="A3" s="3" t="s">
        <v>416</v>
      </c>
      <c r="B3" s="3" t="s">
        <v>417</v>
      </c>
      <c r="C3" s="3" t="s">
        <v>418</v>
      </c>
      <c r="D3" s="3" t="s">
        <v>414</v>
      </c>
      <c r="E3" s="3">
        <v>0.88319999999999999</v>
      </c>
      <c r="F3" s="3">
        <v>0.38600000000000001</v>
      </c>
      <c r="G3" s="3">
        <v>0.1</v>
      </c>
      <c r="H3" s="3">
        <v>70</v>
      </c>
      <c r="I3" s="3">
        <v>0.33</v>
      </c>
      <c r="J3" s="3">
        <f t="shared" si="0"/>
        <v>0.33</v>
      </c>
      <c r="K3" s="3">
        <v>1</v>
      </c>
      <c r="L3" s="3">
        <v>9.5000000000000001E-2</v>
      </c>
      <c r="M3" s="3">
        <f t="shared" si="1"/>
        <v>291456</v>
      </c>
      <c r="N3" s="3">
        <f t="shared" si="2"/>
        <v>931218.48885601596</v>
      </c>
      <c r="O3" s="3" t="s">
        <v>394</v>
      </c>
    </row>
    <row r="4" spans="1:15" x14ac:dyDescent="0.2">
      <c r="A4" s="3" t="s">
        <v>406</v>
      </c>
      <c r="B4" s="3" t="s">
        <v>407</v>
      </c>
      <c r="C4" s="3" t="s">
        <v>408</v>
      </c>
      <c r="D4" s="3" t="s">
        <v>399</v>
      </c>
      <c r="E4" s="3">
        <v>0.375</v>
      </c>
      <c r="F4" s="3">
        <v>0.16400000000000001</v>
      </c>
      <c r="G4" s="3">
        <v>0.11</v>
      </c>
      <c r="H4" s="3">
        <v>2.5</v>
      </c>
      <c r="I4" s="3">
        <v>3.5099999999999999E-2</v>
      </c>
      <c r="J4" s="3">
        <f t="shared" si="0"/>
        <v>3.5099999999999999E-2</v>
      </c>
      <c r="K4" s="3">
        <v>1</v>
      </c>
      <c r="L4" s="3">
        <v>0.41569</v>
      </c>
      <c r="M4" s="3">
        <f t="shared" si="1"/>
        <v>13162.500000000002</v>
      </c>
      <c r="N4" s="3">
        <f t="shared" si="2"/>
        <v>734584.86572104204</v>
      </c>
      <c r="O4" s="3" t="s">
        <v>397</v>
      </c>
    </row>
    <row r="5" spans="1:15" x14ac:dyDescent="0.2">
      <c r="A5" s="3" t="s">
        <v>393</v>
      </c>
      <c r="B5" s="3" t="s">
        <v>258</v>
      </c>
      <c r="C5" s="3" t="s">
        <v>259</v>
      </c>
      <c r="D5" s="3" t="s">
        <v>391</v>
      </c>
      <c r="E5" s="3">
        <v>0.8</v>
      </c>
      <c r="F5" s="3">
        <v>0.56000000000000005</v>
      </c>
      <c r="G5" s="3">
        <v>0.11</v>
      </c>
      <c r="H5" s="3">
        <v>9.1999999999999993</v>
      </c>
      <c r="I5" s="3">
        <v>0.2</v>
      </c>
      <c r="J5" s="3">
        <f t="shared" si="0"/>
        <v>0.2</v>
      </c>
      <c r="K5" s="3">
        <v>0.88</v>
      </c>
      <c r="L5" s="3">
        <v>0.14430000000000001</v>
      </c>
      <c r="M5" s="3">
        <f t="shared" si="1"/>
        <v>160000.00000000003</v>
      </c>
      <c r="N5" s="3">
        <f t="shared" si="2"/>
        <v>1021265.9239000229</v>
      </c>
      <c r="O5" s="3" t="s">
        <v>398</v>
      </c>
    </row>
    <row r="6" spans="1:15" x14ac:dyDescent="0.2">
      <c r="A6" s="3" t="s">
        <v>424</v>
      </c>
      <c r="B6" s="3" t="s">
        <v>425</v>
      </c>
      <c r="C6" s="3" t="s">
        <v>426</v>
      </c>
      <c r="D6" s="3" t="s">
        <v>420</v>
      </c>
      <c r="E6" s="3">
        <v>0.5</v>
      </c>
      <c r="F6" s="3">
        <v>0.6</v>
      </c>
      <c r="G6" s="3">
        <v>6.5000000000000002E-2</v>
      </c>
      <c r="H6" s="3">
        <v>3.4</v>
      </c>
      <c r="I6" s="3">
        <v>0.7</v>
      </c>
      <c r="J6" s="3">
        <f t="shared" si="0"/>
        <v>0.7</v>
      </c>
      <c r="K6" s="3">
        <v>1</v>
      </c>
      <c r="L6" s="3">
        <v>0.11</v>
      </c>
      <c r="M6" s="3">
        <f t="shared" si="1"/>
        <v>350000</v>
      </c>
      <c r="N6" s="3">
        <f t="shared" si="2"/>
        <v>345575.19189487724</v>
      </c>
      <c r="O6" s="1" t="s">
        <v>400</v>
      </c>
    </row>
    <row r="7" spans="1:15" x14ac:dyDescent="0.2">
      <c r="A7" s="3" t="s">
        <v>427</v>
      </c>
      <c r="B7" s="3" t="s">
        <v>425</v>
      </c>
      <c r="C7" s="3" t="s">
        <v>426</v>
      </c>
      <c r="D7" s="3" t="s">
        <v>420</v>
      </c>
      <c r="E7" s="3">
        <v>0.7</v>
      </c>
      <c r="F7" s="3">
        <v>0.98</v>
      </c>
      <c r="G7" s="3">
        <v>6.5000000000000002E-2</v>
      </c>
      <c r="H7" s="3">
        <v>7</v>
      </c>
      <c r="I7" s="3">
        <v>0.9</v>
      </c>
      <c r="J7" s="3">
        <f t="shared" si="0"/>
        <v>0.9</v>
      </c>
      <c r="K7" s="3">
        <v>1.2</v>
      </c>
      <c r="L7" s="3">
        <v>0.18856999999999999</v>
      </c>
      <c r="M7" s="3">
        <f t="shared" si="1"/>
        <v>630000</v>
      </c>
      <c r="N7" s="3">
        <f t="shared" si="2"/>
        <v>1393348.6179688289</v>
      </c>
      <c r="O7" s="3" t="s">
        <v>401</v>
      </c>
    </row>
    <row r="8" spans="1:15" x14ac:dyDescent="0.2">
      <c r="A8" s="3" t="s">
        <v>428</v>
      </c>
      <c r="B8" s="3" t="s">
        <v>425</v>
      </c>
      <c r="C8" s="3" t="s">
        <v>375</v>
      </c>
      <c r="D8" s="3" t="s">
        <v>420</v>
      </c>
      <c r="E8" s="3">
        <v>0.46</v>
      </c>
      <c r="F8" s="3">
        <v>0.83</v>
      </c>
      <c r="G8" s="3">
        <v>0.06</v>
      </c>
      <c r="H8" s="3">
        <v>4</v>
      </c>
      <c r="I8" s="3">
        <v>0.3</v>
      </c>
      <c r="J8" s="3">
        <f t="shared" si="0"/>
        <v>0.3</v>
      </c>
      <c r="K8" s="3">
        <v>0.5</v>
      </c>
      <c r="L8" s="3">
        <v>0.38</v>
      </c>
      <c r="M8" s="3">
        <f t="shared" si="1"/>
        <v>138000.00000000003</v>
      </c>
      <c r="N8" s="3">
        <f t="shared" si="2"/>
        <v>505218.36417969613</v>
      </c>
      <c r="O8" s="3" t="s">
        <v>402</v>
      </c>
    </row>
    <row r="9" spans="1:15" x14ac:dyDescent="0.2">
      <c r="A9" s="3" t="s">
        <v>431</v>
      </c>
      <c r="B9" s="3" t="s">
        <v>432</v>
      </c>
      <c r="C9" s="3" t="s">
        <v>433</v>
      </c>
      <c r="D9" s="3" t="s">
        <v>420</v>
      </c>
      <c r="E9" s="3">
        <v>0.71</v>
      </c>
      <c r="F9" s="3">
        <v>0.91</v>
      </c>
      <c r="G9" s="3">
        <v>0.15</v>
      </c>
      <c r="H9" s="3">
        <v>6</v>
      </c>
      <c r="I9" s="3">
        <v>0.5</v>
      </c>
      <c r="J9" s="3">
        <f t="shared" si="0"/>
        <v>0.5</v>
      </c>
      <c r="K9" s="3">
        <v>0.5</v>
      </c>
      <c r="L9" s="3">
        <v>0.35210999999999998</v>
      </c>
      <c r="M9" s="3">
        <f t="shared" si="1"/>
        <v>355000</v>
      </c>
      <c r="N9" s="3">
        <f t="shared" si="2"/>
        <v>1115256.9160073972</v>
      </c>
      <c r="O9" s="3" t="s">
        <v>403</v>
      </c>
    </row>
    <row r="10" spans="1:15" x14ac:dyDescent="0.2">
      <c r="A10" s="3" t="s">
        <v>411</v>
      </c>
      <c r="B10" s="3" t="s">
        <v>412</v>
      </c>
      <c r="C10" s="3" t="s">
        <v>413</v>
      </c>
      <c r="D10" s="3" t="s">
        <v>414</v>
      </c>
      <c r="E10" s="3">
        <v>0.8</v>
      </c>
      <c r="F10" s="3">
        <v>0.4</v>
      </c>
      <c r="G10" s="3">
        <v>0.72</v>
      </c>
      <c r="H10" s="3">
        <v>25</v>
      </c>
      <c r="I10" s="3">
        <v>0.193</v>
      </c>
      <c r="J10" s="3">
        <f t="shared" si="0"/>
        <v>0.193</v>
      </c>
      <c r="K10" s="3">
        <v>1.5</v>
      </c>
      <c r="L10" s="3">
        <v>0.12673999999999999</v>
      </c>
      <c r="M10" s="3">
        <f t="shared" si="1"/>
        <v>154400.00000000003</v>
      </c>
      <c r="N10" s="3">
        <f t="shared" si="2"/>
        <v>1528955.3391973267</v>
      </c>
      <c r="O10" s="3" t="s">
        <v>404</v>
      </c>
    </row>
    <row r="11" spans="1:15" x14ac:dyDescent="0.2">
      <c r="A11" s="3" t="s">
        <v>434</v>
      </c>
      <c r="B11" s="3" t="s">
        <v>435</v>
      </c>
      <c r="C11" s="3" t="s">
        <v>423</v>
      </c>
      <c r="D11" s="3" t="s">
        <v>420</v>
      </c>
      <c r="E11" s="3">
        <v>0.14000000000000001</v>
      </c>
      <c r="F11" s="3">
        <v>0.108</v>
      </c>
      <c r="G11" s="3">
        <v>0.04</v>
      </c>
      <c r="H11" s="3">
        <v>0.06</v>
      </c>
      <c r="I11" s="3">
        <v>5.0000000000000001E-3</v>
      </c>
      <c r="J11" s="3">
        <f t="shared" si="0"/>
        <v>5.0000000000000001E-3</v>
      </c>
      <c r="K11" s="3">
        <v>0.4</v>
      </c>
      <c r="L11" s="3">
        <v>0.107</v>
      </c>
      <c r="M11" s="3">
        <f t="shared" si="1"/>
        <v>700.00000000000011</v>
      </c>
      <c r="N11" s="3">
        <f t="shared" si="2"/>
        <v>10541.676980973625</v>
      </c>
      <c r="O11" s="3" t="s">
        <v>405</v>
      </c>
    </row>
    <row r="12" spans="1:15" x14ac:dyDescent="0.2">
      <c r="A12" s="3" t="s">
        <v>395</v>
      </c>
      <c r="B12" s="3" t="s">
        <v>390</v>
      </c>
      <c r="C12" s="3" t="s">
        <v>396</v>
      </c>
      <c r="D12" s="3" t="s">
        <v>391</v>
      </c>
      <c r="E12" s="3">
        <v>0.05</v>
      </c>
      <c r="F12" s="3">
        <v>3.85E-2</v>
      </c>
      <c r="G12" s="3">
        <v>5.4999999999999997E-3</v>
      </c>
      <c r="I12" s="3">
        <v>5.2999999999999999E-2</v>
      </c>
      <c r="J12" s="3">
        <v>3.2000000000000001E-2</v>
      </c>
      <c r="K12" s="3">
        <v>0.5</v>
      </c>
      <c r="L12" s="3">
        <v>0.04</v>
      </c>
      <c r="M12" s="3">
        <f t="shared" si="1"/>
        <v>1600.0000000000002</v>
      </c>
      <c r="N12" s="3">
        <f t="shared" si="2"/>
        <v>628.31853071795888</v>
      </c>
      <c r="O12" s="3" t="s">
        <v>409</v>
      </c>
    </row>
    <row r="13" spans="1:15" x14ac:dyDescent="0.2">
      <c r="A13" s="3" t="s">
        <v>421</v>
      </c>
      <c r="B13" s="3" t="s">
        <v>275</v>
      </c>
      <c r="C13" s="3" t="s">
        <v>372</v>
      </c>
      <c r="D13" s="3" t="s">
        <v>420</v>
      </c>
      <c r="E13" s="3">
        <v>0.21</v>
      </c>
      <c r="F13" s="3">
        <v>0.33</v>
      </c>
      <c r="G13" s="3">
        <v>0.05</v>
      </c>
      <c r="H13" s="3">
        <v>0.11899999999999999</v>
      </c>
      <c r="I13" s="3">
        <v>7.0000000000000007E-2</v>
      </c>
      <c r="J13" s="3">
        <f>I13</f>
        <v>7.0000000000000007E-2</v>
      </c>
      <c r="K13" s="3">
        <v>0.157</v>
      </c>
      <c r="L13" s="3">
        <v>1.0331999999999999E-2</v>
      </c>
      <c r="M13" s="3">
        <f t="shared" si="1"/>
        <v>14700.000000000002</v>
      </c>
      <c r="N13" s="3">
        <f t="shared" si="2"/>
        <v>898.94372126030191</v>
      </c>
      <c r="O13" s="3" t="s">
        <v>410</v>
      </c>
    </row>
    <row r="14" spans="1:15" ht="15" x14ac:dyDescent="0.25">
      <c r="A14" s="3" t="s">
        <v>422</v>
      </c>
      <c r="B14" s="3" t="s">
        <v>275</v>
      </c>
      <c r="C14" s="3" t="s">
        <v>372</v>
      </c>
      <c r="D14" s="3" t="s">
        <v>420</v>
      </c>
      <c r="E14" s="3">
        <v>0.11</v>
      </c>
      <c r="F14" s="3">
        <v>0.21</v>
      </c>
      <c r="G14" s="3">
        <v>2.5000000000000001E-2</v>
      </c>
      <c r="H14" s="3">
        <v>5.5E-2</v>
      </c>
      <c r="I14" s="3">
        <v>7.4000000000000003E-3</v>
      </c>
      <c r="J14" s="3">
        <v>7.3699999999999998E-3</v>
      </c>
      <c r="K14" s="3">
        <v>0.16700000000000001</v>
      </c>
      <c r="L14" s="3">
        <v>0.20238</v>
      </c>
      <c r="M14" s="3">
        <f t="shared" si="1"/>
        <v>810.7</v>
      </c>
      <c r="N14" s="3">
        <f t="shared" si="2"/>
        <v>5139.0080390261528</v>
      </c>
      <c r="O14" s="5" t="s">
        <v>415</v>
      </c>
    </row>
    <row r="15" spans="1:15" x14ac:dyDescent="0.2">
      <c r="A15" s="3" t="s">
        <v>436</v>
      </c>
      <c r="B15" s="3" t="s">
        <v>437</v>
      </c>
      <c r="C15" s="3" t="s">
        <v>438</v>
      </c>
      <c r="D15" s="3" t="s">
        <v>420</v>
      </c>
      <c r="E15" s="3">
        <v>0.15</v>
      </c>
      <c r="F15" s="3">
        <v>0.17</v>
      </c>
      <c r="G15" s="3">
        <v>0.01</v>
      </c>
      <c r="H15" s="3">
        <v>3.8</v>
      </c>
      <c r="I15" s="3">
        <v>0.1</v>
      </c>
      <c r="J15" s="3">
        <f t="shared" ref="J15:J19" si="3">I15</f>
        <v>0.1</v>
      </c>
      <c r="K15" s="3">
        <v>10</v>
      </c>
      <c r="L15" s="3">
        <v>0.15329999999999999</v>
      </c>
      <c r="M15" s="3">
        <f t="shared" si="1"/>
        <v>15000</v>
      </c>
      <c r="N15" s="3">
        <f t="shared" si="2"/>
        <v>433445.53841578373</v>
      </c>
      <c r="O15" s="3" t="s">
        <v>439</v>
      </c>
    </row>
    <row r="16" spans="1:15" x14ac:dyDescent="0.2">
      <c r="A16" s="3" t="s">
        <v>440</v>
      </c>
      <c r="B16" s="3" t="s">
        <v>441</v>
      </c>
      <c r="C16" s="3" t="s">
        <v>442</v>
      </c>
      <c r="D16" s="3" t="s">
        <v>420</v>
      </c>
      <c r="E16" s="3">
        <v>0.18</v>
      </c>
      <c r="F16" s="3">
        <v>0.14000000000000001</v>
      </c>
      <c r="G16" s="3">
        <v>0.6</v>
      </c>
      <c r="H16" s="3">
        <v>0.315</v>
      </c>
      <c r="I16" s="3">
        <v>1.7999999999999999E-2</v>
      </c>
      <c r="J16" s="3">
        <f t="shared" si="3"/>
        <v>1.7999999999999999E-2</v>
      </c>
      <c r="K16" s="3">
        <v>1.25</v>
      </c>
      <c r="L16" s="3">
        <v>1.5270000000000001E-2</v>
      </c>
      <c r="M16" s="3">
        <f t="shared" si="1"/>
        <v>3240</v>
      </c>
      <c r="N16" s="3">
        <f t="shared" si="2"/>
        <v>7771.4834108912155</v>
      </c>
      <c r="O16" s="3" t="s">
        <v>443</v>
      </c>
    </row>
    <row r="17" spans="1:15" x14ac:dyDescent="0.2">
      <c r="A17" s="3" t="s">
        <v>444</v>
      </c>
      <c r="B17" s="3" t="s">
        <v>309</v>
      </c>
      <c r="C17" s="3" t="s">
        <v>276</v>
      </c>
      <c r="D17" s="3" t="s">
        <v>420</v>
      </c>
      <c r="E17" s="3">
        <v>0.13300000000000001</v>
      </c>
      <c r="F17" s="3">
        <v>0.22</v>
      </c>
      <c r="G17" s="3">
        <v>6.6000000000000003E-2</v>
      </c>
      <c r="H17" s="3">
        <v>0.35399999999999998</v>
      </c>
      <c r="I17" s="3">
        <v>5.7000000000000002E-2</v>
      </c>
      <c r="J17" s="3">
        <f t="shared" si="3"/>
        <v>5.7000000000000002E-2</v>
      </c>
      <c r="K17" s="3">
        <v>1.28</v>
      </c>
      <c r="L17" s="3">
        <v>0.42857000000000001</v>
      </c>
      <c r="M17" s="3">
        <f t="shared" si="1"/>
        <v>7581.0000000000009</v>
      </c>
      <c r="N17" s="3">
        <f t="shared" si="2"/>
        <v>121939.63273634751</v>
      </c>
      <c r="O17" s="3" t="s">
        <v>445</v>
      </c>
    </row>
    <row r="18" spans="1:15" x14ac:dyDescent="0.2">
      <c r="A18" s="3" t="s">
        <v>446</v>
      </c>
      <c r="B18" s="3" t="s">
        <v>315</v>
      </c>
      <c r="C18" s="3" t="s">
        <v>375</v>
      </c>
      <c r="D18" s="3" t="s">
        <v>420</v>
      </c>
      <c r="E18" s="3">
        <v>0.5</v>
      </c>
      <c r="F18" s="3">
        <v>0.7</v>
      </c>
      <c r="G18" s="3">
        <v>0.14000000000000001</v>
      </c>
      <c r="H18" s="3">
        <v>3.8</v>
      </c>
      <c r="I18" s="3">
        <v>0.7</v>
      </c>
      <c r="J18" s="3">
        <f t="shared" si="3"/>
        <v>0.7</v>
      </c>
      <c r="K18" s="3">
        <v>2</v>
      </c>
      <c r="L18" s="3">
        <v>0.33560000000000001</v>
      </c>
      <c r="M18" s="3">
        <f t="shared" si="1"/>
        <v>350000</v>
      </c>
      <c r="N18" s="3">
        <f t="shared" si="2"/>
        <v>2108636.9890894694</v>
      </c>
      <c r="O18" s="3" t="s">
        <v>447</v>
      </c>
    </row>
    <row r="19" spans="1:15" x14ac:dyDescent="0.2">
      <c r="A19" s="3" t="s">
        <v>448</v>
      </c>
      <c r="B19" s="3" t="s">
        <v>449</v>
      </c>
      <c r="C19" s="3" t="s">
        <v>419</v>
      </c>
      <c r="D19" s="3" t="s">
        <v>420</v>
      </c>
      <c r="E19" s="3">
        <v>0.11</v>
      </c>
      <c r="F19" s="3">
        <v>0.23</v>
      </c>
      <c r="G19" s="3">
        <v>7.5000000000000002E-4</v>
      </c>
      <c r="I19" s="3">
        <v>0.2</v>
      </c>
      <c r="J19" s="3">
        <f t="shared" si="3"/>
        <v>0.2</v>
      </c>
      <c r="K19" s="3">
        <v>10</v>
      </c>
      <c r="L19" s="3">
        <v>0.22720000000000001</v>
      </c>
      <c r="M19" s="3">
        <f t="shared" si="1"/>
        <v>22000.000000000004</v>
      </c>
      <c r="N19" s="3">
        <f t="shared" si="2"/>
        <v>345464.60783347092</v>
      </c>
      <c r="O19" s="3" t="s">
        <v>450</v>
      </c>
    </row>
  </sheetData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3"/>
  <sheetViews>
    <sheetView zoomScaleNormal="100" workbookViewId="0">
      <pane xSplit="1" ySplit="1" topLeftCell="B2" activePane="bottomRight" state="frozen"/>
      <selection pane="topRight" activeCell="P1" sqref="P1"/>
      <selection pane="bottomLeft" activeCell="A2" sqref="A2"/>
      <selection pane="bottomRight" activeCell="A4" sqref="A4"/>
    </sheetView>
  </sheetViews>
  <sheetFormatPr defaultColWidth="8.625" defaultRowHeight="14.25" x14ac:dyDescent="0.2"/>
  <cols>
    <col min="1" max="1" width="21" style="3" customWidth="1"/>
    <col min="2" max="2" width="29.75" style="3" customWidth="1"/>
    <col min="3" max="3" width="12.625" style="3" customWidth="1"/>
    <col min="4" max="7" width="10.625" style="3" customWidth="1"/>
    <col min="8" max="8" width="14.375" style="3" customWidth="1"/>
    <col min="9" max="9" width="15" style="3" customWidth="1"/>
    <col min="10" max="10" width="19.75" style="3" customWidth="1"/>
    <col min="11" max="11" width="23.125" style="3" customWidth="1"/>
    <col min="12" max="13" width="18.625" style="3" customWidth="1"/>
    <col min="14" max="53" width="10.625" style="3" customWidth="1"/>
    <col min="54" max="54" width="9" style="4" customWidth="1"/>
  </cols>
  <sheetData>
    <row r="1" spans="1:53" x14ac:dyDescent="0.2">
      <c r="A1" s="4" t="s">
        <v>1</v>
      </c>
      <c r="B1" s="4" t="s">
        <v>226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227</v>
      </c>
      <c r="K1" s="4" t="s">
        <v>228</v>
      </c>
      <c r="L1" s="4" t="s">
        <v>9</v>
      </c>
      <c r="M1" s="4" t="s">
        <v>229</v>
      </c>
      <c r="N1" s="4" t="s">
        <v>10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x14ac:dyDescent="0.2">
      <c r="A2" s="3" t="s">
        <v>455</v>
      </c>
      <c r="B2" s="3" t="s">
        <v>456</v>
      </c>
      <c r="C2" s="3" t="s">
        <v>451</v>
      </c>
      <c r="D2" s="3">
        <v>0.12</v>
      </c>
      <c r="E2" s="3">
        <v>0.16200000000000001</v>
      </c>
      <c r="F2" s="3">
        <v>0.03</v>
      </c>
      <c r="G2" s="3">
        <v>8.2500000000000004E-2</v>
      </c>
      <c r="H2" s="3">
        <v>2.2499999999999999E-2</v>
      </c>
      <c r="I2" s="3">
        <f>H2</f>
        <v>2.2499999999999999E-2</v>
      </c>
      <c r="J2" s="3">
        <v>1.1100000000000001</v>
      </c>
      <c r="K2" s="3">
        <v>0.45833000000000002</v>
      </c>
      <c r="L2" s="3">
        <f>(I2*D2)/0.000001</f>
        <v>2700</v>
      </c>
      <c r="M2" s="3">
        <f>(4*PI()*J2*K2*D2^2)/0.000001</f>
        <v>92060.561584568961</v>
      </c>
      <c r="N2" s="4" t="s">
        <v>457</v>
      </c>
    </row>
    <row r="3" spans="1:53" x14ac:dyDescent="0.2">
      <c r="A3" s="3" t="s">
        <v>452</v>
      </c>
      <c r="B3" s="3" t="s">
        <v>453</v>
      </c>
      <c r="C3" s="3" t="s">
        <v>451</v>
      </c>
      <c r="D3" s="3">
        <v>0.78</v>
      </c>
      <c r="E3" s="3">
        <v>0.44</v>
      </c>
      <c r="F3" s="3">
        <v>0.13</v>
      </c>
      <c r="G3" s="3">
        <v>24.4</v>
      </c>
      <c r="H3" s="3">
        <v>0.74</v>
      </c>
      <c r="I3" s="3">
        <v>0.74</v>
      </c>
      <c r="J3" s="3">
        <v>6</v>
      </c>
      <c r="K3" s="3">
        <v>2.8799999999999999E-2</v>
      </c>
      <c r="L3" s="3">
        <f>(I3*D3)/0.000001</f>
        <v>577200.00000000012</v>
      </c>
      <c r="M3" s="3">
        <f>(4*PI()*J3*K3*D3^2)/0.000001</f>
        <v>1321121.6435709139</v>
      </c>
      <c r="N3" s="4" t="s">
        <v>454</v>
      </c>
    </row>
  </sheetData>
  <sortState xmlns:xlrd2="http://schemas.microsoft.com/office/spreadsheetml/2017/richdata2" ref="A2:N3">
    <sortCondition ref="M1:M3"/>
  </sortState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Propeller</vt:lpstr>
      <vt:lpstr>BCF</vt:lpstr>
      <vt:lpstr>MPF</vt:lpstr>
      <vt:lpstr>LiftBased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Coe</dc:creator>
  <dc:description/>
  <cp:lastModifiedBy>Michael Coe</cp:lastModifiedBy>
  <cp:revision>2550</cp:revision>
  <dcterms:created xsi:type="dcterms:W3CDTF">2020-04-22T09:21:04Z</dcterms:created>
  <dcterms:modified xsi:type="dcterms:W3CDTF">2022-11-02T23:52:22Z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